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niEscritorio\Tesis\"/>
    </mc:Choice>
  </mc:AlternateContent>
  <xr:revisionPtr revIDLastSave="0" documentId="13_ncr:1_{08207123-CB3C-4D0C-92A6-A8C33D479802}" xr6:coauthVersionLast="47" xr6:coauthVersionMax="47" xr10:uidLastSave="{00000000-0000-0000-0000-000000000000}"/>
  <bookViews>
    <workbookView xWindow="-110" yWindow="-110" windowWidth="19420" windowHeight="10420" firstSheet="7" activeTab="12" xr2:uid="{759F57EB-79D0-4C10-86A3-AB259A766EC6}"/>
  </bookViews>
  <sheets>
    <sheet name="General" sheetId="7" r:id="rId1"/>
    <sheet name="ListaDeProveedores" sheetId="1" r:id="rId2"/>
    <sheet name="Costo.Herr.Serv." sheetId="3" r:id="rId3"/>
    <sheet name="Nomina" sheetId="6" r:id="rId4"/>
    <sheet name="CostoMateriaPrimaDelProducto" sheetId="2" r:id="rId5"/>
    <sheet name="Distribución.Gastos" sheetId="5" r:id="rId6"/>
    <sheet name="ProyeccionEstadoVentas" sheetId="15" r:id="rId7"/>
    <sheet name="Estado.Gen.Costos.Gastos" sheetId="16" r:id="rId8"/>
    <sheet name="ejercicio" sheetId="20" state="hidden" r:id="rId9"/>
    <sheet name="PYG" sheetId="18" r:id="rId10"/>
    <sheet name="Arriendo" sheetId="9" r:id="rId11"/>
    <sheet name="Indices Financieros" sheetId="19" r:id="rId12"/>
    <sheet name="Notas" sheetId="8" r:id="rId13"/>
    <sheet name="Encuestas" sheetId="11" state="hidden" r:id="rId14"/>
    <sheet name="Otros" sheetId="17" state="hidden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" i="19" l="1"/>
  <c r="H22" i="5"/>
  <c r="Q21" i="16"/>
  <c r="P21" i="16"/>
  <c r="O21" i="16"/>
  <c r="N21" i="16"/>
  <c r="M21" i="16"/>
  <c r="Q33" i="16"/>
  <c r="P33" i="16"/>
  <c r="L21" i="16"/>
  <c r="O33" i="16"/>
  <c r="N33" i="16"/>
  <c r="K21" i="16"/>
  <c r="M33" i="16"/>
  <c r="J21" i="16"/>
  <c r="L33" i="16"/>
  <c r="I21" i="16"/>
  <c r="K33" i="16"/>
  <c r="J33" i="16"/>
  <c r="F33" i="16"/>
  <c r="H21" i="16"/>
  <c r="I33" i="16"/>
  <c r="H33" i="16"/>
  <c r="E21" i="16"/>
  <c r="F21" i="16"/>
  <c r="E33" i="16"/>
  <c r="C34" i="5"/>
  <c r="D22" i="5"/>
  <c r="C22" i="5"/>
  <c r="D13" i="5"/>
  <c r="C13" i="5"/>
  <c r="F21" i="5"/>
  <c r="F25" i="5"/>
  <c r="F26" i="5"/>
  <c r="F27" i="5"/>
  <c r="F37" i="5"/>
  <c r="F38" i="5"/>
  <c r="F42" i="5"/>
  <c r="F44" i="5"/>
  <c r="F46" i="5"/>
  <c r="F47" i="5"/>
  <c r="F48" i="5"/>
  <c r="F49" i="5"/>
  <c r="F50" i="5"/>
  <c r="F51" i="5"/>
  <c r="F52" i="5"/>
  <c r="F55" i="5"/>
  <c r="F57" i="5"/>
  <c r="F58" i="5"/>
  <c r="F59" i="5"/>
  <c r="F60" i="5"/>
  <c r="F61" i="5"/>
  <c r="F62" i="5"/>
  <c r="F63" i="5"/>
  <c r="F64" i="5"/>
  <c r="F65" i="5"/>
  <c r="F66" i="5"/>
  <c r="E25" i="5"/>
  <c r="E26" i="5"/>
  <c r="E27" i="5"/>
  <c r="E46" i="5"/>
  <c r="E57" i="5"/>
  <c r="E63" i="5"/>
  <c r="F12" i="5"/>
  <c r="C12" i="5"/>
  <c r="E12" i="5" s="1"/>
  <c r="H83" i="5"/>
  <c r="H82" i="5"/>
  <c r="F6" i="15"/>
  <c r="G5" i="15"/>
  <c r="H5" i="15"/>
  <c r="F54" i="15"/>
  <c r="F42" i="15"/>
  <c r="F30" i="15"/>
  <c r="F18" i="15"/>
  <c r="F7" i="15"/>
  <c r="F8" i="15"/>
  <c r="F9" i="15"/>
  <c r="F10" i="15"/>
  <c r="F11" i="15"/>
  <c r="F12" i="15"/>
  <c r="F13" i="15"/>
  <c r="F14" i="15"/>
  <c r="F15" i="15"/>
  <c r="F16" i="15"/>
  <c r="F17" i="15"/>
  <c r="F19" i="15"/>
  <c r="F20" i="15"/>
  <c r="F21" i="15"/>
  <c r="F22" i="15"/>
  <c r="F23" i="15"/>
  <c r="F24" i="15"/>
  <c r="F25" i="15"/>
  <c r="F26" i="15"/>
  <c r="F27" i="15"/>
  <c r="F28" i="15"/>
  <c r="F29" i="15"/>
  <c r="F31" i="15"/>
  <c r="F32" i="15"/>
  <c r="F33" i="15"/>
  <c r="F34" i="15"/>
  <c r="F35" i="15"/>
  <c r="F36" i="15"/>
  <c r="F37" i="15"/>
  <c r="F38" i="15"/>
  <c r="F39" i="15"/>
  <c r="F40" i="15"/>
  <c r="F41" i="15"/>
  <c r="F43" i="15"/>
  <c r="F44" i="15"/>
  <c r="F45" i="15"/>
  <c r="F46" i="15"/>
  <c r="F47" i="15"/>
  <c r="F48" i="15"/>
  <c r="F49" i="15"/>
  <c r="F50" i="15"/>
  <c r="F51" i="15"/>
  <c r="F52" i="15"/>
  <c r="F53" i="15"/>
  <c r="F55" i="15"/>
  <c r="F56" i="15"/>
  <c r="F57" i="15"/>
  <c r="F58" i="15"/>
  <c r="F59" i="15"/>
  <c r="F60" i="15"/>
  <c r="F61" i="15"/>
  <c r="F62" i="15"/>
  <c r="A72" i="5"/>
  <c r="Q18" i="16"/>
  <c r="Q17" i="16"/>
  <c r="Q16" i="16"/>
  <c r="Q15" i="16"/>
  <c r="Q14" i="16"/>
  <c r="P18" i="16"/>
  <c r="P17" i="16"/>
  <c r="P16" i="16"/>
  <c r="P15" i="16"/>
  <c r="P14" i="16"/>
  <c r="O18" i="16"/>
  <c r="O17" i="16"/>
  <c r="O16" i="16"/>
  <c r="O15" i="16"/>
  <c r="O14" i="16"/>
  <c r="N18" i="16"/>
  <c r="N17" i="16"/>
  <c r="N16" i="16"/>
  <c r="N15" i="16"/>
  <c r="N14" i="16"/>
  <c r="M18" i="16"/>
  <c r="M17" i="16"/>
  <c r="M16" i="16"/>
  <c r="M15" i="16"/>
  <c r="M14" i="16"/>
  <c r="L18" i="16"/>
  <c r="L17" i="16"/>
  <c r="L16" i="16"/>
  <c r="L15" i="16"/>
  <c r="L14" i="16"/>
  <c r="K18" i="16"/>
  <c r="K17" i="16"/>
  <c r="K16" i="16"/>
  <c r="K15" i="16"/>
  <c r="K14" i="16"/>
  <c r="J18" i="16"/>
  <c r="J17" i="16"/>
  <c r="J16" i="16"/>
  <c r="J15" i="16"/>
  <c r="J14" i="16"/>
  <c r="I18" i="16"/>
  <c r="I17" i="16"/>
  <c r="I16" i="16"/>
  <c r="I15" i="16"/>
  <c r="I14" i="16"/>
  <c r="H18" i="16"/>
  <c r="H17" i="16"/>
  <c r="H16" i="16"/>
  <c r="H15" i="16"/>
  <c r="H14" i="16"/>
  <c r="F18" i="16"/>
  <c r="F17" i="16"/>
  <c r="F16" i="16"/>
  <c r="F15" i="16"/>
  <c r="F14" i="16"/>
  <c r="E18" i="16"/>
  <c r="E17" i="16"/>
  <c r="E16" i="16"/>
  <c r="E15" i="16"/>
  <c r="E14" i="16"/>
  <c r="C32" i="16"/>
  <c r="C31" i="16"/>
  <c r="C30" i="16"/>
  <c r="C29" i="16"/>
  <c r="C28" i="16"/>
  <c r="C18" i="16"/>
  <c r="C17" i="16"/>
  <c r="C16" i="16"/>
  <c r="C15" i="16"/>
  <c r="C14" i="16"/>
  <c r="M6" i="6"/>
  <c r="M4" i="6"/>
  <c r="W4" i="6" s="1"/>
  <c r="I6" i="6"/>
  <c r="I4" i="6"/>
  <c r="H6" i="6"/>
  <c r="AD6" i="6" s="1"/>
  <c r="H4" i="6"/>
  <c r="W6" i="6"/>
  <c r="M36" i="6"/>
  <c r="W36" i="6" s="1"/>
  <c r="M34" i="6"/>
  <c r="M30" i="6"/>
  <c r="W30" i="6" s="1"/>
  <c r="M28" i="6"/>
  <c r="W28" i="6" s="1"/>
  <c r="M24" i="6"/>
  <c r="W24" i="6" s="1"/>
  <c r="M22" i="6"/>
  <c r="W22" i="6" s="1"/>
  <c r="M18" i="6"/>
  <c r="W18" i="6" s="1"/>
  <c r="M16" i="6"/>
  <c r="M12" i="6"/>
  <c r="M10" i="6"/>
  <c r="H4" i="7"/>
  <c r="H5" i="7"/>
  <c r="H6" i="7"/>
  <c r="H7" i="7"/>
  <c r="H3" i="7"/>
  <c r="H2" i="7"/>
  <c r="H36" i="6"/>
  <c r="J36" i="6" s="1"/>
  <c r="N36" i="6" s="1"/>
  <c r="H34" i="6"/>
  <c r="AD34" i="6" s="1"/>
  <c r="H30" i="6"/>
  <c r="I30" i="6" s="1"/>
  <c r="H28" i="6"/>
  <c r="I28" i="6" s="1"/>
  <c r="H24" i="6"/>
  <c r="AD24" i="6" s="1"/>
  <c r="H22" i="6"/>
  <c r="I22" i="6" s="1"/>
  <c r="H18" i="6"/>
  <c r="I18" i="6" s="1"/>
  <c r="H16" i="6"/>
  <c r="I16" i="6" s="1"/>
  <c r="H12" i="6"/>
  <c r="I12" i="6" s="1"/>
  <c r="H10" i="6"/>
  <c r="I10" i="6" s="1"/>
  <c r="W34" i="6"/>
  <c r="J22" i="6"/>
  <c r="K22" i="6" s="1"/>
  <c r="E10" i="7" a="1"/>
  <c r="E10" i="7" s="1"/>
  <c r="W16" i="6"/>
  <c r="F9" i="3"/>
  <c r="C30" i="9"/>
  <c r="C31" i="9"/>
  <c r="C32" i="9"/>
  <c r="C33" i="9"/>
  <c r="C34" i="9"/>
  <c r="C29" i="9"/>
  <c r="D4" i="1"/>
  <c r="F136" i="1"/>
  <c r="H136" i="1" s="1"/>
  <c r="D23" i="3" s="1"/>
  <c r="D136" i="1"/>
  <c r="G136" i="1" s="1"/>
  <c r="E3" i="16"/>
  <c r="T52" i="16" s="1"/>
  <c r="C22" i="17"/>
  <c r="C21" i="17"/>
  <c r="C6" i="17"/>
  <c r="F5" i="15"/>
  <c r="C65" i="5"/>
  <c r="E65" i="5" s="1"/>
  <c r="D21" i="5"/>
  <c r="D37" i="5"/>
  <c r="D38" i="5"/>
  <c r="D42" i="5"/>
  <c r="D44" i="5"/>
  <c r="D47" i="5"/>
  <c r="D48" i="5"/>
  <c r="D49" i="5"/>
  <c r="D50" i="5"/>
  <c r="D51" i="5"/>
  <c r="D52" i="5"/>
  <c r="D55" i="5"/>
  <c r="D58" i="5"/>
  <c r="D59" i="5"/>
  <c r="D60" i="5"/>
  <c r="D61" i="5"/>
  <c r="D62" i="5"/>
  <c r="D64" i="5"/>
  <c r="D65" i="5"/>
  <c r="C64" i="5"/>
  <c r="C62" i="5"/>
  <c r="E62" i="5" s="1"/>
  <c r="C59" i="5"/>
  <c r="E59" i="5" s="1"/>
  <c r="C60" i="5"/>
  <c r="E60" i="5" s="1"/>
  <c r="C61" i="5"/>
  <c r="E61" i="5" s="1"/>
  <c r="C58" i="5"/>
  <c r="E58" i="5" s="1"/>
  <c r="C48" i="5"/>
  <c r="C49" i="5"/>
  <c r="C50" i="5"/>
  <c r="E50" i="5" s="1"/>
  <c r="C51" i="5"/>
  <c r="E51" i="5" s="1"/>
  <c r="C52" i="5"/>
  <c r="C55" i="5"/>
  <c r="C47" i="5"/>
  <c r="E47" i="5" s="1"/>
  <c r="C37" i="5"/>
  <c r="E37" i="5" s="1"/>
  <c r="C38" i="5"/>
  <c r="C42" i="5"/>
  <c r="C44" i="5"/>
  <c r="E44" i="5" s="1"/>
  <c r="C21" i="5"/>
  <c r="E21" i="5" s="1"/>
  <c r="F35" i="16"/>
  <c r="C21" i="2"/>
  <c r="E53" i="16"/>
  <c r="F54" i="5" s="1"/>
  <c r="E52" i="16"/>
  <c r="E42" i="16"/>
  <c r="E40" i="16"/>
  <c r="E39" i="16"/>
  <c r="F40" i="5" s="1"/>
  <c r="E35" i="16"/>
  <c r="E32" i="16"/>
  <c r="E19" i="16"/>
  <c r="E7" i="16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D63" i="15"/>
  <c r="D64" i="15"/>
  <c r="D65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50" i="15"/>
  <c r="C51" i="15"/>
  <c r="C52" i="15"/>
  <c r="C53" i="15"/>
  <c r="C54" i="15"/>
  <c r="C55" i="15"/>
  <c r="C56" i="15"/>
  <c r="C57" i="15"/>
  <c r="C58" i="15"/>
  <c r="C59" i="15"/>
  <c r="C60" i="15"/>
  <c r="C61" i="15"/>
  <c r="C62" i="15"/>
  <c r="C63" i="15"/>
  <c r="C64" i="15"/>
  <c r="C65" i="15"/>
  <c r="C52" i="16"/>
  <c r="C53" i="16"/>
  <c r="C55" i="16" s="1"/>
  <c r="C16" i="17" s="1"/>
  <c r="C40" i="16"/>
  <c r="C13" i="17" s="1"/>
  <c r="C19" i="16"/>
  <c r="C7" i="16"/>
  <c r="C8" i="17" s="1"/>
  <c r="F7" i="16"/>
  <c r="A29" i="9"/>
  <c r="B87" i="7"/>
  <c r="A30" i="9" s="1"/>
  <c r="B88" i="7"/>
  <c r="A31" i="9" s="1"/>
  <c r="B89" i="7"/>
  <c r="A32" i="9" s="1"/>
  <c r="B90" i="7"/>
  <c r="A33" i="9" s="1"/>
  <c r="B91" i="7"/>
  <c r="A34" i="9" s="1"/>
  <c r="B29" i="9"/>
  <c r="C61" i="7"/>
  <c r="C62" i="7"/>
  <c r="C63" i="7"/>
  <c r="C64" i="7"/>
  <c r="C65" i="7"/>
  <c r="C66" i="7"/>
  <c r="F63" i="15" s="1"/>
  <c r="C60" i="7"/>
  <c r="O23" i="7"/>
  <c r="O24" i="7"/>
  <c r="O25" i="7"/>
  <c r="O26" i="7"/>
  <c r="O27" i="7"/>
  <c r="O28" i="7"/>
  <c r="O22" i="7"/>
  <c r="C20" i="2"/>
  <c r="U39" i="7"/>
  <c r="K41" i="7"/>
  <c r="U41" i="7" s="1"/>
  <c r="L41" i="7"/>
  <c r="M41" i="7"/>
  <c r="N41" i="7"/>
  <c r="R41" i="7" s="1"/>
  <c r="K40" i="7"/>
  <c r="U40" i="7" s="1"/>
  <c r="L40" i="7"/>
  <c r="M40" i="7"/>
  <c r="N40" i="7"/>
  <c r="R40" i="7" s="1"/>
  <c r="K39" i="7"/>
  <c r="L39" i="7"/>
  <c r="M39" i="7"/>
  <c r="N39" i="7"/>
  <c r="R39" i="7" s="1"/>
  <c r="K38" i="7"/>
  <c r="U38" i="7" s="1"/>
  <c r="L38" i="7"/>
  <c r="M38" i="7"/>
  <c r="N38" i="7"/>
  <c r="R38" i="7" s="1"/>
  <c r="K37" i="7"/>
  <c r="U37" i="7" s="1"/>
  <c r="L37" i="7"/>
  <c r="M37" i="7"/>
  <c r="N37" i="7"/>
  <c r="R37" i="7" s="1"/>
  <c r="K36" i="7"/>
  <c r="U36" i="7" s="1"/>
  <c r="L36" i="7"/>
  <c r="M36" i="7"/>
  <c r="N36" i="7"/>
  <c r="R36" i="7" s="1"/>
  <c r="L35" i="7"/>
  <c r="M35" i="7"/>
  <c r="N35" i="7"/>
  <c r="R35" i="7" s="1"/>
  <c r="K35" i="7"/>
  <c r="U35" i="7" s="1"/>
  <c r="K34" i="7"/>
  <c r="L34" i="7"/>
  <c r="M34" i="7"/>
  <c r="N34" i="7"/>
  <c r="R34" i="7" s="1"/>
  <c r="K33" i="7"/>
  <c r="L33" i="7"/>
  <c r="M33" i="7"/>
  <c r="N33" i="7"/>
  <c r="R33" i="7" s="1"/>
  <c r="E34" i="7"/>
  <c r="E35" i="7"/>
  <c r="E36" i="7"/>
  <c r="E37" i="7"/>
  <c r="E38" i="7"/>
  <c r="E39" i="7"/>
  <c r="E33" i="7"/>
  <c r="D34" i="7"/>
  <c r="D35" i="7"/>
  <c r="D36" i="7"/>
  <c r="D37" i="7"/>
  <c r="D38" i="7"/>
  <c r="D39" i="7"/>
  <c r="D33" i="7"/>
  <c r="C35" i="7"/>
  <c r="C36" i="7"/>
  <c r="C37" i="7"/>
  <c r="C38" i="7"/>
  <c r="C39" i="7"/>
  <c r="C34" i="7"/>
  <c r="C33" i="7"/>
  <c r="A39" i="7"/>
  <c r="A34" i="7"/>
  <c r="A35" i="7"/>
  <c r="A36" i="7"/>
  <c r="A37" i="7"/>
  <c r="A38" i="7"/>
  <c r="A33" i="7"/>
  <c r="B34" i="7"/>
  <c r="B35" i="7"/>
  <c r="B36" i="7"/>
  <c r="B37" i="7"/>
  <c r="B38" i="7"/>
  <c r="B39" i="7"/>
  <c r="B33" i="7"/>
  <c r="F40" i="16"/>
  <c r="D41" i="5" s="1"/>
  <c r="F53" i="16"/>
  <c r="F52" i="16"/>
  <c r="F42" i="16"/>
  <c r="F39" i="16"/>
  <c r="F32" i="16"/>
  <c r="F19" i="16"/>
  <c r="N48" i="3"/>
  <c r="M48" i="3"/>
  <c r="M47" i="3"/>
  <c r="L47" i="3"/>
  <c r="C21" i="9"/>
  <c r="B21" i="9"/>
  <c r="C17" i="9"/>
  <c r="B17" i="9"/>
  <c r="L24" i="3"/>
  <c r="M24" i="3"/>
  <c r="L23" i="3"/>
  <c r="M23" i="3"/>
  <c r="L22" i="3"/>
  <c r="J18" i="9"/>
  <c r="D21" i="17" s="1"/>
  <c r="D34" i="5" l="1"/>
  <c r="F20" i="5"/>
  <c r="C41" i="5"/>
  <c r="E41" i="5" s="1"/>
  <c r="F41" i="5"/>
  <c r="E42" i="5"/>
  <c r="E55" i="5"/>
  <c r="E49" i="5"/>
  <c r="F17" i="5"/>
  <c r="C17" i="5"/>
  <c r="C66" i="5"/>
  <c r="E64" i="5"/>
  <c r="F16" i="5"/>
  <c r="C16" i="5"/>
  <c r="F33" i="5"/>
  <c r="F43" i="5"/>
  <c r="E38" i="5"/>
  <c r="E52" i="5"/>
  <c r="E48" i="5"/>
  <c r="D66" i="5"/>
  <c r="F18" i="5"/>
  <c r="C18" i="5"/>
  <c r="D8" i="5"/>
  <c r="E8" i="5" s="1"/>
  <c r="F8" i="5"/>
  <c r="C36" i="5"/>
  <c r="E36" i="5" s="1"/>
  <c r="F36" i="5"/>
  <c r="E55" i="16"/>
  <c r="F53" i="5"/>
  <c r="F15" i="5"/>
  <c r="D15" i="5"/>
  <c r="C15" i="5"/>
  <c r="F19" i="5"/>
  <c r="C19" i="5"/>
  <c r="E19" i="5" s="1"/>
  <c r="J2" i="15"/>
  <c r="H6" i="15" s="1"/>
  <c r="I2" i="15"/>
  <c r="J30" i="6"/>
  <c r="N30" i="6" s="1"/>
  <c r="J18" i="6"/>
  <c r="N18" i="6" s="1"/>
  <c r="AD30" i="6"/>
  <c r="I34" i="6"/>
  <c r="AD22" i="6"/>
  <c r="J34" i="6"/>
  <c r="K34" i="6" s="1"/>
  <c r="P34" i="6" s="1"/>
  <c r="AD4" i="6"/>
  <c r="J4" i="6"/>
  <c r="N4" i="6" s="1"/>
  <c r="J6" i="6"/>
  <c r="J28" i="6"/>
  <c r="K28" i="6" s="1"/>
  <c r="T28" i="6" s="1"/>
  <c r="AD28" i="6"/>
  <c r="J16" i="6"/>
  <c r="K16" i="6" s="1"/>
  <c r="AD16" i="6"/>
  <c r="J24" i="6"/>
  <c r="AD36" i="6"/>
  <c r="I24" i="6"/>
  <c r="I36" i="6"/>
  <c r="K36" i="6"/>
  <c r="P36" i="6" s="1"/>
  <c r="K30" i="6"/>
  <c r="P30" i="6" s="1"/>
  <c r="N22" i="6"/>
  <c r="AD18" i="6"/>
  <c r="T34" i="6"/>
  <c r="R34" i="6"/>
  <c r="R36" i="6"/>
  <c r="R30" i="6"/>
  <c r="T22" i="6"/>
  <c r="R22" i="6"/>
  <c r="P22" i="6"/>
  <c r="N16" i="6"/>
  <c r="K18" i="6"/>
  <c r="P18" i="6" s="1"/>
  <c r="L3" i="16"/>
  <c r="M65" i="16" s="1"/>
  <c r="N3" i="16"/>
  <c r="O61" i="16" s="1"/>
  <c r="T32" i="16"/>
  <c r="C68" i="7"/>
  <c r="T16" i="6"/>
  <c r="R16" i="6"/>
  <c r="P16" i="6"/>
  <c r="S33" i="7"/>
  <c r="S34" i="7"/>
  <c r="T37" i="7"/>
  <c r="S38" i="7"/>
  <c r="T40" i="7"/>
  <c r="T41" i="7"/>
  <c r="U37" i="16"/>
  <c r="M37" i="16" s="1"/>
  <c r="T58" i="16"/>
  <c r="S37" i="7"/>
  <c r="T7" i="16"/>
  <c r="U32" i="16"/>
  <c r="T48" i="16"/>
  <c r="U57" i="16"/>
  <c r="T36" i="7"/>
  <c r="S41" i="7"/>
  <c r="T35" i="7"/>
  <c r="T38" i="7"/>
  <c r="H3" i="16"/>
  <c r="H61" i="16" s="1"/>
  <c r="P3" i="16"/>
  <c r="P61" i="16" s="1"/>
  <c r="T36" i="16"/>
  <c r="U47" i="16"/>
  <c r="I47" i="16" s="1"/>
  <c r="U63" i="16"/>
  <c r="T33" i="7"/>
  <c r="T34" i="7"/>
  <c r="S39" i="7"/>
  <c r="S35" i="7"/>
  <c r="U33" i="7"/>
  <c r="U34" i="7"/>
  <c r="F65" i="15"/>
  <c r="J3" i="16"/>
  <c r="J52" i="16" s="1"/>
  <c r="T19" i="16"/>
  <c r="U11" i="16"/>
  <c r="I11" i="16" s="1"/>
  <c r="U41" i="16"/>
  <c r="Q41" i="16" s="1"/>
  <c r="L61" i="16"/>
  <c r="M63" i="16"/>
  <c r="U33" i="16"/>
  <c r="B26" i="9"/>
  <c r="B32" i="9" s="1"/>
  <c r="U64" i="16"/>
  <c r="U58" i="16"/>
  <c r="T59" i="16"/>
  <c r="U52" i="16"/>
  <c r="T53" i="16"/>
  <c r="U48" i="16"/>
  <c r="T49" i="16"/>
  <c r="T46" i="16"/>
  <c r="U42" i="16"/>
  <c r="T37" i="16"/>
  <c r="T41" i="16"/>
  <c r="T64" i="16"/>
  <c r="U59" i="16"/>
  <c r="T60" i="16"/>
  <c r="U53" i="16"/>
  <c r="T54" i="16"/>
  <c r="U49" i="16"/>
  <c r="T50" i="16"/>
  <c r="U35" i="16"/>
  <c r="K35" i="16" s="1"/>
  <c r="U39" i="16"/>
  <c r="U43" i="16"/>
  <c r="T42" i="16"/>
  <c r="U20" i="16"/>
  <c r="U9" i="16"/>
  <c r="U7" i="16"/>
  <c r="T63" i="16"/>
  <c r="U60" i="16"/>
  <c r="T57" i="16"/>
  <c r="U54" i="16"/>
  <c r="I54" i="16" s="1"/>
  <c r="T51" i="16"/>
  <c r="U50" i="16"/>
  <c r="M50" i="16" s="1"/>
  <c r="T47" i="16"/>
  <c r="J47" i="16" s="1"/>
  <c r="U36" i="16"/>
  <c r="U40" i="16"/>
  <c r="K40" i="16" s="1"/>
  <c r="T35" i="16"/>
  <c r="T39" i="16"/>
  <c r="T43" i="16"/>
  <c r="T20" i="16"/>
  <c r="U18" i="16"/>
  <c r="U10" i="16"/>
  <c r="T11" i="16"/>
  <c r="L11" i="16" s="1"/>
  <c r="U19" i="16"/>
  <c r="J61" i="16"/>
  <c r="T18" i="16"/>
  <c r="T40" i="16"/>
  <c r="U46" i="16"/>
  <c r="U51" i="16"/>
  <c r="U21" i="16"/>
  <c r="J65" i="16"/>
  <c r="L65" i="16"/>
  <c r="L58" i="16"/>
  <c r="M61" i="16"/>
  <c r="M36" i="16"/>
  <c r="K36" i="16"/>
  <c r="L32" i="16"/>
  <c r="L7" i="16"/>
  <c r="J7" i="16"/>
  <c r="C20" i="5"/>
  <c r="C40" i="5"/>
  <c r="E40" i="5" s="1"/>
  <c r="C54" i="5"/>
  <c r="E54" i="5" s="1"/>
  <c r="D36" i="5"/>
  <c r="C43" i="5"/>
  <c r="C53" i="5"/>
  <c r="E53" i="5" s="1"/>
  <c r="D54" i="5"/>
  <c r="D40" i="5"/>
  <c r="D20" i="5"/>
  <c r="D53" i="5"/>
  <c r="D43" i="5"/>
  <c r="D19" i="5"/>
  <c r="D33" i="5"/>
  <c r="C33" i="5"/>
  <c r="E33" i="5" s="1"/>
  <c r="F55" i="16"/>
  <c r="N49" i="3"/>
  <c r="N50" i="3" s="1"/>
  <c r="N51" i="3" s="1"/>
  <c r="N52" i="3" s="1"/>
  <c r="N53" i="3" s="1"/>
  <c r="N54" i="3" s="1"/>
  <c r="N55" i="3" s="1"/>
  <c r="N56" i="3" s="1"/>
  <c r="N57" i="3" s="1"/>
  <c r="N58" i="3" s="1"/>
  <c r="N59" i="3" s="1"/>
  <c r="N60" i="3" s="1"/>
  <c r="N61" i="3" s="1"/>
  <c r="N62" i="3" s="1"/>
  <c r="N63" i="3" s="1"/>
  <c r="N64" i="3" s="1"/>
  <c r="N65" i="3" s="1"/>
  <c r="N66" i="3" s="1"/>
  <c r="N67" i="3" s="1"/>
  <c r="N68" i="3" s="1"/>
  <c r="N69" i="3" s="1"/>
  <c r="N70" i="3" s="1"/>
  <c r="N71" i="3" s="1"/>
  <c r="N72" i="3" s="1"/>
  <c r="N73" i="3" s="1"/>
  <c r="N74" i="3" s="1"/>
  <c r="N75" i="3" s="1"/>
  <c r="N76" i="3" s="1"/>
  <c r="N77" i="3" s="1"/>
  <c r="N78" i="3" s="1"/>
  <c r="N79" i="3" s="1"/>
  <c r="N80" i="3" s="1"/>
  <c r="N81" i="3" s="1"/>
  <c r="N82" i="3" s="1"/>
  <c r="N83" i="3" s="1"/>
  <c r="N84" i="3" s="1"/>
  <c r="N85" i="3" s="1"/>
  <c r="N86" i="3" s="1"/>
  <c r="N87" i="3" s="1"/>
  <c r="N88" i="3" s="1"/>
  <c r="N89" i="3" s="1"/>
  <c r="N90" i="3" s="1"/>
  <c r="N91" i="3" s="1"/>
  <c r="N92" i="3" s="1"/>
  <c r="N93" i="3" s="1"/>
  <c r="N94" i="3" s="1"/>
  <c r="N95" i="3" s="1"/>
  <c r="N96" i="3" s="1"/>
  <c r="N97" i="3" s="1"/>
  <c r="N98" i="3" s="1"/>
  <c r="N99" i="3" s="1"/>
  <c r="N100" i="3" s="1"/>
  <c r="N101" i="3" s="1"/>
  <c r="N102" i="3" s="1"/>
  <c r="N103" i="3" s="1"/>
  <c r="N104" i="3" s="1"/>
  <c r="N105" i="3" s="1"/>
  <c r="N106" i="3" s="1"/>
  <c r="N107" i="3" s="1"/>
  <c r="N108" i="3" s="1"/>
  <c r="T39" i="7"/>
  <c r="S40" i="7"/>
  <c r="S36" i="7"/>
  <c r="F64" i="15"/>
  <c r="M49" i="3"/>
  <c r="D18" i="3"/>
  <c r="F22" i="5" l="1"/>
  <c r="E43" i="5"/>
  <c r="E20" i="5"/>
  <c r="F34" i="5"/>
  <c r="K63" i="16"/>
  <c r="C14" i="5"/>
  <c r="E15" i="5"/>
  <c r="F56" i="5"/>
  <c r="E66" i="5"/>
  <c r="G7" i="15"/>
  <c r="G11" i="15"/>
  <c r="G15" i="15"/>
  <c r="G19" i="15"/>
  <c r="G23" i="15"/>
  <c r="G27" i="15"/>
  <c r="G31" i="15"/>
  <c r="G35" i="15"/>
  <c r="G39" i="15"/>
  <c r="G43" i="15"/>
  <c r="G47" i="15"/>
  <c r="G51" i="15"/>
  <c r="G55" i="15"/>
  <c r="G59" i="15"/>
  <c r="G63" i="15"/>
  <c r="G8" i="15"/>
  <c r="G12" i="15"/>
  <c r="G16" i="15"/>
  <c r="G20" i="15"/>
  <c r="G24" i="15"/>
  <c r="G28" i="15"/>
  <c r="G32" i="15"/>
  <c r="G36" i="15"/>
  <c r="G40" i="15"/>
  <c r="G44" i="15"/>
  <c r="G48" i="15"/>
  <c r="G52" i="15"/>
  <c r="G56" i="15"/>
  <c r="G60" i="15"/>
  <c r="G64" i="15"/>
  <c r="G6" i="15"/>
  <c r="G9" i="15"/>
  <c r="G13" i="15"/>
  <c r="G17" i="15"/>
  <c r="G21" i="15"/>
  <c r="G25" i="15"/>
  <c r="G29" i="15"/>
  <c r="G33" i="15"/>
  <c r="G37" i="15"/>
  <c r="G41" i="15"/>
  <c r="G45" i="15"/>
  <c r="G49" i="15"/>
  <c r="G53" i="15"/>
  <c r="G57" i="15"/>
  <c r="G61" i="15"/>
  <c r="G65" i="15"/>
  <c r="G18" i="15"/>
  <c r="G34" i="15"/>
  <c r="G50" i="15"/>
  <c r="G22" i="15"/>
  <c r="G38" i="15"/>
  <c r="G54" i="15"/>
  <c r="G10" i="15"/>
  <c r="G26" i="15"/>
  <c r="G42" i="15"/>
  <c r="G58" i="15"/>
  <c r="G14" i="15"/>
  <c r="G30" i="15"/>
  <c r="G46" i="15"/>
  <c r="G62" i="15"/>
  <c r="H7" i="15"/>
  <c r="H11" i="15"/>
  <c r="H15" i="15"/>
  <c r="H19" i="15"/>
  <c r="H23" i="15"/>
  <c r="H27" i="15"/>
  <c r="H31" i="15"/>
  <c r="H35" i="15"/>
  <c r="H39" i="15"/>
  <c r="H43" i="15"/>
  <c r="H47" i="15"/>
  <c r="H51" i="15"/>
  <c r="H55" i="15"/>
  <c r="H59" i="15"/>
  <c r="H63" i="15"/>
  <c r="H8" i="15"/>
  <c r="H12" i="15"/>
  <c r="H16" i="15"/>
  <c r="H20" i="15"/>
  <c r="H24" i="15"/>
  <c r="H28" i="15"/>
  <c r="H32" i="15"/>
  <c r="H36" i="15"/>
  <c r="H40" i="15"/>
  <c r="H44" i="15"/>
  <c r="H48" i="15"/>
  <c r="H52" i="15"/>
  <c r="H56" i="15"/>
  <c r="H60" i="15"/>
  <c r="H64" i="15"/>
  <c r="H9" i="15"/>
  <c r="H13" i="15"/>
  <c r="H17" i="15"/>
  <c r="H21" i="15"/>
  <c r="H25" i="15"/>
  <c r="H29" i="15"/>
  <c r="H33" i="15"/>
  <c r="H37" i="15"/>
  <c r="H41" i="15"/>
  <c r="H45" i="15"/>
  <c r="H49" i="15"/>
  <c r="H53" i="15"/>
  <c r="H57" i="15"/>
  <c r="H61" i="15"/>
  <c r="H65" i="15"/>
  <c r="H14" i="15"/>
  <c r="H30" i="15"/>
  <c r="H46" i="15"/>
  <c r="H62" i="15"/>
  <c r="H18" i="15"/>
  <c r="H34" i="15"/>
  <c r="H50" i="15"/>
  <c r="H22" i="15"/>
  <c r="H38" i="15"/>
  <c r="H54" i="15"/>
  <c r="H10" i="15"/>
  <c r="H26" i="15"/>
  <c r="H42" i="15"/>
  <c r="H58" i="15"/>
  <c r="R28" i="6"/>
  <c r="T36" i="6"/>
  <c r="V36" i="6" s="1"/>
  <c r="Z36" i="6" s="1"/>
  <c r="P28" i="6"/>
  <c r="N28" i="6"/>
  <c r="K4" i="6"/>
  <c r="N34" i="6"/>
  <c r="T4" i="6"/>
  <c r="R4" i="6"/>
  <c r="P4" i="6"/>
  <c r="N6" i="6"/>
  <c r="K6" i="6"/>
  <c r="I63" i="16"/>
  <c r="Q63" i="16"/>
  <c r="M41" i="16"/>
  <c r="J36" i="16"/>
  <c r="Q32" i="16"/>
  <c r="N24" i="6"/>
  <c r="K24" i="6"/>
  <c r="J32" i="16"/>
  <c r="T30" i="6"/>
  <c r="V30" i="6" s="1"/>
  <c r="Z30" i="6" s="1"/>
  <c r="V22" i="6"/>
  <c r="Z22" i="6" s="1"/>
  <c r="AC22" i="6" s="1"/>
  <c r="V34" i="6"/>
  <c r="Z34" i="6" s="1"/>
  <c r="V28" i="6"/>
  <c r="R18" i="6"/>
  <c r="T18" i="6"/>
  <c r="V16" i="6"/>
  <c r="Z16" i="6" s="1"/>
  <c r="AI16" i="6" s="1"/>
  <c r="N58" i="16"/>
  <c r="O40" i="16"/>
  <c r="O39" i="16"/>
  <c r="K37" i="16"/>
  <c r="O41" i="16"/>
  <c r="N7" i="16"/>
  <c r="N52" i="16"/>
  <c r="N11" i="16"/>
  <c r="I35" i="16"/>
  <c r="I36" i="16"/>
  <c r="I57" i="16"/>
  <c r="N61" i="16"/>
  <c r="O63" i="16"/>
  <c r="O37" i="16"/>
  <c r="N19" i="16"/>
  <c r="N32" i="16"/>
  <c r="M35" i="16"/>
  <c r="I40" i="16"/>
  <c r="K54" i="16"/>
  <c r="O32" i="16"/>
  <c r="I61" i="16"/>
  <c r="H19" i="16"/>
  <c r="O65" i="16"/>
  <c r="M40" i="16"/>
  <c r="L36" i="16"/>
  <c r="N65" i="16"/>
  <c r="I43" i="16"/>
  <c r="N37" i="16"/>
  <c r="Q37" i="16"/>
  <c r="L52" i="16"/>
  <c r="M32" i="16"/>
  <c r="K32" i="16"/>
  <c r="N36" i="16"/>
  <c r="U55" i="16"/>
  <c r="Q55" i="16" s="1"/>
  <c r="Q57" i="16"/>
  <c r="O57" i="16"/>
  <c r="P52" i="16"/>
  <c r="K57" i="16"/>
  <c r="O11" i="16"/>
  <c r="Q61" i="16"/>
  <c r="K11" i="16"/>
  <c r="K47" i="16"/>
  <c r="Q65" i="16"/>
  <c r="P19" i="16"/>
  <c r="I41" i="16"/>
  <c r="I65" i="16"/>
  <c r="H58" i="16"/>
  <c r="P48" i="16"/>
  <c r="H48" i="16"/>
  <c r="J48" i="16"/>
  <c r="H32" i="16"/>
  <c r="J37" i="16"/>
  <c r="I39" i="16"/>
  <c r="M47" i="16"/>
  <c r="Q11" i="16"/>
  <c r="P36" i="16"/>
  <c r="L48" i="16"/>
  <c r="Q47" i="16"/>
  <c r="H36" i="16"/>
  <c r="P65" i="16"/>
  <c r="L19" i="16"/>
  <c r="Q40" i="16"/>
  <c r="M57" i="16"/>
  <c r="K61" i="16"/>
  <c r="K65" i="16"/>
  <c r="I32" i="16"/>
  <c r="I37" i="16"/>
  <c r="P7" i="16"/>
  <c r="P32" i="16"/>
  <c r="B34" i="9"/>
  <c r="H7" i="16"/>
  <c r="I53" i="16"/>
  <c r="T33" i="16"/>
  <c r="O47" i="16"/>
  <c r="M11" i="16"/>
  <c r="P58" i="16"/>
  <c r="N48" i="16"/>
  <c r="J19" i="16"/>
  <c r="H65" i="16"/>
  <c r="K41" i="16"/>
  <c r="J58" i="16"/>
  <c r="H52" i="16"/>
  <c r="C56" i="5"/>
  <c r="E56" i="5" s="1"/>
  <c r="N47" i="16"/>
  <c r="P47" i="16"/>
  <c r="L47" i="16"/>
  <c r="I55" i="16"/>
  <c r="N40" i="16"/>
  <c r="P40" i="16"/>
  <c r="L40" i="16"/>
  <c r="H40" i="16"/>
  <c r="J40" i="16"/>
  <c r="P39" i="16"/>
  <c r="L39" i="16"/>
  <c r="N39" i="16"/>
  <c r="J39" i="16"/>
  <c r="H39" i="16"/>
  <c r="N50" i="16"/>
  <c r="P50" i="16"/>
  <c r="J50" i="16"/>
  <c r="H50" i="16"/>
  <c r="H41" i="16"/>
  <c r="P41" i="16"/>
  <c r="J41" i="16"/>
  <c r="Q52" i="16"/>
  <c r="O52" i="16"/>
  <c r="M52" i="16"/>
  <c r="K52" i="16"/>
  <c r="I52" i="16"/>
  <c r="B30" i="9"/>
  <c r="O55" i="16"/>
  <c r="H47" i="16"/>
  <c r="N35" i="16"/>
  <c r="L35" i="16"/>
  <c r="P35" i="16"/>
  <c r="H35" i="16"/>
  <c r="J35" i="16"/>
  <c r="Q60" i="16"/>
  <c r="O60" i="16"/>
  <c r="M60" i="16"/>
  <c r="K60" i="16"/>
  <c r="I60" i="16"/>
  <c r="M43" i="16"/>
  <c r="Q43" i="16"/>
  <c r="K43" i="16"/>
  <c r="Q59" i="16"/>
  <c r="O59" i="16"/>
  <c r="M59" i="16"/>
  <c r="I59" i="16"/>
  <c r="K59" i="16"/>
  <c r="P49" i="16"/>
  <c r="N49" i="16"/>
  <c r="L49" i="16"/>
  <c r="J49" i="16"/>
  <c r="H49" i="16"/>
  <c r="B33" i="9"/>
  <c r="B31" i="9"/>
  <c r="N41" i="16"/>
  <c r="K55" i="16"/>
  <c r="L50" i="16"/>
  <c r="T21" i="16"/>
  <c r="M51" i="16"/>
  <c r="K51" i="16"/>
  <c r="Q51" i="16"/>
  <c r="I51" i="16"/>
  <c r="O51" i="16"/>
  <c r="M19" i="16"/>
  <c r="O19" i="16"/>
  <c r="K19" i="16"/>
  <c r="Q19" i="16"/>
  <c r="I19" i="16"/>
  <c r="N20" i="16"/>
  <c r="L20" i="16"/>
  <c r="P20" i="16"/>
  <c r="J20" i="16"/>
  <c r="H20" i="16"/>
  <c r="P51" i="16"/>
  <c r="N51" i="16"/>
  <c r="L51" i="16"/>
  <c r="J51" i="16"/>
  <c r="H51" i="16"/>
  <c r="L63" i="16"/>
  <c r="P63" i="16"/>
  <c r="N63" i="16"/>
  <c r="J63" i="16"/>
  <c r="H63" i="16"/>
  <c r="Q20" i="16"/>
  <c r="M20" i="16"/>
  <c r="O20" i="16"/>
  <c r="K20" i="16"/>
  <c r="I20" i="16"/>
  <c r="M39" i="16"/>
  <c r="Q39" i="16"/>
  <c r="K39" i="16"/>
  <c r="P54" i="16"/>
  <c r="N54" i="16"/>
  <c r="J54" i="16"/>
  <c r="H54" i="16"/>
  <c r="L54" i="16"/>
  <c r="P64" i="16"/>
  <c r="N64" i="16"/>
  <c r="L64" i="16"/>
  <c r="J64" i="16"/>
  <c r="H64" i="16"/>
  <c r="Q42" i="16"/>
  <c r="O42" i="16"/>
  <c r="M42" i="16"/>
  <c r="I42" i="16"/>
  <c r="K42" i="16"/>
  <c r="Q48" i="16"/>
  <c r="O48" i="16"/>
  <c r="M48" i="16"/>
  <c r="I48" i="16"/>
  <c r="K48" i="16"/>
  <c r="Q58" i="16"/>
  <c r="O58" i="16"/>
  <c r="M58" i="16"/>
  <c r="I58" i="16"/>
  <c r="K58" i="16"/>
  <c r="O10" i="16"/>
  <c r="M10" i="16"/>
  <c r="K10" i="16"/>
  <c r="Q10" i="16"/>
  <c r="I10" i="16"/>
  <c r="P57" i="16"/>
  <c r="N57" i="16"/>
  <c r="L57" i="16"/>
  <c r="J57" i="16"/>
  <c r="H57" i="16"/>
  <c r="P60" i="16"/>
  <c r="N60" i="16"/>
  <c r="J60" i="16"/>
  <c r="H60" i="16"/>
  <c r="L60" i="16"/>
  <c r="P46" i="16"/>
  <c r="T55" i="16"/>
  <c r="N46" i="16"/>
  <c r="L46" i="16"/>
  <c r="J46" i="16"/>
  <c r="H46" i="16"/>
  <c r="L41" i="16"/>
  <c r="O50" i="16"/>
  <c r="Q50" i="16"/>
  <c r="K50" i="16"/>
  <c r="Q9" i="16"/>
  <c r="I9" i="16"/>
  <c r="O9" i="16"/>
  <c r="M9" i="16"/>
  <c r="K9" i="16"/>
  <c r="Q49" i="16"/>
  <c r="O49" i="16"/>
  <c r="K49" i="16"/>
  <c r="I49" i="16"/>
  <c r="M49" i="16"/>
  <c r="P37" i="16"/>
  <c r="L37" i="16"/>
  <c r="P59" i="16"/>
  <c r="N59" i="16"/>
  <c r="L59" i="16"/>
  <c r="J59" i="16"/>
  <c r="H59" i="16"/>
  <c r="H37" i="16"/>
  <c r="O43" i="16"/>
  <c r="M55" i="16"/>
  <c r="I50" i="16"/>
  <c r="M46" i="16"/>
  <c r="Q46" i="16"/>
  <c r="K46" i="16"/>
  <c r="O46" i="16"/>
  <c r="I46" i="16"/>
  <c r="P11" i="16"/>
  <c r="J11" i="16"/>
  <c r="H11" i="16"/>
  <c r="P43" i="16"/>
  <c r="N43" i="16"/>
  <c r="L43" i="16"/>
  <c r="J43" i="16"/>
  <c r="H43" i="16"/>
  <c r="Q36" i="16"/>
  <c r="O36" i="16"/>
  <c r="M54" i="16"/>
  <c r="Q54" i="16"/>
  <c r="O54" i="16"/>
  <c r="Q7" i="16"/>
  <c r="O7" i="16"/>
  <c r="M7" i="16"/>
  <c r="I7" i="16"/>
  <c r="K7" i="16"/>
  <c r="N42" i="16"/>
  <c r="L42" i="16"/>
  <c r="J42" i="16"/>
  <c r="H42" i="16"/>
  <c r="P42" i="16"/>
  <c r="Q35" i="16"/>
  <c r="O35" i="16"/>
  <c r="K53" i="16"/>
  <c r="Q53" i="16"/>
  <c r="O53" i="16"/>
  <c r="M53" i="16"/>
  <c r="P53" i="16"/>
  <c r="N53" i="16"/>
  <c r="L53" i="16"/>
  <c r="J53" i="16"/>
  <c r="H53" i="16"/>
  <c r="Q64" i="16"/>
  <c r="O64" i="16"/>
  <c r="M64" i="16"/>
  <c r="K64" i="16"/>
  <c r="I64" i="16"/>
  <c r="E22" i="5"/>
  <c r="D56" i="5"/>
  <c r="D13" i="17"/>
  <c r="M50" i="3"/>
  <c r="I8" i="3"/>
  <c r="F10" i="3"/>
  <c r="H10" i="3" s="1"/>
  <c r="H9" i="3"/>
  <c r="F23" i="3"/>
  <c r="F24" i="3"/>
  <c r="F25" i="3"/>
  <c r="F26" i="3"/>
  <c r="F27" i="3"/>
  <c r="F28" i="3"/>
  <c r="F29" i="3"/>
  <c r="F30" i="3"/>
  <c r="F22" i="3"/>
  <c r="W12" i="6"/>
  <c r="D4" i="2"/>
  <c r="D13" i="9"/>
  <c r="J12" i="6"/>
  <c r="K12" i="6" s="1"/>
  <c r="J10" i="6"/>
  <c r="K10" i="6" s="1"/>
  <c r="AD12" i="6"/>
  <c r="AD10" i="6"/>
  <c r="H8" i="3"/>
  <c r="K47" i="3"/>
  <c r="J47" i="3"/>
  <c r="I47" i="3"/>
  <c r="H47" i="3"/>
  <c r="G47" i="3"/>
  <c r="F47" i="3"/>
  <c r="E47" i="3"/>
  <c r="D47" i="3"/>
  <c r="C47" i="3"/>
  <c r="I6" i="8"/>
  <c r="G13" i="8"/>
  <c r="G14" i="8"/>
  <c r="G12" i="8"/>
  <c r="G15" i="8" s="1"/>
  <c r="F13" i="8"/>
  <c r="F14" i="8"/>
  <c r="F12" i="8"/>
  <c r="E13" i="8"/>
  <c r="E14" i="8"/>
  <c r="E12" i="8"/>
  <c r="D13" i="8"/>
  <c r="D14" i="8"/>
  <c r="D15" i="8" s="1"/>
  <c r="D12" i="8"/>
  <c r="E15" i="8"/>
  <c r="E34" i="5" l="1"/>
  <c r="AI30" i="6"/>
  <c r="AJ30" i="6"/>
  <c r="AK36" i="6"/>
  <c r="AJ36" i="6"/>
  <c r="AB36" i="6"/>
  <c r="AI36" i="6"/>
  <c r="AC36" i="6"/>
  <c r="Z28" i="6"/>
  <c r="V4" i="6"/>
  <c r="Z4" i="6" s="1"/>
  <c r="AK30" i="6"/>
  <c r="AI4" i="6"/>
  <c r="AC4" i="6"/>
  <c r="AB4" i="6"/>
  <c r="AJ4" i="6"/>
  <c r="AK4" i="6"/>
  <c r="P6" i="6"/>
  <c r="R6" i="6"/>
  <c r="T6" i="6"/>
  <c r="AC30" i="6"/>
  <c r="AB30" i="6"/>
  <c r="AE30" i="6" s="1"/>
  <c r="AG30" i="6" s="1"/>
  <c r="AI22" i="6"/>
  <c r="AL22" i="6" s="1"/>
  <c r="AK22" i="6"/>
  <c r="P24" i="6"/>
  <c r="T24" i="6"/>
  <c r="R24" i="6"/>
  <c r="AJ22" i="6"/>
  <c r="AB22" i="6"/>
  <c r="AE36" i="6"/>
  <c r="AG36" i="6" s="1"/>
  <c r="V18" i="6"/>
  <c r="Z18" i="6" s="1"/>
  <c r="AI18" i="6" s="1"/>
  <c r="AL18" i="6" s="1"/>
  <c r="AL36" i="6"/>
  <c r="AM36" i="6" s="1"/>
  <c r="AB34" i="6"/>
  <c r="AK34" i="6"/>
  <c r="AC34" i="6"/>
  <c r="AJ34" i="6"/>
  <c r="AI34" i="6"/>
  <c r="AB28" i="6"/>
  <c r="AJ28" i="6"/>
  <c r="AI28" i="6"/>
  <c r="AC28" i="6"/>
  <c r="AK28" i="6"/>
  <c r="AL30" i="6"/>
  <c r="AM30" i="6" s="1"/>
  <c r="AE22" i="6"/>
  <c r="AG22" i="6" s="1"/>
  <c r="AJ16" i="6"/>
  <c r="AB16" i="6"/>
  <c r="AK16" i="6"/>
  <c r="AC16" i="6"/>
  <c r="AL16" i="6"/>
  <c r="N55" i="16"/>
  <c r="L55" i="16"/>
  <c r="H55" i="16"/>
  <c r="P55" i="16"/>
  <c r="J55" i="16"/>
  <c r="M51" i="3"/>
  <c r="D21" i="9"/>
  <c r="D17" i="9"/>
  <c r="N12" i="6"/>
  <c r="F15" i="8"/>
  <c r="AM22" i="6" l="1"/>
  <c r="AL4" i="6"/>
  <c r="AM4" i="6" s="1"/>
  <c r="V6" i="6"/>
  <c r="Z6" i="6" s="1"/>
  <c r="AE4" i="6"/>
  <c r="AG4" i="6" s="1"/>
  <c r="AE16" i="6"/>
  <c r="AG16" i="6" s="1"/>
  <c r="AK18" i="6"/>
  <c r="AB18" i="6"/>
  <c r="AE34" i="6"/>
  <c r="AG34" i="6" s="1"/>
  <c r="V24" i="6"/>
  <c r="Z24" i="6" s="1"/>
  <c r="AC18" i="6"/>
  <c r="AJ18" i="6"/>
  <c r="AM18" i="6" s="1"/>
  <c r="AL34" i="6"/>
  <c r="AM34" i="6" s="1"/>
  <c r="AE28" i="6"/>
  <c r="AG28" i="6" s="1"/>
  <c r="AL28" i="6"/>
  <c r="AM28" i="6" s="1"/>
  <c r="AM16" i="6"/>
  <c r="M52" i="3"/>
  <c r="P12" i="6"/>
  <c r="R12" i="6"/>
  <c r="T12" i="6"/>
  <c r="H6" i="9"/>
  <c r="H7" i="9"/>
  <c r="H5" i="9"/>
  <c r="AJ6" i="6" l="1"/>
  <c r="AI6" i="6"/>
  <c r="AC6" i="6"/>
  <c r="AB6" i="6"/>
  <c r="AK6" i="6"/>
  <c r="AE18" i="6"/>
  <c r="AG18" i="6" s="1"/>
  <c r="AJ24" i="6"/>
  <c r="AB24" i="6"/>
  <c r="AC24" i="6"/>
  <c r="AK24" i="6"/>
  <c r="AI24" i="6"/>
  <c r="AL24" i="6" s="1"/>
  <c r="M53" i="3"/>
  <c r="V12" i="6"/>
  <c r="Z12" i="6" s="1"/>
  <c r="J43" i="3"/>
  <c r="K43" i="3" s="1"/>
  <c r="F159" i="1"/>
  <c r="H159" i="1" s="1"/>
  <c r="D159" i="1"/>
  <c r="G159" i="1" s="1"/>
  <c r="J22" i="3" s="1"/>
  <c r="F155" i="1"/>
  <c r="H155" i="1" s="1"/>
  <c r="D155" i="1"/>
  <c r="G155" i="1" s="1"/>
  <c r="D27" i="3" s="1"/>
  <c r="F151" i="1"/>
  <c r="H151" i="1" s="1"/>
  <c r="D151" i="1"/>
  <c r="G151" i="1" s="1"/>
  <c r="D26" i="3" s="1"/>
  <c r="F147" i="1"/>
  <c r="H147" i="1" s="1"/>
  <c r="D147" i="1"/>
  <c r="G147" i="1" s="1"/>
  <c r="D25" i="3" s="1"/>
  <c r="F142" i="1"/>
  <c r="H142" i="1" s="1"/>
  <c r="D142" i="1"/>
  <c r="G142" i="1" s="1"/>
  <c r="D24" i="3" s="1"/>
  <c r="F137" i="1"/>
  <c r="H137" i="1" s="1"/>
  <c r="D137" i="1"/>
  <c r="G137" i="1" s="1"/>
  <c r="F132" i="1"/>
  <c r="H132" i="1" s="1"/>
  <c r="D132" i="1"/>
  <c r="G132" i="1" s="1"/>
  <c r="D30" i="3" s="1"/>
  <c r="F128" i="1"/>
  <c r="H128" i="1" s="1"/>
  <c r="D128" i="1"/>
  <c r="G128" i="1" s="1"/>
  <c r="D29" i="3" s="1"/>
  <c r="F124" i="1"/>
  <c r="H124" i="1" s="1"/>
  <c r="D124" i="1"/>
  <c r="G124" i="1" s="1"/>
  <c r="F120" i="1"/>
  <c r="H120" i="1" s="1"/>
  <c r="D120" i="1"/>
  <c r="G120" i="1" s="1"/>
  <c r="D9" i="3" s="1"/>
  <c r="F116" i="1"/>
  <c r="H116" i="1" s="1"/>
  <c r="D116" i="1"/>
  <c r="G116" i="1" s="1"/>
  <c r="D22" i="3" s="1"/>
  <c r="G22" i="3" s="1"/>
  <c r="F108" i="1"/>
  <c r="H108" i="1" s="1"/>
  <c r="F110" i="1"/>
  <c r="H110" i="1" s="1"/>
  <c r="F86" i="1"/>
  <c r="H86" i="1" s="1"/>
  <c r="F90" i="1"/>
  <c r="H90" i="1" s="1"/>
  <c r="F70" i="1"/>
  <c r="H70" i="1" s="1"/>
  <c r="F72" i="1"/>
  <c r="H72" i="1" s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2" i="1"/>
  <c r="H62" i="1" s="1"/>
  <c r="F63" i="1"/>
  <c r="H63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26" i="1"/>
  <c r="H26" i="1" s="1"/>
  <c r="F106" i="1"/>
  <c r="F99" i="1"/>
  <c r="H99" i="1" s="1"/>
  <c r="F84" i="1"/>
  <c r="H84" i="1" s="1"/>
  <c r="F78" i="1"/>
  <c r="F68" i="1"/>
  <c r="F55" i="1"/>
  <c r="H55" i="1" s="1"/>
  <c r="F41" i="1"/>
  <c r="H41" i="1" s="1"/>
  <c r="F33" i="1"/>
  <c r="H33" i="1" s="1"/>
  <c r="F34" i="1"/>
  <c r="H34" i="1" s="1"/>
  <c r="F35" i="1"/>
  <c r="H35" i="1" s="1"/>
  <c r="F32" i="1"/>
  <c r="H32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6" i="1"/>
  <c r="H6" i="1" s="1"/>
  <c r="F7" i="1"/>
  <c r="H7" i="1" s="1"/>
  <c r="F8" i="1"/>
  <c r="H8" i="1" s="1"/>
  <c r="F9" i="1"/>
  <c r="H9" i="1" s="1"/>
  <c r="F10" i="1"/>
  <c r="H10" i="1" s="1"/>
  <c r="F11" i="1"/>
  <c r="H11" i="1" s="1"/>
  <c r="F12" i="1"/>
  <c r="H12" i="1" s="1"/>
  <c r="F5" i="1"/>
  <c r="H5" i="1" s="1"/>
  <c r="D14" i="2"/>
  <c r="D13" i="2"/>
  <c r="D11" i="2"/>
  <c r="D8" i="2"/>
  <c r="D7" i="2"/>
  <c r="D6" i="2"/>
  <c r="D5" i="2"/>
  <c r="D70" i="1"/>
  <c r="G70" i="1" s="1"/>
  <c r="B68" i="1"/>
  <c r="D68" i="1" s="1"/>
  <c r="G68" i="1" s="1"/>
  <c r="D72" i="1"/>
  <c r="G72" i="1" s="1"/>
  <c r="D108" i="1"/>
  <c r="G108" i="1" s="1"/>
  <c r="D110" i="1"/>
  <c r="G110" i="1" s="1"/>
  <c r="B106" i="1"/>
  <c r="D106" i="1" s="1"/>
  <c r="G106" i="1" s="1"/>
  <c r="B78" i="1"/>
  <c r="D12" i="2" s="1"/>
  <c r="D90" i="1"/>
  <c r="G90" i="1" s="1"/>
  <c r="D86" i="1"/>
  <c r="G86" i="1" s="1"/>
  <c r="D84" i="1"/>
  <c r="G84" i="1" s="1"/>
  <c r="D99" i="1"/>
  <c r="G99" i="1" s="1"/>
  <c r="D8" i="3" s="1"/>
  <c r="D55" i="1"/>
  <c r="G55" i="1" s="1"/>
  <c r="D56" i="1"/>
  <c r="G56" i="1" s="1"/>
  <c r="D57" i="1"/>
  <c r="G57" i="1" s="1"/>
  <c r="D58" i="1"/>
  <c r="G58" i="1" s="1"/>
  <c r="D59" i="1"/>
  <c r="G59" i="1" s="1"/>
  <c r="D60" i="1"/>
  <c r="G60" i="1" s="1"/>
  <c r="D61" i="1"/>
  <c r="G61" i="1" s="1"/>
  <c r="D62" i="1"/>
  <c r="G62" i="1" s="1"/>
  <c r="D63" i="1"/>
  <c r="G63" i="1" s="1"/>
  <c r="D41" i="1"/>
  <c r="G41" i="1" s="1"/>
  <c r="D42" i="1"/>
  <c r="G42" i="1" s="1"/>
  <c r="D43" i="1"/>
  <c r="G43" i="1" s="1"/>
  <c r="D44" i="1"/>
  <c r="G44" i="1" s="1"/>
  <c r="D45" i="1"/>
  <c r="G45" i="1" s="1"/>
  <c r="D46" i="1"/>
  <c r="G46" i="1" s="1"/>
  <c r="D47" i="1"/>
  <c r="G47" i="1" s="1"/>
  <c r="D48" i="1"/>
  <c r="G48" i="1" s="1"/>
  <c r="D49" i="1"/>
  <c r="G49" i="1" s="1"/>
  <c r="D32" i="1"/>
  <c r="G32" i="1" s="1"/>
  <c r="D33" i="1"/>
  <c r="G33" i="1" s="1"/>
  <c r="D34" i="1"/>
  <c r="G34" i="1" s="1"/>
  <c r="D35" i="1"/>
  <c r="G35" i="1" s="1"/>
  <c r="D18" i="1"/>
  <c r="G18" i="1" s="1"/>
  <c r="D19" i="1"/>
  <c r="G19" i="1" s="1"/>
  <c r="D20" i="1"/>
  <c r="G20" i="1" s="1"/>
  <c r="D21" i="1"/>
  <c r="G21" i="1" s="1"/>
  <c r="D22" i="1"/>
  <c r="G22" i="1" s="1"/>
  <c r="D23" i="1"/>
  <c r="G23" i="1" s="1"/>
  <c r="D24" i="1"/>
  <c r="G24" i="1" s="1"/>
  <c r="D25" i="1"/>
  <c r="G25" i="1" s="1"/>
  <c r="D26" i="1"/>
  <c r="G26" i="1" s="1"/>
  <c r="D5" i="1"/>
  <c r="G5" i="1" s="1"/>
  <c r="D6" i="1"/>
  <c r="G6" i="1" s="1"/>
  <c r="D7" i="1"/>
  <c r="G7" i="1" s="1"/>
  <c r="D8" i="1"/>
  <c r="G8" i="1" s="1"/>
  <c r="D9" i="1"/>
  <c r="G9" i="1" s="1"/>
  <c r="D10" i="1"/>
  <c r="G10" i="1" s="1"/>
  <c r="D11" i="1"/>
  <c r="G11" i="1" s="1"/>
  <c r="D12" i="1"/>
  <c r="G12" i="1" s="1"/>
  <c r="AE6" i="6" l="1"/>
  <c r="AG6" i="6" s="1"/>
  <c r="AL6" i="6"/>
  <c r="AM6" i="6" s="1"/>
  <c r="AE24" i="6"/>
  <c r="AG24" i="6" s="1"/>
  <c r="AM24" i="6"/>
  <c r="D28" i="3"/>
  <c r="H78" i="1"/>
  <c r="D10" i="3"/>
  <c r="D11" i="3" s="1"/>
  <c r="M22" i="3"/>
  <c r="M25" i="3" s="1"/>
  <c r="L48" i="3"/>
  <c r="J25" i="3"/>
  <c r="T14" i="16"/>
  <c r="K44" i="3"/>
  <c r="L43" i="3"/>
  <c r="E13" i="9" s="1"/>
  <c r="M54" i="3"/>
  <c r="U14" i="16"/>
  <c r="G9" i="3"/>
  <c r="J9" i="3"/>
  <c r="G10" i="3"/>
  <c r="J10" i="3"/>
  <c r="J8" i="3"/>
  <c r="AJ12" i="6"/>
  <c r="AK12" i="6"/>
  <c r="AB12" i="6"/>
  <c r="AC12" i="6"/>
  <c r="AI12" i="6"/>
  <c r="G27" i="3"/>
  <c r="H48" i="3"/>
  <c r="G28" i="3"/>
  <c r="I48" i="3"/>
  <c r="G29" i="3"/>
  <c r="J48" i="3"/>
  <c r="G25" i="3"/>
  <c r="F48" i="3"/>
  <c r="G23" i="3"/>
  <c r="D48" i="3"/>
  <c r="G24" i="3"/>
  <c r="E48" i="3"/>
  <c r="G26" i="3"/>
  <c r="G48" i="3"/>
  <c r="D31" i="3"/>
  <c r="C11" i="16" s="1"/>
  <c r="C12" i="17" s="1"/>
  <c r="C48" i="3"/>
  <c r="G30" i="3"/>
  <c r="K48" i="3"/>
  <c r="H68" i="1"/>
  <c r="H106" i="1"/>
  <c r="G8" i="3"/>
  <c r="D78" i="1"/>
  <c r="G78" i="1" s="1"/>
  <c r="W10" i="6"/>
  <c r="L49" i="3" l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L81" i="3" s="1"/>
  <c r="L82" i="3" s="1"/>
  <c r="L83" i="3" s="1"/>
  <c r="L84" i="3" s="1"/>
  <c r="L85" i="3" s="1"/>
  <c r="L86" i="3" s="1"/>
  <c r="L87" i="3" s="1"/>
  <c r="L88" i="3" s="1"/>
  <c r="L89" i="3" s="1"/>
  <c r="L90" i="3" s="1"/>
  <c r="L91" i="3" s="1"/>
  <c r="L92" i="3" s="1"/>
  <c r="L93" i="3" s="1"/>
  <c r="L94" i="3" s="1"/>
  <c r="L95" i="3" s="1"/>
  <c r="L96" i="3" s="1"/>
  <c r="L97" i="3" s="1"/>
  <c r="L98" i="3" s="1"/>
  <c r="L99" i="3" s="1"/>
  <c r="L100" i="3" s="1"/>
  <c r="L101" i="3" s="1"/>
  <c r="L102" i="3" s="1"/>
  <c r="L103" i="3" s="1"/>
  <c r="L104" i="3" s="1"/>
  <c r="L105" i="3" s="1"/>
  <c r="L106" i="3" s="1"/>
  <c r="L107" i="3" s="1"/>
  <c r="L108" i="3" s="1"/>
  <c r="E38" i="16"/>
  <c r="F38" i="16"/>
  <c r="U38" i="16" s="1"/>
  <c r="C37" i="16"/>
  <c r="C14" i="17" s="1"/>
  <c r="L3" i="3"/>
  <c r="D14" i="17"/>
  <c r="R48" i="3"/>
  <c r="L2" i="3"/>
  <c r="D12" i="17"/>
  <c r="E21" i="9"/>
  <c r="E34" i="16" s="1"/>
  <c r="E17" i="9"/>
  <c r="E22" i="16" s="1"/>
  <c r="J16" i="9"/>
  <c r="J17" i="9"/>
  <c r="D22" i="17" s="1"/>
  <c r="M55" i="3"/>
  <c r="E49" i="3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E67" i="3" s="1"/>
  <c r="E68" i="3" s="1"/>
  <c r="E69" i="3" s="1"/>
  <c r="E70" i="3" s="1"/>
  <c r="E71" i="3" s="1"/>
  <c r="E72" i="3" s="1"/>
  <c r="E73" i="3" s="1"/>
  <c r="E74" i="3" s="1"/>
  <c r="E75" i="3" s="1"/>
  <c r="E76" i="3" s="1"/>
  <c r="E77" i="3" s="1"/>
  <c r="E78" i="3" s="1"/>
  <c r="E79" i="3" s="1"/>
  <c r="E80" i="3" s="1"/>
  <c r="E81" i="3" s="1"/>
  <c r="E82" i="3" s="1"/>
  <c r="E83" i="3" s="1"/>
  <c r="E84" i="3" s="1"/>
  <c r="E85" i="3" s="1"/>
  <c r="E86" i="3" s="1"/>
  <c r="E87" i="3" s="1"/>
  <c r="E88" i="3" s="1"/>
  <c r="E89" i="3" s="1"/>
  <c r="E90" i="3" s="1"/>
  <c r="E91" i="3" s="1"/>
  <c r="E92" i="3" s="1"/>
  <c r="E93" i="3" s="1"/>
  <c r="E94" i="3" s="1"/>
  <c r="E95" i="3" s="1"/>
  <c r="E96" i="3" s="1"/>
  <c r="E97" i="3" s="1"/>
  <c r="E98" i="3" s="1"/>
  <c r="E99" i="3" s="1"/>
  <c r="E100" i="3" s="1"/>
  <c r="E101" i="3" s="1"/>
  <c r="E102" i="3" s="1"/>
  <c r="E103" i="3" s="1"/>
  <c r="E104" i="3" s="1"/>
  <c r="E105" i="3" s="1"/>
  <c r="E106" i="3" s="1"/>
  <c r="E107" i="3" s="1"/>
  <c r="E108" i="3" s="1"/>
  <c r="F49" i="3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68" i="3" s="1"/>
  <c r="F69" i="3" s="1"/>
  <c r="F70" i="3" s="1"/>
  <c r="F71" i="3" s="1"/>
  <c r="F72" i="3" s="1"/>
  <c r="F73" i="3" s="1"/>
  <c r="F74" i="3" s="1"/>
  <c r="F75" i="3" s="1"/>
  <c r="F76" i="3" s="1"/>
  <c r="F77" i="3" s="1"/>
  <c r="F78" i="3" s="1"/>
  <c r="F79" i="3" s="1"/>
  <c r="F80" i="3" s="1"/>
  <c r="F81" i="3" s="1"/>
  <c r="F82" i="3" s="1"/>
  <c r="F83" i="3" s="1"/>
  <c r="F84" i="3" s="1"/>
  <c r="F85" i="3" s="1"/>
  <c r="F86" i="3" s="1"/>
  <c r="F87" i="3" s="1"/>
  <c r="F88" i="3" s="1"/>
  <c r="F89" i="3" s="1"/>
  <c r="F90" i="3" s="1"/>
  <c r="F91" i="3" s="1"/>
  <c r="F92" i="3" s="1"/>
  <c r="F93" i="3" s="1"/>
  <c r="F94" i="3" s="1"/>
  <c r="F95" i="3" s="1"/>
  <c r="F96" i="3" s="1"/>
  <c r="F97" i="3" s="1"/>
  <c r="F98" i="3" s="1"/>
  <c r="F99" i="3" s="1"/>
  <c r="F100" i="3" s="1"/>
  <c r="F101" i="3" s="1"/>
  <c r="F102" i="3" s="1"/>
  <c r="F103" i="3" s="1"/>
  <c r="F104" i="3" s="1"/>
  <c r="F105" i="3" s="1"/>
  <c r="F106" i="3" s="1"/>
  <c r="F107" i="3" s="1"/>
  <c r="F108" i="3" s="1"/>
  <c r="J11" i="3"/>
  <c r="G49" i="3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G69" i="3" s="1"/>
  <c r="G70" i="3" s="1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G82" i="3" s="1"/>
  <c r="G83" i="3" s="1"/>
  <c r="G84" i="3" s="1"/>
  <c r="G85" i="3" s="1"/>
  <c r="G86" i="3" s="1"/>
  <c r="G87" i="3" s="1"/>
  <c r="G88" i="3" s="1"/>
  <c r="G89" i="3" s="1"/>
  <c r="G90" i="3" s="1"/>
  <c r="G91" i="3" s="1"/>
  <c r="G92" i="3" s="1"/>
  <c r="G93" i="3" s="1"/>
  <c r="G94" i="3" s="1"/>
  <c r="G95" i="3" s="1"/>
  <c r="G96" i="3" s="1"/>
  <c r="G97" i="3" s="1"/>
  <c r="G98" i="3" s="1"/>
  <c r="G99" i="3" s="1"/>
  <c r="G100" i="3" s="1"/>
  <c r="G101" i="3" s="1"/>
  <c r="G102" i="3" s="1"/>
  <c r="G103" i="3" s="1"/>
  <c r="G104" i="3" s="1"/>
  <c r="G105" i="3" s="1"/>
  <c r="G106" i="3" s="1"/>
  <c r="G107" i="3" s="1"/>
  <c r="G108" i="3" s="1"/>
  <c r="D49" i="3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D90" i="3" s="1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J49" i="3"/>
  <c r="J50" i="3" s="1"/>
  <c r="J51" i="3" s="1"/>
  <c r="J52" i="3" s="1"/>
  <c r="J53" i="3" s="1"/>
  <c r="J54" i="3" s="1"/>
  <c r="J55" i="3" s="1"/>
  <c r="J56" i="3" s="1"/>
  <c r="J57" i="3" s="1"/>
  <c r="J58" i="3" s="1"/>
  <c r="J59" i="3" s="1"/>
  <c r="J60" i="3" s="1"/>
  <c r="J61" i="3" s="1"/>
  <c r="J62" i="3" s="1"/>
  <c r="J63" i="3" s="1"/>
  <c r="J64" i="3" s="1"/>
  <c r="J65" i="3" s="1"/>
  <c r="J66" i="3" s="1"/>
  <c r="J67" i="3" s="1"/>
  <c r="J68" i="3" s="1"/>
  <c r="J69" i="3" s="1"/>
  <c r="J70" i="3" s="1"/>
  <c r="J71" i="3" s="1"/>
  <c r="J72" i="3" s="1"/>
  <c r="J73" i="3" s="1"/>
  <c r="J74" i="3" s="1"/>
  <c r="J75" i="3" s="1"/>
  <c r="J76" i="3" s="1"/>
  <c r="J77" i="3" s="1"/>
  <c r="J78" i="3" s="1"/>
  <c r="J79" i="3" s="1"/>
  <c r="J80" i="3" s="1"/>
  <c r="J81" i="3" s="1"/>
  <c r="J82" i="3" s="1"/>
  <c r="J83" i="3" s="1"/>
  <c r="J84" i="3" s="1"/>
  <c r="J85" i="3" s="1"/>
  <c r="J86" i="3" s="1"/>
  <c r="J87" i="3" s="1"/>
  <c r="J88" i="3" s="1"/>
  <c r="J89" i="3" s="1"/>
  <c r="J90" i="3" s="1"/>
  <c r="J91" i="3" s="1"/>
  <c r="J92" i="3" s="1"/>
  <c r="J93" i="3" s="1"/>
  <c r="J94" i="3" s="1"/>
  <c r="J95" i="3" s="1"/>
  <c r="J96" i="3" s="1"/>
  <c r="J97" i="3" s="1"/>
  <c r="J98" i="3" s="1"/>
  <c r="J99" i="3" s="1"/>
  <c r="J100" i="3" s="1"/>
  <c r="J101" i="3" s="1"/>
  <c r="J102" i="3" s="1"/>
  <c r="J103" i="3" s="1"/>
  <c r="J104" i="3" s="1"/>
  <c r="J105" i="3" s="1"/>
  <c r="J106" i="3" s="1"/>
  <c r="J107" i="3" s="1"/>
  <c r="J108" i="3" s="1"/>
  <c r="H49" i="3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H62" i="3" s="1"/>
  <c r="H63" i="3" s="1"/>
  <c r="H64" i="3" s="1"/>
  <c r="H65" i="3" s="1"/>
  <c r="H66" i="3" s="1"/>
  <c r="H67" i="3" s="1"/>
  <c r="H68" i="3" s="1"/>
  <c r="H69" i="3" s="1"/>
  <c r="H70" i="3" s="1"/>
  <c r="H71" i="3" s="1"/>
  <c r="H72" i="3" s="1"/>
  <c r="H73" i="3" s="1"/>
  <c r="H74" i="3" s="1"/>
  <c r="H75" i="3" s="1"/>
  <c r="H76" i="3" s="1"/>
  <c r="H77" i="3" s="1"/>
  <c r="H78" i="3" s="1"/>
  <c r="H79" i="3" s="1"/>
  <c r="H80" i="3" s="1"/>
  <c r="H81" i="3" s="1"/>
  <c r="H82" i="3" s="1"/>
  <c r="H83" i="3" s="1"/>
  <c r="H84" i="3" s="1"/>
  <c r="H85" i="3" s="1"/>
  <c r="H86" i="3" s="1"/>
  <c r="H87" i="3" s="1"/>
  <c r="H88" i="3" s="1"/>
  <c r="H89" i="3" s="1"/>
  <c r="H90" i="3" s="1"/>
  <c r="H91" i="3" s="1"/>
  <c r="H92" i="3" s="1"/>
  <c r="H93" i="3" s="1"/>
  <c r="H94" i="3" s="1"/>
  <c r="H95" i="3" s="1"/>
  <c r="H96" i="3" s="1"/>
  <c r="H97" i="3" s="1"/>
  <c r="H98" i="3" s="1"/>
  <c r="H99" i="3" s="1"/>
  <c r="H100" i="3" s="1"/>
  <c r="H101" i="3" s="1"/>
  <c r="H102" i="3" s="1"/>
  <c r="H103" i="3" s="1"/>
  <c r="H104" i="3" s="1"/>
  <c r="H105" i="3" s="1"/>
  <c r="H106" i="3" s="1"/>
  <c r="H107" i="3" s="1"/>
  <c r="H108" i="3" s="1"/>
  <c r="I49" i="3"/>
  <c r="I50" i="3" s="1"/>
  <c r="G11" i="3"/>
  <c r="L1" i="3" s="1"/>
  <c r="D10" i="2"/>
  <c r="D15" i="2" s="1"/>
  <c r="G31" i="3"/>
  <c r="E12" i="16" s="1"/>
  <c r="AE12" i="6"/>
  <c r="AG12" i="6" s="1"/>
  <c r="AL12" i="6"/>
  <c r="AM12" i="6" s="1"/>
  <c r="K49" i="3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K69" i="3" s="1"/>
  <c r="K70" i="3" s="1"/>
  <c r="K71" i="3" s="1"/>
  <c r="K72" i="3" s="1"/>
  <c r="K73" i="3" s="1"/>
  <c r="K74" i="3" s="1"/>
  <c r="K75" i="3" s="1"/>
  <c r="K76" i="3" s="1"/>
  <c r="K77" i="3" s="1"/>
  <c r="K78" i="3" s="1"/>
  <c r="K79" i="3" s="1"/>
  <c r="K80" i="3" s="1"/>
  <c r="K81" i="3" s="1"/>
  <c r="K82" i="3" s="1"/>
  <c r="K83" i="3" s="1"/>
  <c r="K84" i="3" s="1"/>
  <c r="K85" i="3" s="1"/>
  <c r="K86" i="3" s="1"/>
  <c r="K87" i="3" s="1"/>
  <c r="K88" i="3" s="1"/>
  <c r="K89" i="3" s="1"/>
  <c r="K90" i="3" s="1"/>
  <c r="K91" i="3" s="1"/>
  <c r="K92" i="3" s="1"/>
  <c r="K93" i="3" s="1"/>
  <c r="K94" i="3" s="1"/>
  <c r="K95" i="3" s="1"/>
  <c r="K96" i="3" s="1"/>
  <c r="K97" i="3" s="1"/>
  <c r="K98" i="3" s="1"/>
  <c r="K99" i="3" s="1"/>
  <c r="K100" i="3" s="1"/>
  <c r="K101" i="3" s="1"/>
  <c r="K102" i="3" s="1"/>
  <c r="K103" i="3" s="1"/>
  <c r="K104" i="3" s="1"/>
  <c r="K105" i="3" s="1"/>
  <c r="K106" i="3" s="1"/>
  <c r="K107" i="3" s="1"/>
  <c r="K108" i="3" s="1"/>
  <c r="C49" i="3"/>
  <c r="T22" i="16" l="1"/>
  <c r="T34" i="16"/>
  <c r="J34" i="16" s="1"/>
  <c r="F39" i="5"/>
  <c r="T38" i="16"/>
  <c r="T12" i="16"/>
  <c r="L34" i="16"/>
  <c r="P34" i="16"/>
  <c r="P22" i="16"/>
  <c r="H22" i="16"/>
  <c r="N22" i="16"/>
  <c r="L22" i="16"/>
  <c r="J22" i="16"/>
  <c r="C10" i="16"/>
  <c r="C10" i="17" s="1"/>
  <c r="E10" i="16"/>
  <c r="C39" i="5"/>
  <c r="D39" i="5"/>
  <c r="T17" i="16"/>
  <c r="R49" i="3"/>
  <c r="F34" i="16"/>
  <c r="U34" i="16" s="1"/>
  <c r="F12" i="16"/>
  <c r="U12" i="16" s="1"/>
  <c r="L4" i="3"/>
  <c r="F22" i="16"/>
  <c r="U22" i="16" s="1"/>
  <c r="M56" i="3"/>
  <c r="U17" i="16"/>
  <c r="C18" i="2"/>
  <c r="I51" i="3"/>
  <c r="C50" i="3"/>
  <c r="R50" i="3" s="1"/>
  <c r="R10" i="6"/>
  <c r="T10" i="6"/>
  <c r="N10" i="6"/>
  <c r="P10" i="6"/>
  <c r="N34" i="16" l="1"/>
  <c r="H34" i="16"/>
  <c r="F35" i="5"/>
  <c r="E39" i="5"/>
  <c r="F13" i="5"/>
  <c r="F11" i="5"/>
  <c r="C11" i="5"/>
  <c r="E11" i="5" s="1"/>
  <c r="T10" i="16"/>
  <c r="F23" i="5"/>
  <c r="D9" i="5"/>
  <c r="E13" i="5"/>
  <c r="Q34" i="16"/>
  <c r="M34" i="16"/>
  <c r="O34" i="16"/>
  <c r="K34" i="16"/>
  <c r="I34" i="16"/>
  <c r="O22" i="16"/>
  <c r="M22" i="16"/>
  <c r="K22" i="16"/>
  <c r="I22" i="16"/>
  <c r="Q22" i="16"/>
  <c r="P12" i="16"/>
  <c r="N12" i="16"/>
  <c r="L12" i="16"/>
  <c r="J12" i="16"/>
  <c r="H12" i="16"/>
  <c r="P38" i="16"/>
  <c r="N38" i="16"/>
  <c r="L38" i="16"/>
  <c r="J38" i="16"/>
  <c r="H38" i="16"/>
  <c r="Q38" i="16"/>
  <c r="O38" i="16"/>
  <c r="M38" i="16"/>
  <c r="K38" i="16"/>
  <c r="I38" i="16"/>
  <c r="C35" i="5"/>
  <c r="D35" i="5"/>
  <c r="C23" i="5"/>
  <c r="D23" i="5"/>
  <c r="D18" i="5"/>
  <c r="E18" i="5" s="1"/>
  <c r="M57" i="3"/>
  <c r="C19" i="2"/>
  <c r="I52" i="3"/>
  <c r="C51" i="3"/>
  <c r="R51" i="3" s="1"/>
  <c r="V10" i="6"/>
  <c r="Z10" i="6" s="1"/>
  <c r="E23" i="5" l="1"/>
  <c r="E35" i="5"/>
  <c r="M17" i="18"/>
  <c r="M21" i="18"/>
  <c r="M25" i="18"/>
  <c r="M18" i="18"/>
  <c r="M22" i="18"/>
  <c r="M26" i="18"/>
  <c r="M20" i="18"/>
  <c r="M16" i="18"/>
  <c r="M19" i="18"/>
  <c r="M23" i="18"/>
  <c r="M27" i="18"/>
  <c r="M24" i="18"/>
  <c r="M57" i="18"/>
  <c r="M59" i="18"/>
  <c r="M28" i="18"/>
  <c r="M32" i="18"/>
  <c r="M29" i="18"/>
  <c r="M33" i="18"/>
  <c r="M31" i="18"/>
  <c r="M34" i="18"/>
  <c r="M30" i="18"/>
  <c r="M35" i="18"/>
  <c r="AV6" i="6"/>
  <c r="AP6" i="6"/>
  <c r="AV4" i="6"/>
  <c r="AP4" i="6"/>
  <c r="AU6" i="6"/>
  <c r="AO6" i="6"/>
  <c r="AU4" i="6"/>
  <c r="AO4" i="6"/>
  <c r="AR4" i="6" s="1"/>
  <c r="AZ4" i="6" s="1"/>
  <c r="AQ4" i="6"/>
  <c r="AT6" i="6"/>
  <c r="AW6" i="6" s="1"/>
  <c r="AT4" i="6"/>
  <c r="AW4" i="6" s="1"/>
  <c r="AQ6" i="6"/>
  <c r="AQ36" i="6"/>
  <c r="AT34" i="6"/>
  <c r="AO34" i="6"/>
  <c r="AT30" i="6"/>
  <c r="AT28" i="6"/>
  <c r="AO28" i="6"/>
  <c r="AU24" i="6"/>
  <c r="AO24" i="6"/>
  <c r="AU22" i="6"/>
  <c r="AP22" i="6"/>
  <c r="AV36" i="6"/>
  <c r="AP36" i="6"/>
  <c r="AQ30" i="6"/>
  <c r="AT24" i="6"/>
  <c r="AT22" i="6"/>
  <c r="AO22" i="6"/>
  <c r="AU36" i="6"/>
  <c r="AO36" i="6"/>
  <c r="AV34" i="6"/>
  <c r="AQ34" i="6"/>
  <c r="AV30" i="6"/>
  <c r="AP30" i="6"/>
  <c r="AV28" i="6"/>
  <c r="AQ28" i="6"/>
  <c r="AQ24" i="6"/>
  <c r="AT36" i="6"/>
  <c r="AU34" i="6"/>
  <c r="AP34" i="6"/>
  <c r="AU30" i="6"/>
  <c r="AO30" i="6"/>
  <c r="AU28" i="6"/>
  <c r="AP28" i="6"/>
  <c r="AV24" i="6"/>
  <c r="AP24" i="6"/>
  <c r="AV22" i="6"/>
  <c r="AQ22" i="6"/>
  <c r="AV18" i="6"/>
  <c r="AP18" i="6"/>
  <c r="AU18" i="6"/>
  <c r="AO18" i="6"/>
  <c r="AV16" i="6"/>
  <c r="AQ16" i="6"/>
  <c r="AO16" i="6"/>
  <c r="AT18" i="6"/>
  <c r="AU16" i="6"/>
  <c r="AP16" i="6"/>
  <c r="AQ18" i="6"/>
  <c r="AT16" i="6"/>
  <c r="M37" i="18"/>
  <c r="M38" i="18"/>
  <c r="M39" i="18"/>
  <c r="M36" i="18"/>
  <c r="E9" i="16"/>
  <c r="C9" i="16"/>
  <c r="M49" i="18"/>
  <c r="M50" i="18"/>
  <c r="M51" i="18"/>
  <c r="U8" i="16"/>
  <c r="Q12" i="16"/>
  <c r="M62" i="18" s="1"/>
  <c r="O12" i="16"/>
  <c r="M12" i="16"/>
  <c r="K12" i="16"/>
  <c r="I12" i="16"/>
  <c r="P10" i="16"/>
  <c r="N10" i="16"/>
  <c r="L10" i="16"/>
  <c r="J10" i="16"/>
  <c r="H10" i="16"/>
  <c r="E28" i="16"/>
  <c r="M58" i="3"/>
  <c r="F28" i="16"/>
  <c r="U28" i="16" s="1"/>
  <c r="I53" i="3"/>
  <c r="AP12" i="6"/>
  <c r="AU12" i="6"/>
  <c r="AQ12" i="6"/>
  <c r="AV12" i="6"/>
  <c r="AO12" i="6"/>
  <c r="AT12" i="6"/>
  <c r="C52" i="3"/>
  <c r="R52" i="3" s="1"/>
  <c r="AP10" i="6"/>
  <c r="AO10" i="6"/>
  <c r="AI10" i="6"/>
  <c r="AV10" i="6"/>
  <c r="AQ10" i="6"/>
  <c r="AK10" i="6"/>
  <c r="AU10" i="6"/>
  <c r="AJ10" i="6"/>
  <c r="AT10" i="6"/>
  <c r="AC10" i="6"/>
  <c r="AB10" i="6"/>
  <c r="M54" i="18" l="1"/>
  <c r="M53" i="18"/>
  <c r="M4" i="18"/>
  <c r="M5" i="18"/>
  <c r="M6" i="18"/>
  <c r="M7" i="18"/>
  <c r="M11" i="18"/>
  <c r="M12" i="18"/>
  <c r="M8" i="18"/>
  <c r="M13" i="18"/>
  <c r="M15" i="18"/>
  <c r="M9" i="18"/>
  <c r="M14" i="18"/>
  <c r="M10" i="18"/>
  <c r="M58" i="18"/>
  <c r="M56" i="18"/>
  <c r="M48" i="18"/>
  <c r="M40" i="18"/>
  <c r="M44" i="18"/>
  <c r="M41" i="18"/>
  <c r="M45" i="18"/>
  <c r="M43" i="18"/>
  <c r="M46" i="18"/>
  <c r="M47" i="18"/>
  <c r="M42" i="18"/>
  <c r="T28" i="16"/>
  <c r="F29" i="5"/>
  <c r="C10" i="5"/>
  <c r="F10" i="5"/>
  <c r="T9" i="16"/>
  <c r="M55" i="18"/>
  <c r="M52" i="18"/>
  <c r="AR24" i="6"/>
  <c r="AR6" i="6"/>
  <c r="AZ6" i="6" s="1"/>
  <c r="BB2" i="6" s="1"/>
  <c r="AR16" i="6"/>
  <c r="AR22" i="6"/>
  <c r="AW22" i="6"/>
  <c r="AR34" i="6"/>
  <c r="AW36" i="6"/>
  <c r="AR30" i="6"/>
  <c r="AR36" i="6"/>
  <c r="AW24" i="6"/>
  <c r="AZ24" i="6" s="1"/>
  <c r="AR28" i="6"/>
  <c r="AW34" i="6"/>
  <c r="AW30" i="6"/>
  <c r="AW28" i="6"/>
  <c r="AW16" i="6"/>
  <c r="AZ16" i="6" s="1"/>
  <c r="AW18" i="6"/>
  <c r="AR18" i="6"/>
  <c r="N28" i="16"/>
  <c r="L28" i="16"/>
  <c r="P28" i="16"/>
  <c r="H28" i="16"/>
  <c r="J28" i="16"/>
  <c r="Q28" i="16"/>
  <c r="M28" i="16"/>
  <c r="K28" i="16"/>
  <c r="O28" i="16"/>
  <c r="I28" i="16"/>
  <c r="M61" i="18"/>
  <c r="Q8" i="16"/>
  <c r="O8" i="16"/>
  <c r="M8" i="16"/>
  <c r="K8" i="16"/>
  <c r="I8" i="16"/>
  <c r="C8" i="16"/>
  <c r="C9" i="17"/>
  <c r="C19" i="17" s="1"/>
  <c r="M63" i="18"/>
  <c r="M60" i="18"/>
  <c r="E8" i="16"/>
  <c r="D29" i="5"/>
  <c r="C29" i="5"/>
  <c r="E29" i="5" s="1"/>
  <c r="F8" i="16"/>
  <c r="M59" i="3"/>
  <c r="I54" i="3"/>
  <c r="AW10" i="6"/>
  <c r="AW12" i="6"/>
  <c r="AR12" i="6"/>
  <c r="C53" i="3"/>
  <c r="R53" i="3" s="1"/>
  <c r="AE10" i="6"/>
  <c r="AG10" i="6" s="1"/>
  <c r="AL10" i="6"/>
  <c r="AM10" i="6" s="1"/>
  <c r="AR10" i="6"/>
  <c r="F9" i="5" l="1"/>
  <c r="E10" i="5"/>
  <c r="C9" i="5"/>
  <c r="AZ18" i="6"/>
  <c r="AZ34" i="6"/>
  <c r="AZ36" i="6"/>
  <c r="BB32" i="6" s="1"/>
  <c r="AZ22" i="6"/>
  <c r="BB20" i="6" s="1"/>
  <c r="AZ30" i="6"/>
  <c r="AZ28" i="6"/>
  <c r="BB14" i="6"/>
  <c r="T8" i="16"/>
  <c r="P9" i="16"/>
  <c r="N9" i="16"/>
  <c r="J9" i="16"/>
  <c r="H9" i="16"/>
  <c r="L9" i="16"/>
  <c r="E31" i="16"/>
  <c r="T15" i="16"/>
  <c r="E29" i="16"/>
  <c r="E30" i="16"/>
  <c r="T16" i="16"/>
  <c r="D8" i="17"/>
  <c r="M60" i="3"/>
  <c r="U16" i="16"/>
  <c r="F30" i="16"/>
  <c r="U30" i="16" s="1"/>
  <c r="U15" i="16"/>
  <c r="F31" i="16"/>
  <c r="U31" i="16" s="1"/>
  <c r="F29" i="16"/>
  <c r="U29" i="16" s="1"/>
  <c r="I55" i="3"/>
  <c r="AZ12" i="6"/>
  <c r="C54" i="3"/>
  <c r="R54" i="3" s="1"/>
  <c r="AZ10" i="6"/>
  <c r="T30" i="16" l="1"/>
  <c r="F31" i="5"/>
  <c r="T29" i="16"/>
  <c r="F30" i="5"/>
  <c r="E9" i="5"/>
  <c r="C24" i="5"/>
  <c r="T31" i="16"/>
  <c r="F32" i="5"/>
  <c r="BB26" i="6"/>
  <c r="U13" i="16"/>
  <c r="T13" i="16"/>
  <c r="T23" i="16" s="1"/>
  <c r="N29" i="16"/>
  <c r="L29" i="16"/>
  <c r="J29" i="16"/>
  <c r="H29" i="16"/>
  <c r="P29" i="16"/>
  <c r="T27" i="16"/>
  <c r="O29" i="16"/>
  <c r="Q29" i="16"/>
  <c r="M29" i="16"/>
  <c r="K29" i="16"/>
  <c r="I29" i="16"/>
  <c r="U27" i="16"/>
  <c r="N31" i="16"/>
  <c r="L31" i="16"/>
  <c r="P31" i="16"/>
  <c r="H31" i="16"/>
  <c r="J31" i="16"/>
  <c r="P30" i="16"/>
  <c r="N30" i="16"/>
  <c r="J30" i="16"/>
  <c r="H30" i="16"/>
  <c r="L30" i="16"/>
  <c r="O30" i="16"/>
  <c r="I30" i="16"/>
  <c r="Q30" i="16"/>
  <c r="K30" i="16"/>
  <c r="M30" i="16"/>
  <c r="Q31" i="16"/>
  <c r="I31" i="16"/>
  <c r="O31" i="16"/>
  <c r="M31" i="16"/>
  <c r="K31" i="16"/>
  <c r="C13" i="16"/>
  <c r="C23" i="16" s="1"/>
  <c r="Y4" i="16" s="1"/>
  <c r="D3" i="18" s="1"/>
  <c r="P8" i="16"/>
  <c r="N8" i="16"/>
  <c r="J8" i="16"/>
  <c r="L8" i="16"/>
  <c r="H8" i="16"/>
  <c r="D16" i="5"/>
  <c r="E13" i="16"/>
  <c r="D31" i="5"/>
  <c r="C31" i="5"/>
  <c r="E31" i="5" s="1"/>
  <c r="E27" i="16"/>
  <c r="D30" i="5"/>
  <c r="C30" i="5"/>
  <c r="E30" i="5" s="1"/>
  <c r="D17" i="5"/>
  <c r="E17" i="5" s="1"/>
  <c r="C27" i="16"/>
  <c r="C44" i="16" s="1"/>
  <c r="Z4" i="16" s="1"/>
  <c r="E3" i="18" s="1"/>
  <c r="D32" i="5"/>
  <c r="C32" i="5"/>
  <c r="E32" i="5" s="1"/>
  <c r="M61" i="3"/>
  <c r="F27" i="16"/>
  <c r="F44" i="16" s="1"/>
  <c r="F13" i="16"/>
  <c r="F23" i="16" s="1"/>
  <c r="I56" i="3"/>
  <c r="BB8" i="6"/>
  <c r="H25" i="17" s="1"/>
  <c r="C55" i="3"/>
  <c r="R55" i="3" s="1"/>
  <c r="F14" i="5" l="1"/>
  <c r="F28" i="5"/>
  <c r="E16" i="5"/>
  <c r="D14" i="5"/>
  <c r="O27" i="16"/>
  <c r="M27" i="16"/>
  <c r="I27" i="16"/>
  <c r="Q27" i="16"/>
  <c r="K27" i="16"/>
  <c r="U44" i="16"/>
  <c r="F3" i="18"/>
  <c r="J27" i="16"/>
  <c r="L27" i="16"/>
  <c r="P27" i="16"/>
  <c r="N27" i="16"/>
  <c r="H27" i="16"/>
  <c r="T44" i="16"/>
  <c r="T67" i="16" s="1"/>
  <c r="O13" i="16"/>
  <c r="I13" i="16"/>
  <c r="K13" i="16"/>
  <c r="Q13" i="16"/>
  <c r="M13" i="16"/>
  <c r="U23" i="16"/>
  <c r="J13" i="16"/>
  <c r="L13" i="16"/>
  <c r="P13" i="16"/>
  <c r="H13" i="16"/>
  <c r="N13" i="16"/>
  <c r="P23" i="16"/>
  <c r="N23" i="16"/>
  <c r="L23" i="16"/>
  <c r="J23" i="16"/>
  <c r="H23" i="16"/>
  <c r="C67" i="16"/>
  <c r="AA4" i="16" s="1"/>
  <c r="E4" i="20" s="1"/>
  <c r="E44" i="16"/>
  <c r="F45" i="5" s="1"/>
  <c r="C28" i="5"/>
  <c r="D28" i="5"/>
  <c r="D45" i="5" s="1"/>
  <c r="E23" i="16"/>
  <c r="F24" i="5" s="1"/>
  <c r="C23" i="17"/>
  <c r="C26" i="17" s="1"/>
  <c r="D23" i="17"/>
  <c r="D26" i="17" s="1"/>
  <c r="M62" i="3"/>
  <c r="F67" i="16"/>
  <c r="I57" i="3"/>
  <c r="C56" i="3"/>
  <c r="R56" i="3" s="1"/>
  <c r="C45" i="5" l="1"/>
  <c r="E28" i="5"/>
  <c r="Y9" i="16"/>
  <c r="D8" i="18" s="1"/>
  <c r="Y11" i="16"/>
  <c r="D10" i="18" s="1"/>
  <c r="Y13" i="16"/>
  <c r="D12" i="18" s="1"/>
  <c r="Y15" i="16"/>
  <c r="D14" i="18" s="1"/>
  <c r="Y7" i="16"/>
  <c r="D6" i="18" s="1"/>
  <c r="Y53" i="16"/>
  <c r="D52" i="18" s="1"/>
  <c r="Y55" i="16"/>
  <c r="D54" i="18" s="1"/>
  <c r="Y57" i="16"/>
  <c r="D56" i="18" s="1"/>
  <c r="Y59" i="16"/>
  <c r="D58" i="18" s="1"/>
  <c r="Y61" i="16"/>
  <c r="D60" i="18" s="1"/>
  <c r="Y63" i="16"/>
  <c r="D62" i="18" s="1"/>
  <c r="Y29" i="16"/>
  <c r="D28" i="18" s="1"/>
  <c r="Y31" i="16"/>
  <c r="D30" i="18" s="1"/>
  <c r="Y33" i="16"/>
  <c r="D32" i="18" s="1"/>
  <c r="Y35" i="16"/>
  <c r="D34" i="18" s="1"/>
  <c r="Y37" i="16"/>
  <c r="D36" i="18" s="1"/>
  <c r="Y39" i="16"/>
  <c r="D38" i="18" s="1"/>
  <c r="N3" i="18"/>
  <c r="Y41" i="16"/>
  <c r="D40" i="18" s="1"/>
  <c r="Y43" i="16"/>
  <c r="D42" i="18" s="1"/>
  <c r="Y45" i="16"/>
  <c r="D44" i="18" s="1"/>
  <c r="Y47" i="16"/>
  <c r="D46" i="18" s="1"/>
  <c r="Y49" i="16"/>
  <c r="D48" i="18" s="1"/>
  <c r="Y51" i="16"/>
  <c r="D50" i="18" s="1"/>
  <c r="E14" i="5"/>
  <c r="D24" i="5"/>
  <c r="Y17" i="16"/>
  <c r="D16" i="18" s="1"/>
  <c r="Y19" i="16"/>
  <c r="D18" i="18" s="1"/>
  <c r="Y21" i="16"/>
  <c r="D20" i="18" s="1"/>
  <c r="Y23" i="16"/>
  <c r="D22" i="18" s="1"/>
  <c r="Y25" i="16"/>
  <c r="D24" i="18" s="1"/>
  <c r="Y27" i="16"/>
  <c r="D26" i="18" s="1"/>
  <c r="M23" i="16"/>
  <c r="U67" i="16"/>
  <c r="K23" i="16"/>
  <c r="Q23" i="16"/>
  <c r="I23" i="16"/>
  <c r="O23" i="16"/>
  <c r="I44" i="16"/>
  <c r="K44" i="16"/>
  <c r="M44" i="16"/>
  <c r="Q44" i="16"/>
  <c r="O44" i="16"/>
  <c r="P44" i="16"/>
  <c r="H44" i="16"/>
  <c r="N44" i="16"/>
  <c r="L44" i="16"/>
  <c r="J44" i="16"/>
  <c r="P67" i="16"/>
  <c r="J67" i="16"/>
  <c r="H67" i="16"/>
  <c r="N67" i="16"/>
  <c r="L67" i="16"/>
  <c r="E67" i="16"/>
  <c r="E69" i="16" s="1"/>
  <c r="H73" i="5" s="1"/>
  <c r="C28" i="17"/>
  <c r="D28" i="17"/>
  <c r="M63" i="3"/>
  <c r="I58" i="3"/>
  <c r="C57" i="3"/>
  <c r="R57" i="3" s="1"/>
  <c r="AA45" i="16" l="1"/>
  <c r="E45" i="20" s="1"/>
  <c r="AA49" i="16"/>
  <c r="E49" i="20" s="1"/>
  <c r="AA41" i="16"/>
  <c r="E41" i="20" s="1"/>
  <c r="AA43" i="16"/>
  <c r="E43" i="20" s="1"/>
  <c r="AA47" i="16"/>
  <c r="E47" i="20" s="1"/>
  <c r="AA51" i="16"/>
  <c r="E51" i="20" s="1"/>
  <c r="Z7" i="16"/>
  <c r="E6" i="18" s="1"/>
  <c r="F6" i="18" s="1"/>
  <c r="Z9" i="16"/>
  <c r="E8" i="18" s="1"/>
  <c r="F8" i="18" s="1"/>
  <c r="Z11" i="16"/>
  <c r="E10" i="18" s="1"/>
  <c r="F10" i="18" s="1"/>
  <c r="Z13" i="16"/>
  <c r="E12" i="18" s="1"/>
  <c r="Z15" i="16"/>
  <c r="E14" i="18" s="1"/>
  <c r="Y32" i="16"/>
  <c r="D31" i="18" s="1"/>
  <c r="Y34" i="16"/>
  <c r="D33" i="18" s="1"/>
  <c r="Y36" i="16"/>
  <c r="D35" i="18" s="1"/>
  <c r="Y38" i="16"/>
  <c r="D37" i="18" s="1"/>
  <c r="Y40" i="16"/>
  <c r="D39" i="18" s="1"/>
  <c r="Y30" i="16"/>
  <c r="D29" i="18" s="1"/>
  <c r="E45" i="5"/>
  <c r="C69" i="5"/>
  <c r="AA29" i="16"/>
  <c r="E29" i="20" s="1"/>
  <c r="AA31" i="16"/>
  <c r="E31" i="20" s="1"/>
  <c r="AA35" i="16"/>
  <c r="E35" i="20" s="1"/>
  <c r="AA39" i="16"/>
  <c r="E39" i="20" s="1"/>
  <c r="AA33" i="16"/>
  <c r="E33" i="20" s="1"/>
  <c r="AA37" i="16"/>
  <c r="E37" i="20" s="1"/>
  <c r="AA53" i="16"/>
  <c r="E53" i="20" s="1"/>
  <c r="AA55" i="16"/>
  <c r="E55" i="20" s="1"/>
  <c r="AA59" i="16"/>
  <c r="E59" i="20" s="1"/>
  <c r="AA63" i="16"/>
  <c r="E63" i="20" s="1"/>
  <c r="AA57" i="16"/>
  <c r="E57" i="20" s="1"/>
  <c r="AA61" i="16"/>
  <c r="E61" i="20" s="1"/>
  <c r="Z56" i="16"/>
  <c r="E55" i="18" s="1"/>
  <c r="Z58" i="16"/>
  <c r="E57" i="18" s="1"/>
  <c r="Z60" i="16"/>
  <c r="E59" i="18" s="1"/>
  <c r="Z62" i="16"/>
  <c r="E61" i="18" s="1"/>
  <c r="Z64" i="16"/>
  <c r="E63" i="18" s="1"/>
  <c r="Z54" i="16"/>
  <c r="E53" i="18" s="1"/>
  <c r="Z32" i="16"/>
  <c r="E31" i="18" s="1"/>
  <c r="Z34" i="16"/>
  <c r="E33" i="18" s="1"/>
  <c r="F33" i="18" s="1"/>
  <c r="Z36" i="16"/>
  <c r="E35" i="18" s="1"/>
  <c r="Z38" i="16"/>
  <c r="E37" i="18" s="1"/>
  <c r="Z40" i="16"/>
  <c r="E39" i="18" s="1"/>
  <c r="Z30" i="16"/>
  <c r="E29" i="18" s="1"/>
  <c r="F29" i="18" s="1"/>
  <c r="Y5" i="16"/>
  <c r="Y8" i="16"/>
  <c r="D7" i="18" s="1"/>
  <c r="Y10" i="16"/>
  <c r="D9" i="18" s="1"/>
  <c r="Y12" i="16"/>
  <c r="D11" i="18" s="1"/>
  <c r="Y14" i="16"/>
  <c r="D13" i="18" s="1"/>
  <c r="Y16" i="16"/>
  <c r="D15" i="18" s="1"/>
  <c r="Y6" i="16"/>
  <c r="D5" i="18" s="1"/>
  <c r="AA9" i="16"/>
  <c r="E9" i="20" s="1"/>
  <c r="AA13" i="16"/>
  <c r="E13" i="20" s="1"/>
  <c r="AA7" i="16"/>
  <c r="AA11" i="16"/>
  <c r="E11" i="20" s="1"/>
  <c r="AA15" i="16"/>
  <c r="E15" i="20" s="1"/>
  <c r="Z17" i="16"/>
  <c r="E16" i="18" s="1"/>
  <c r="Z25" i="16"/>
  <c r="E24" i="18" s="1"/>
  <c r="Z19" i="16"/>
  <c r="E18" i="18" s="1"/>
  <c r="Z27" i="16"/>
  <c r="E26" i="18" s="1"/>
  <c r="F26" i="18" s="1"/>
  <c r="Z21" i="16"/>
  <c r="E20" i="18" s="1"/>
  <c r="Z23" i="16"/>
  <c r="E22" i="18" s="1"/>
  <c r="Z53" i="16"/>
  <c r="E52" i="18" s="1"/>
  <c r="Z57" i="16"/>
  <c r="E56" i="18" s="1"/>
  <c r="Z59" i="16"/>
  <c r="E58" i="18" s="1"/>
  <c r="Z61" i="16"/>
  <c r="E60" i="18" s="1"/>
  <c r="Z55" i="16"/>
  <c r="E54" i="18" s="1"/>
  <c r="Z63" i="16"/>
  <c r="E62" i="18" s="1"/>
  <c r="Z20" i="16"/>
  <c r="E19" i="18" s="1"/>
  <c r="Z22" i="16"/>
  <c r="E21" i="18" s="1"/>
  <c r="Z24" i="16"/>
  <c r="E23" i="18" s="1"/>
  <c r="Z26" i="16"/>
  <c r="E25" i="18" s="1"/>
  <c r="Z28" i="16"/>
  <c r="E27" i="18" s="1"/>
  <c r="Z18" i="16"/>
  <c r="E17" i="18" s="1"/>
  <c r="Y56" i="16"/>
  <c r="D55" i="18" s="1"/>
  <c r="Y58" i="16"/>
  <c r="D57" i="18" s="1"/>
  <c r="Y60" i="16"/>
  <c r="D59" i="18" s="1"/>
  <c r="Y62" i="16"/>
  <c r="D61" i="18" s="1"/>
  <c r="Y64" i="16"/>
  <c r="D63" i="18" s="1"/>
  <c r="Y54" i="16"/>
  <c r="D53" i="18" s="1"/>
  <c r="Z41" i="16"/>
  <c r="E40" i="18" s="1"/>
  <c r="Z49" i="16"/>
  <c r="E48" i="18" s="1"/>
  <c r="Z43" i="16"/>
  <c r="E42" i="18" s="1"/>
  <c r="Z51" i="16"/>
  <c r="E50" i="18" s="1"/>
  <c r="Z45" i="16"/>
  <c r="E44" i="18" s="1"/>
  <c r="Z47" i="16"/>
  <c r="E46" i="18" s="1"/>
  <c r="Y44" i="16"/>
  <c r="D43" i="18" s="1"/>
  <c r="Y46" i="16"/>
  <c r="D45" i="18" s="1"/>
  <c r="Y48" i="16"/>
  <c r="D47" i="18" s="1"/>
  <c r="Y50" i="16"/>
  <c r="D49" i="18" s="1"/>
  <c r="Y52" i="16"/>
  <c r="D51" i="18" s="1"/>
  <c r="Y42" i="16"/>
  <c r="D41" i="18" s="1"/>
  <c r="D69" i="5"/>
  <c r="D70" i="5" s="1"/>
  <c r="E24" i="5"/>
  <c r="AA17" i="16"/>
  <c r="E17" i="20" s="1"/>
  <c r="AA19" i="16"/>
  <c r="E19" i="20" s="1"/>
  <c r="AA23" i="16"/>
  <c r="E23" i="20" s="1"/>
  <c r="AA27" i="16"/>
  <c r="E27" i="20" s="1"/>
  <c r="AA21" i="16"/>
  <c r="E21" i="20" s="1"/>
  <c r="AA25" i="16"/>
  <c r="E25" i="20" s="1"/>
  <c r="Z29" i="16"/>
  <c r="E28" i="18" s="1"/>
  <c r="F28" i="18" s="1"/>
  <c r="Z33" i="16"/>
  <c r="E32" i="18" s="1"/>
  <c r="Z35" i="16"/>
  <c r="E34" i="18" s="1"/>
  <c r="F34" i="18" s="1"/>
  <c r="Z37" i="16"/>
  <c r="E36" i="18" s="1"/>
  <c r="Z31" i="16"/>
  <c r="E30" i="18" s="1"/>
  <c r="F30" i="18" s="1"/>
  <c r="Z39" i="16"/>
  <c r="E38" i="18" s="1"/>
  <c r="Z44" i="16"/>
  <c r="E43" i="18" s="1"/>
  <c r="F43" i="18" s="1"/>
  <c r="Z46" i="16"/>
  <c r="E45" i="18" s="1"/>
  <c r="Z48" i="16"/>
  <c r="E47" i="18" s="1"/>
  <c r="Z50" i="16"/>
  <c r="E49" i="18" s="1"/>
  <c r="Z52" i="16"/>
  <c r="E51" i="18" s="1"/>
  <c r="Z42" i="16"/>
  <c r="E41" i="18" s="1"/>
  <c r="Z5" i="16"/>
  <c r="E4" i="18" s="1"/>
  <c r="Z10" i="16"/>
  <c r="E9" i="18" s="1"/>
  <c r="Z6" i="16"/>
  <c r="E5" i="18" s="1"/>
  <c r="Z12" i="16"/>
  <c r="E11" i="18" s="1"/>
  <c r="Z14" i="16"/>
  <c r="E13" i="18" s="1"/>
  <c r="Z8" i="16"/>
  <c r="E7" i="18" s="1"/>
  <c r="F7" i="18" s="1"/>
  <c r="Z16" i="16"/>
  <c r="E15" i="18" s="1"/>
  <c r="Y20" i="16"/>
  <c r="D19" i="18" s="1"/>
  <c r="Y22" i="16"/>
  <c r="D21" i="18" s="1"/>
  <c r="Y24" i="16"/>
  <c r="D23" i="18" s="1"/>
  <c r="Y26" i="16"/>
  <c r="D25" i="18" s="1"/>
  <c r="Y28" i="16"/>
  <c r="D27" i="18" s="1"/>
  <c r="Y18" i="16"/>
  <c r="D17" i="18" s="1"/>
  <c r="F24" i="18"/>
  <c r="F32" i="18"/>
  <c r="F60" i="18"/>
  <c r="F46" i="18"/>
  <c r="F52" i="18"/>
  <c r="Q67" i="16"/>
  <c r="K67" i="16"/>
  <c r="O67" i="16"/>
  <c r="M67" i="16"/>
  <c r="I67" i="16"/>
  <c r="M64" i="3"/>
  <c r="I59" i="3"/>
  <c r="C58" i="3"/>
  <c r="R58" i="3" s="1"/>
  <c r="F9" i="18" l="1"/>
  <c r="F11" i="18"/>
  <c r="F19" i="18"/>
  <c r="F35" i="18"/>
  <c r="F63" i="18"/>
  <c r="F25" i="18"/>
  <c r="F47" i="18"/>
  <c r="F13" i="18"/>
  <c r="F31" i="18"/>
  <c r="F27" i="18"/>
  <c r="F83" i="5"/>
  <c r="G83" i="5" s="1"/>
  <c r="D77" i="5"/>
  <c r="D4" i="18"/>
  <c r="F4" i="18" s="1"/>
  <c r="AB5" i="16"/>
  <c r="J69" i="16"/>
  <c r="AA22" i="16"/>
  <c r="E22" i="20" s="1"/>
  <c r="AA26" i="16"/>
  <c r="E26" i="20" s="1"/>
  <c r="AA20" i="16"/>
  <c r="E20" i="20" s="1"/>
  <c r="AA24" i="16"/>
  <c r="E24" i="20" s="1"/>
  <c r="AA28" i="16"/>
  <c r="E28" i="20" s="1"/>
  <c r="AA18" i="16"/>
  <c r="E18" i="20" s="1"/>
  <c r="H69" i="16"/>
  <c r="AA12" i="16"/>
  <c r="E12" i="20" s="1"/>
  <c r="AA16" i="16"/>
  <c r="E16" i="20" s="1"/>
  <c r="AA8" i="16"/>
  <c r="E8" i="20" s="1"/>
  <c r="AA10" i="16"/>
  <c r="E10" i="20" s="1"/>
  <c r="AA14" i="16"/>
  <c r="E14" i="20" s="1"/>
  <c r="AA6" i="16"/>
  <c r="E6" i="20" s="1"/>
  <c r="AA5" i="16"/>
  <c r="E5" i="20" s="1"/>
  <c r="P69" i="16"/>
  <c r="AA58" i="16"/>
  <c r="E58" i="20" s="1"/>
  <c r="AA62" i="16"/>
  <c r="E62" i="20" s="1"/>
  <c r="AA56" i="16"/>
  <c r="E56" i="20" s="1"/>
  <c r="AA60" i="16"/>
  <c r="E60" i="20" s="1"/>
  <c r="AA64" i="16"/>
  <c r="E64" i="20" s="1"/>
  <c r="AA54" i="16"/>
  <c r="E54" i="20" s="1"/>
  <c r="H74" i="5"/>
  <c r="H75" i="5" s="1"/>
  <c r="C70" i="5"/>
  <c r="F5" i="18"/>
  <c r="N5" i="18" s="1"/>
  <c r="L69" i="16"/>
  <c r="AA34" i="16"/>
  <c r="E34" i="20" s="1"/>
  <c r="AA38" i="16"/>
  <c r="E38" i="20" s="1"/>
  <c r="AA32" i="16"/>
  <c r="E32" i="20" s="1"/>
  <c r="AA36" i="16"/>
  <c r="E36" i="20" s="1"/>
  <c r="AA40" i="16"/>
  <c r="E40" i="20" s="1"/>
  <c r="AA30" i="16"/>
  <c r="E30" i="20" s="1"/>
  <c r="N69" i="16"/>
  <c r="AA52" i="16"/>
  <c r="E52" i="20" s="1"/>
  <c r="AA46" i="16"/>
  <c r="E46" i="20" s="1"/>
  <c r="AA50" i="16"/>
  <c r="E50" i="20" s="1"/>
  <c r="AA44" i="16"/>
  <c r="E44" i="20" s="1"/>
  <c r="AA48" i="16"/>
  <c r="E48" i="20" s="1"/>
  <c r="AA42" i="16"/>
  <c r="E42" i="20" s="1"/>
  <c r="E7" i="20"/>
  <c r="F36" i="18"/>
  <c r="F45" i="18"/>
  <c r="F61" i="18"/>
  <c r="F54" i="18"/>
  <c r="F41" i="18"/>
  <c r="F55" i="18"/>
  <c r="F62" i="18"/>
  <c r="F51" i="18"/>
  <c r="F17" i="18"/>
  <c r="F37" i="18"/>
  <c r="F38" i="18"/>
  <c r="F14" i="18"/>
  <c r="F20" i="18"/>
  <c r="F18" i="18"/>
  <c r="F57" i="18"/>
  <c r="F50" i="18"/>
  <c r="F40" i="18"/>
  <c r="F16" i="18"/>
  <c r="F56" i="18"/>
  <c r="F59" i="18"/>
  <c r="F15" i="18"/>
  <c r="F39" i="18"/>
  <c r="F49" i="18"/>
  <c r="F21" i="18"/>
  <c r="F23" i="18"/>
  <c r="F48" i="18"/>
  <c r="F12" i="18"/>
  <c r="F53" i="18"/>
  <c r="F42" i="18"/>
  <c r="F22" i="18"/>
  <c r="F58" i="18"/>
  <c r="F44" i="18"/>
  <c r="M65" i="3"/>
  <c r="I60" i="3"/>
  <c r="C59" i="3"/>
  <c r="R59" i="3" s="1"/>
  <c r="C3" i="20" l="1"/>
  <c r="N4" i="18"/>
  <c r="Q3" i="18"/>
  <c r="D73" i="5"/>
  <c r="D76" i="5"/>
  <c r="D74" i="5"/>
  <c r="D71" i="5"/>
  <c r="Q5" i="15" s="1"/>
  <c r="V2" i="15" s="1"/>
  <c r="D75" i="5"/>
  <c r="D72" i="5"/>
  <c r="G3" i="20"/>
  <c r="H3" i="20" s="1"/>
  <c r="C4" i="20"/>
  <c r="C5" i="20" s="1"/>
  <c r="C6" i="20" s="1"/>
  <c r="AB8" i="16"/>
  <c r="G88" i="5"/>
  <c r="I88" i="5" s="1"/>
  <c r="G86" i="5"/>
  <c r="I86" i="5" s="1"/>
  <c r="G89" i="5"/>
  <c r="I89" i="5" s="1"/>
  <c r="G91" i="5"/>
  <c r="I91" i="5" s="1"/>
  <c r="G90" i="5"/>
  <c r="I90" i="5" s="1"/>
  <c r="G87" i="5"/>
  <c r="I87" i="5" s="1"/>
  <c r="F82" i="5"/>
  <c r="G82" i="5" s="1"/>
  <c r="J68" i="5"/>
  <c r="C77" i="5"/>
  <c r="M66" i="3"/>
  <c r="I61" i="3"/>
  <c r="C60" i="3"/>
  <c r="R60" i="3" s="1"/>
  <c r="C73" i="5" l="1"/>
  <c r="C76" i="5"/>
  <c r="C74" i="5"/>
  <c r="C75" i="5"/>
  <c r="C71" i="5"/>
  <c r="P5" i="15" s="1"/>
  <c r="C78" i="5"/>
  <c r="C72" i="5"/>
  <c r="Q14" i="15"/>
  <c r="Q19" i="15"/>
  <c r="Q20" i="15"/>
  <c r="Q57" i="15"/>
  <c r="Q7" i="15"/>
  <c r="Q16" i="15"/>
  <c r="Q45" i="15"/>
  <c r="Q54" i="15"/>
  <c r="Q59" i="15"/>
  <c r="Q60" i="15"/>
  <c r="Q26" i="15"/>
  <c r="Q31" i="15"/>
  <c r="Q8" i="15"/>
  <c r="Q21" i="15"/>
  <c r="Q13" i="15"/>
  <c r="Q9" i="15"/>
  <c r="Q30" i="15"/>
  <c r="Q35" i="15"/>
  <c r="Q24" i="15"/>
  <c r="Q18" i="15"/>
  <c r="Q23" i="15"/>
  <c r="Q36" i="15"/>
  <c r="Q61" i="15"/>
  <c r="Q11" i="15"/>
  <c r="Q32" i="15"/>
  <c r="Q29" i="15"/>
  <c r="Q42" i="15"/>
  <c r="Q47" i="15"/>
  <c r="Q65" i="15"/>
  <c r="Q33" i="15"/>
  <c r="Q46" i="15"/>
  <c r="Q51" i="15"/>
  <c r="Q28" i="15"/>
  <c r="Q34" i="15"/>
  <c r="Q39" i="15"/>
  <c r="Q40" i="15"/>
  <c r="Q22" i="15"/>
  <c r="Q27" i="15"/>
  <c r="Q52" i="15"/>
  <c r="Q49" i="15"/>
  <c r="Q58" i="15"/>
  <c r="Q63" i="15"/>
  <c r="Q25" i="15"/>
  <c r="Q17" i="15"/>
  <c r="Q43" i="15"/>
  <c r="Q10" i="15"/>
  <c r="Q15" i="15"/>
  <c r="Q64" i="15"/>
  <c r="Q37" i="15"/>
  <c r="Q12" i="15"/>
  <c r="Q53" i="15"/>
  <c r="Q62" i="15"/>
  <c r="Q6" i="15"/>
  <c r="Q41" i="15"/>
  <c r="Q50" i="15"/>
  <c r="Q55" i="15"/>
  <c r="Q44" i="15"/>
  <c r="Q38" i="15"/>
  <c r="Q56" i="15"/>
  <c r="Q48" i="15"/>
  <c r="N2" i="18"/>
  <c r="P4" i="18"/>
  <c r="P5" i="18" s="1"/>
  <c r="C1" i="19"/>
  <c r="D3" i="19" s="1"/>
  <c r="J71" i="5"/>
  <c r="J72" i="5"/>
  <c r="J73" i="5"/>
  <c r="J69" i="5"/>
  <c r="J70" i="5"/>
  <c r="I5" i="15"/>
  <c r="K5" i="15" s="1"/>
  <c r="F88" i="5"/>
  <c r="H88" i="5" s="1"/>
  <c r="J88" i="5" s="1"/>
  <c r="F86" i="5"/>
  <c r="H86" i="5" s="1"/>
  <c r="J86" i="5" s="1"/>
  <c r="F89" i="5"/>
  <c r="H89" i="5" s="1"/>
  <c r="J89" i="5" s="1"/>
  <c r="F90" i="5"/>
  <c r="H90" i="5" s="1"/>
  <c r="J90" i="5" s="1"/>
  <c r="F91" i="5"/>
  <c r="H91" i="5" s="1"/>
  <c r="J91" i="5" s="1"/>
  <c r="F87" i="5"/>
  <c r="H87" i="5" s="1"/>
  <c r="J87" i="5" s="1"/>
  <c r="M67" i="3"/>
  <c r="I62" i="3"/>
  <c r="C61" i="3"/>
  <c r="R61" i="3" s="1"/>
  <c r="I1" i="15" l="1"/>
  <c r="I54" i="15" s="1"/>
  <c r="K54" i="15" s="1"/>
  <c r="L67" i="5"/>
  <c r="C14" i="19"/>
  <c r="S5" i="15"/>
  <c r="U2" i="15"/>
  <c r="I22" i="15"/>
  <c r="K22" i="15" s="1"/>
  <c r="I38" i="15"/>
  <c r="K38" i="15" s="1"/>
  <c r="I23" i="15"/>
  <c r="K23" i="15" s="1"/>
  <c r="I39" i="15"/>
  <c r="K39" i="15" s="1"/>
  <c r="I12" i="15"/>
  <c r="K12" i="15" s="1"/>
  <c r="I13" i="15"/>
  <c r="K13" i="15" s="1"/>
  <c r="I45" i="15"/>
  <c r="K45" i="15" s="1"/>
  <c r="I61" i="15"/>
  <c r="K61" i="15" s="1"/>
  <c r="I30" i="15"/>
  <c r="K30" i="15" s="1"/>
  <c r="I62" i="15"/>
  <c r="K62" i="15" s="1"/>
  <c r="I63" i="15"/>
  <c r="K63" i="15" s="1"/>
  <c r="I40" i="15"/>
  <c r="K40" i="15" s="1"/>
  <c r="I6" i="15"/>
  <c r="K6" i="15" s="1"/>
  <c r="I16" i="15"/>
  <c r="K16" i="15" s="1"/>
  <c r="I26" i="15"/>
  <c r="K26" i="15" s="1"/>
  <c r="I58" i="15"/>
  <c r="K58" i="15" s="1"/>
  <c r="I11" i="15"/>
  <c r="K11" i="15" s="1"/>
  <c r="I59" i="15"/>
  <c r="K59" i="15" s="1"/>
  <c r="I20" i="15"/>
  <c r="K20" i="15" s="1"/>
  <c r="I52" i="15"/>
  <c r="K52" i="15" s="1"/>
  <c r="I49" i="15"/>
  <c r="K49" i="15" s="1"/>
  <c r="I65" i="15"/>
  <c r="K65" i="15" s="1"/>
  <c r="I64" i="15"/>
  <c r="K64" i="15" s="1"/>
  <c r="I15" i="15"/>
  <c r="K15" i="15" s="1"/>
  <c r="I28" i="15"/>
  <c r="K28" i="15" s="1"/>
  <c r="I21" i="15"/>
  <c r="K21" i="15" s="1"/>
  <c r="I57" i="15"/>
  <c r="K57" i="15" s="1"/>
  <c r="I48" i="15"/>
  <c r="K48" i="15" s="1"/>
  <c r="I14" i="15"/>
  <c r="K14" i="15" s="1"/>
  <c r="I18" i="15"/>
  <c r="K18" i="15" s="1"/>
  <c r="I34" i="15"/>
  <c r="K34" i="15" s="1"/>
  <c r="I19" i="15"/>
  <c r="K19" i="15" s="1"/>
  <c r="I51" i="15"/>
  <c r="K51" i="15" s="1"/>
  <c r="I41" i="15"/>
  <c r="K41" i="15" s="1"/>
  <c r="M68" i="3"/>
  <c r="I63" i="3"/>
  <c r="C62" i="3"/>
  <c r="R62" i="3" s="1"/>
  <c r="I35" i="15" l="1"/>
  <c r="K35" i="15" s="1"/>
  <c r="I37" i="15"/>
  <c r="K37" i="15" s="1"/>
  <c r="I8" i="15"/>
  <c r="K8" i="15" s="1"/>
  <c r="I46" i="15"/>
  <c r="K46" i="15" s="1"/>
  <c r="I33" i="15"/>
  <c r="K33" i="15" s="1"/>
  <c r="I27" i="15"/>
  <c r="K27" i="15" s="1"/>
  <c r="I10" i="15"/>
  <c r="K10" i="15" s="1"/>
  <c r="I53" i="15"/>
  <c r="K53" i="15" s="1"/>
  <c r="I24" i="15"/>
  <c r="K24" i="15" s="1"/>
  <c r="I44" i="15"/>
  <c r="K44" i="15" s="1"/>
  <c r="I7" i="15"/>
  <c r="K7" i="15" s="1"/>
  <c r="I36" i="15"/>
  <c r="K36" i="15" s="1"/>
  <c r="I50" i="15"/>
  <c r="K50" i="15" s="1"/>
  <c r="I31" i="15"/>
  <c r="K31" i="15" s="1"/>
  <c r="I25" i="15"/>
  <c r="K25" i="15" s="1"/>
  <c r="I47" i="15"/>
  <c r="K47" i="15" s="1"/>
  <c r="I32" i="15"/>
  <c r="K32" i="15" s="1"/>
  <c r="I17" i="15"/>
  <c r="K17" i="15" s="1"/>
  <c r="I43" i="15"/>
  <c r="K43" i="15" s="1"/>
  <c r="I42" i="15"/>
  <c r="K42" i="15" s="1"/>
  <c r="I9" i="15"/>
  <c r="K9" i="15" s="1"/>
  <c r="I60" i="15"/>
  <c r="K60" i="15" s="1"/>
  <c r="I56" i="15"/>
  <c r="K56" i="15" s="1"/>
  <c r="I29" i="15"/>
  <c r="K29" i="15" s="1"/>
  <c r="I55" i="15"/>
  <c r="K55" i="15" s="1"/>
  <c r="T5" i="15"/>
  <c r="P7" i="15"/>
  <c r="S7" i="15" s="1"/>
  <c r="P8" i="15"/>
  <c r="S8" i="15" s="1"/>
  <c r="P29" i="15"/>
  <c r="S29" i="15" s="1"/>
  <c r="P10" i="15"/>
  <c r="S10" i="15" s="1"/>
  <c r="P11" i="15"/>
  <c r="S11" i="15" s="1"/>
  <c r="P12" i="15"/>
  <c r="S12" i="15" s="1"/>
  <c r="P45" i="15"/>
  <c r="S45" i="15" s="1"/>
  <c r="P14" i="15"/>
  <c r="S14" i="15" s="1"/>
  <c r="P15" i="15"/>
  <c r="S15" i="15" s="1"/>
  <c r="P16" i="15"/>
  <c r="S16" i="15" s="1"/>
  <c r="P61" i="15"/>
  <c r="S61" i="15" s="1"/>
  <c r="P34" i="15"/>
  <c r="S34" i="15" s="1"/>
  <c r="P51" i="15"/>
  <c r="S51" i="15" s="1"/>
  <c r="P52" i="15"/>
  <c r="S52" i="15" s="1"/>
  <c r="P25" i="15"/>
  <c r="S25" i="15" s="1"/>
  <c r="P54" i="15"/>
  <c r="S54" i="15" s="1"/>
  <c r="P56" i="15"/>
  <c r="S56" i="15" s="1"/>
  <c r="P58" i="15"/>
  <c r="S58" i="15" s="1"/>
  <c r="P60" i="15"/>
  <c r="S60" i="15" s="1"/>
  <c r="P63" i="15"/>
  <c r="S63" i="15" s="1"/>
  <c r="P18" i="15"/>
  <c r="S18" i="15" s="1"/>
  <c r="P36" i="15"/>
  <c r="S36" i="15" s="1"/>
  <c r="P22" i="15"/>
  <c r="S22" i="15" s="1"/>
  <c r="P23" i="15"/>
  <c r="S23" i="15" s="1"/>
  <c r="P24" i="15"/>
  <c r="S24" i="15" s="1"/>
  <c r="P33" i="15"/>
  <c r="S33" i="15" s="1"/>
  <c r="P26" i="15"/>
  <c r="S26" i="15" s="1"/>
  <c r="P27" i="15"/>
  <c r="S27" i="15" s="1"/>
  <c r="P28" i="15"/>
  <c r="S28" i="15" s="1"/>
  <c r="P49" i="15"/>
  <c r="S49" i="15" s="1"/>
  <c r="P30" i="15"/>
  <c r="S30" i="15" s="1"/>
  <c r="P31" i="15"/>
  <c r="S31" i="15" s="1"/>
  <c r="P32" i="15"/>
  <c r="S32" i="15" s="1"/>
  <c r="P65" i="15"/>
  <c r="S65" i="15" s="1"/>
  <c r="P50" i="15"/>
  <c r="S50" i="15" s="1"/>
  <c r="P6" i="15"/>
  <c r="S6" i="15" s="1"/>
  <c r="P13" i="15"/>
  <c r="S13" i="15" s="1"/>
  <c r="P38" i="15"/>
  <c r="S38" i="15" s="1"/>
  <c r="P40" i="15"/>
  <c r="S40" i="15" s="1"/>
  <c r="P37" i="15"/>
  <c r="S37" i="15" s="1"/>
  <c r="P42" i="15"/>
  <c r="S42" i="15" s="1"/>
  <c r="P43" i="15"/>
  <c r="S43" i="15" s="1"/>
  <c r="P53" i="15"/>
  <c r="S53" i="15" s="1"/>
  <c r="P46" i="15"/>
  <c r="S46" i="15" s="1"/>
  <c r="P47" i="15"/>
  <c r="S47" i="15" s="1"/>
  <c r="P48" i="15"/>
  <c r="S48" i="15" s="1"/>
  <c r="P19" i="15"/>
  <c r="S19" i="15" s="1"/>
  <c r="P20" i="15"/>
  <c r="S20" i="15" s="1"/>
  <c r="P17" i="15"/>
  <c r="S17" i="15" s="1"/>
  <c r="P55" i="15"/>
  <c r="S55" i="15" s="1"/>
  <c r="P41" i="15"/>
  <c r="S41" i="15" s="1"/>
  <c r="P59" i="15"/>
  <c r="S59" i="15" s="1"/>
  <c r="P57" i="15"/>
  <c r="S57" i="15" s="1"/>
  <c r="P64" i="15"/>
  <c r="S64" i="15" s="1"/>
  <c r="P35" i="15"/>
  <c r="S35" i="15" s="1"/>
  <c r="P21" i="15"/>
  <c r="S21" i="15" s="1"/>
  <c r="P39" i="15"/>
  <c r="S39" i="15" s="1"/>
  <c r="P44" i="15"/>
  <c r="S44" i="15" s="1"/>
  <c r="P9" i="15"/>
  <c r="S9" i="15" s="1"/>
  <c r="P62" i="15"/>
  <c r="S62" i="15" s="1"/>
  <c r="M69" i="3"/>
  <c r="I64" i="3"/>
  <c r="C63" i="3"/>
  <c r="R63" i="3" s="1"/>
  <c r="W10" i="15" l="1"/>
  <c r="W8" i="15"/>
  <c r="W7" i="15"/>
  <c r="W11" i="15"/>
  <c r="W9" i="15"/>
  <c r="T9" i="15"/>
  <c r="T10" i="15" s="1"/>
  <c r="T11" i="15" s="1"/>
  <c r="T12" i="15" s="1"/>
  <c r="T13" i="15" s="1"/>
  <c r="T14" i="15" s="1"/>
  <c r="T15" i="15" s="1"/>
  <c r="T16" i="15" s="1"/>
  <c r="T17" i="15" s="1"/>
  <c r="T18" i="15" s="1"/>
  <c r="T19" i="15" s="1"/>
  <c r="T20" i="15" s="1"/>
  <c r="T21" i="15" s="1"/>
  <c r="T22" i="15" s="1"/>
  <c r="T23" i="15" s="1"/>
  <c r="T24" i="15" s="1"/>
  <c r="T25" i="15" s="1"/>
  <c r="T26" i="15" s="1"/>
  <c r="T27" i="15" s="1"/>
  <c r="T28" i="15" s="1"/>
  <c r="T29" i="15" s="1"/>
  <c r="T30" i="15" s="1"/>
  <c r="T31" i="15" s="1"/>
  <c r="T32" i="15" s="1"/>
  <c r="T33" i="15" s="1"/>
  <c r="T34" i="15" s="1"/>
  <c r="T35" i="15" s="1"/>
  <c r="T36" i="15" s="1"/>
  <c r="T37" i="15" s="1"/>
  <c r="T38" i="15" s="1"/>
  <c r="T39" i="15" s="1"/>
  <c r="T40" i="15" s="1"/>
  <c r="T41" i="15" s="1"/>
  <c r="T42" i="15" s="1"/>
  <c r="T43" i="15" s="1"/>
  <c r="T44" i="15" s="1"/>
  <c r="T45" i="15" s="1"/>
  <c r="T46" i="15" s="1"/>
  <c r="T47" i="15" s="1"/>
  <c r="T48" i="15" s="1"/>
  <c r="T49" i="15" s="1"/>
  <c r="T50" i="15" s="1"/>
  <c r="T51" i="15" s="1"/>
  <c r="T52" i="15" s="1"/>
  <c r="T53" i="15" s="1"/>
  <c r="T54" i="15" s="1"/>
  <c r="T8" i="15"/>
  <c r="T7" i="15"/>
  <c r="T6" i="15"/>
  <c r="M70" i="3"/>
  <c r="I65" i="3"/>
  <c r="C64" i="3"/>
  <c r="R64" i="3" s="1"/>
  <c r="T55" i="15" l="1"/>
  <c r="T56" i="15" s="1"/>
  <c r="T57" i="15" s="1"/>
  <c r="T58" i="15" s="1"/>
  <c r="T59" i="15" s="1"/>
  <c r="T60" i="15" s="1"/>
  <c r="T61" i="15" s="1"/>
  <c r="T62" i="15" s="1"/>
  <c r="T63" i="15" s="1"/>
  <c r="T64" i="15" s="1"/>
  <c r="T65" i="15" s="1"/>
  <c r="M71" i="3"/>
  <c r="I66" i="3"/>
  <c r="C65" i="3"/>
  <c r="R65" i="3" s="1"/>
  <c r="M72" i="3" l="1"/>
  <c r="I67" i="3"/>
  <c r="C66" i="3"/>
  <c r="R66" i="3" s="1"/>
  <c r="M73" i="3" l="1"/>
  <c r="I68" i="3"/>
  <c r="C67" i="3"/>
  <c r="R67" i="3" s="1"/>
  <c r="M74" i="3" l="1"/>
  <c r="I69" i="3"/>
  <c r="C68" i="3"/>
  <c r="R68" i="3" s="1"/>
  <c r="M75" i="3" l="1"/>
  <c r="I70" i="3"/>
  <c r="C69" i="3"/>
  <c r="R69" i="3" s="1"/>
  <c r="M76" i="3" l="1"/>
  <c r="I71" i="3"/>
  <c r="C70" i="3"/>
  <c r="R70" i="3" s="1"/>
  <c r="M77" i="3" l="1"/>
  <c r="I72" i="3"/>
  <c r="C71" i="3"/>
  <c r="R71" i="3" s="1"/>
  <c r="M78" i="3" l="1"/>
  <c r="I73" i="3"/>
  <c r="C72" i="3"/>
  <c r="R72" i="3" s="1"/>
  <c r="M79" i="3" l="1"/>
  <c r="I74" i="3"/>
  <c r="C73" i="3"/>
  <c r="R73" i="3" s="1"/>
  <c r="M80" i="3" l="1"/>
  <c r="I75" i="3"/>
  <c r="C74" i="3"/>
  <c r="R74" i="3" s="1"/>
  <c r="M81" i="3" l="1"/>
  <c r="I76" i="3"/>
  <c r="C75" i="3"/>
  <c r="R75" i="3" s="1"/>
  <c r="M82" i="3" l="1"/>
  <c r="I77" i="3"/>
  <c r="C76" i="3"/>
  <c r="R76" i="3" s="1"/>
  <c r="M83" i="3" l="1"/>
  <c r="I78" i="3"/>
  <c r="C77" i="3"/>
  <c r="R77" i="3" s="1"/>
  <c r="M84" i="3" l="1"/>
  <c r="I79" i="3"/>
  <c r="C78" i="3"/>
  <c r="R78" i="3" s="1"/>
  <c r="M85" i="3" l="1"/>
  <c r="I80" i="3"/>
  <c r="C79" i="3"/>
  <c r="R79" i="3" s="1"/>
  <c r="M86" i="3" l="1"/>
  <c r="I81" i="3"/>
  <c r="C80" i="3"/>
  <c r="R80" i="3" s="1"/>
  <c r="M87" i="3" l="1"/>
  <c r="I82" i="3"/>
  <c r="C81" i="3"/>
  <c r="R81" i="3" s="1"/>
  <c r="M88" i="3" l="1"/>
  <c r="I83" i="3"/>
  <c r="C82" i="3"/>
  <c r="R82" i="3" s="1"/>
  <c r="M89" i="3" l="1"/>
  <c r="I84" i="3"/>
  <c r="C83" i="3"/>
  <c r="R83" i="3" s="1"/>
  <c r="M90" i="3" l="1"/>
  <c r="I85" i="3"/>
  <c r="C84" i="3"/>
  <c r="R84" i="3" s="1"/>
  <c r="M91" i="3" l="1"/>
  <c r="I86" i="3"/>
  <c r="C85" i="3"/>
  <c r="R85" i="3" s="1"/>
  <c r="M92" i="3" l="1"/>
  <c r="I87" i="3"/>
  <c r="C86" i="3"/>
  <c r="R86" i="3" s="1"/>
  <c r="M93" i="3" l="1"/>
  <c r="I88" i="3"/>
  <c r="C87" i="3"/>
  <c r="R87" i="3" s="1"/>
  <c r="M94" i="3" l="1"/>
  <c r="I89" i="3"/>
  <c r="C88" i="3"/>
  <c r="R88" i="3" s="1"/>
  <c r="M95" i="3" l="1"/>
  <c r="I90" i="3"/>
  <c r="C89" i="3"/>
  <c r="R89" i="3" s="1"/>
  <c r="M96" i="3" l="1"/>
  <c r="I91" i="3"/>
  <c r="C90" i="3"/>
  <c r="R90" i="3" s="1"/>
  <c r="M97" i="3" l="1"/>
  <c r="I92" i="3"/>
  <c r="C91" i="3"/>
  <c r="R91" i="3" s="1"/>
  <c r="M98" i="3" l="1"/>
  <c r="I93" i="3"/>
  <c r="C92" i="3"/>
  <c r="R92" i="3" s="1"/>
  <c r="M99" i="3" l="1"/>
  <c r="I94" i="3"/>
  <c r="C93" i="3"/>
  <c r="R93" i="3" s="1"/>
  <c r="M100" i="3" l="1"/>
  <c r="I95" i="3"/>
  <c r="C94" i="3"/>
  <c r="R94" i="3" s="1"/>
  <c r="M101" i="3" l="1"/>
  <c r="I96" i="3"/>
  <c r="C95" i="3"/>
  <c r="R95" i="3" s="1"/>
  <c r="M102" i="3" l="1"/>
  <c r="I97" i="3"/>
  <c r="C96" i="3"/>
  <c r="R96" i="3" s="1"/>
  <c r="M103" i="3" l="1"/>
  <c r="I98" i="3"/>
  <c r="C97" i="3"/>
  <c r="R97" i="3" s="1"/>
  <c r="M104" i="3" l="1"/>
  <c r="I99" i="3"/>
  <c r="C98" i="3"/>
  <c r="R98" i="3" s="1"/>
  <c r="M105" i="3" l="1"/>
  <c r="I100" i="3"/>
  <c r="C99" i="3"/>
  <c r="R99" i="3" s="1"/>
  <c r="M106" i="3" l="1"/>
  <c r="I101" i="3"/>
  <c r="C100" i="3"/>
  <c r="R100" i="3" s="1"/>
  <c r="M107" i="3" l="1"/>
  <c r="I102" i="3"/>
  <c r="C101" i="3"/>
  <c r="R101" i="3" s="1"/>
  <c r="M108" i="3" l="1"/>
  <c r="I103" i="3"/>
  <c r="C102" i="3"/>
  <c r="R102" i="3" s="1"/>
  <c r="I104" i="3" l="1"/>
  <c r="C103" i="3"/>
  <c r="R103" i="3" s="1"/>
  <c r="I105" i="3" l="1"/>
  <c r="C104" i="3"/>
  <c r="R104" i="3" s="1"/>
  <c r="I106" i="3" l="1"/>
  <c r="C105" i="3"/>
  <c r="R105" i="3" s="1"/>
  <c r="I107" i="3" l="1"/>
  <c r="C106" i="3"/>
  <c r="R106" i="3" s="1"/>
  <c r="I108" i="3" l="1"/>
  <c r="C107" i="3"/>
  <c r="R107" i="3" s="1"/>
  <c r="C108" i="3" l="1"/>
  <c r="R108" i="3" s="1"/>
  <c r="D19" i="17" l="1"/>
  <c r="X5" i="18" l="1"/>
  <c r="J5" i="15" l="1"/>
  <c r="J1" i="15" s="1"/>
  <c r="J13" i="15" s="1"/>
  <c r="L13" i="15" s="1"/>
  <c r="M13" i="15" s="1"/>
  <c r="C11" i="18" l="1"/>
  <c r="G11" i="18" s="1"/>
  <c r="H11" i="18" s="1"/>
  <c r="O13" i="15"/>
  <c r="D12" i="20"/>
  <c r="L5" i="15"/>
  <c r="M5" i="15" s="1"/>
  <c r="J32" i="15"/>
  <c r="L32" i="15" s="1"/>
  <c r="M32" i="15" s="1"/>
  <c r="J59" i="15"/>
  <c r="L59" i="15" s="1"/>
  <c r="M59" i="15" s="1"/>
  <c r="J28" i="15"/>
  <c r="L28" i="15" s="1"/>
  <c r="M28" i="15" s="1"/>
  <c r="J51" i="15"/>
  <c r="L51" i="15" s="1"/>
  <c r="M51" i="15" s="1"/>
  <c r="J15" i="15"/>
  <c r="L15" i="15" s="1"/>
  <c r="M15" i="15" s="1"/>
  <c r="J18" i="15"/>
  <c r="L18" i="15" s="1"/>
  <c r="M18" i="15" s="1"/>
  <c r="J25" i="15"/>
  <c r="L25" i="15" s="1"/>
  <c r="M25" i="15" s="1"/>
  <c r="J35" i="15"/>
  <c r="L35" i="15" s="1"/>
  <c r="M35" i="15" s="1"/>
  <c r="J48" i="15"/>
  <c r="L48" i="15" s="1"/>
  <c r="M48" i="15" s="1"/>
  <c r="J55" i="15"/>
  <c r="L55" i="15" s="1"/>
  <c r="M55" i="15" s="1"/>
  <c r="J56" i="15"/>
  <c r="L56" i="15" s="1"/>
  <c r="M56" i="15" s="1"/>
  <c r="J19" i="15"/>
  <c r="L19" i="15" s="1"/>
  <c r="M19" i="15" s="1"/>
  <c r="J27" i="15"/>
  <c r="L27" i="15" s="1"/>
  <c r="M27" i="15" s="1"/>
  <c r="J41" i="15"/>
  <c r="L41" i="15" s="1"/>
  <c r="M41" i="15" s="1"/>
  <c r="J52" i="15"/>
  <c r="L52" i="15" s="1"/>
  <c r="M52" i="15" s="1"/>
  <c r="J54" i="15"/>
  <c r="L54" i="15" s="1"/>
  <c r="M54" i="15" s="1"/>
  <c r="J14" i="15"/>
  <c r="L14" i="15" s="1"/>
  <c r="M14" i="15" s="1"/>
  <c r="J50" i="15"/>
  <c r="L50" i="15" s="1"/>
  <c r="M50" i="15" s="1"/>
  <c r="J10" i="15"/>
  <c r="L10" i="15" s="1"/>
  <c r="M10" i="15" s="1"/>
  <c r="J8" i="15"/>
  <c r="L8" i="15" s="1"/>
  <c r="M8" i="15" s="1"/>
  <c r="J29" i="15"/>
  <c r="L29" i="15" s="1"/>
  <c r="M29" i="15" s="1"/>
  <c r="J31" i="15"/>
  <c r="L31" i="15" s="1"/>
  <c r="M31" i="15" s="1"/>
  <c r="J40" i="15"/>
  <c r="L40" i="15" s="1"/>
  <c r="M40" i="15" s="1"/>
  <c r="J45" i="15"/>
  <c r="L45" i="15" s="1"/>
  <c r="M45" i="15" s="1"/>
  <c r="J60" i="15"/>
  <c r="L60" i="15" s="1"/>
  <c r="M60" i="15" s="1"/>
  <c r="J22" i="15"/>
  <c r="L22" i="15" s="1"/>
  <c r="M22" i="15" s="1"/>
  <c r="J33" i="15"/>
  <c r="L33" i="15" s="1"/>
  <c r="M33" i="15" s="1"/>
  <c r="J43" i="15"/>
  <c r="L43" i="15" s="1"/>
  <c r="M43" i="15" s="1"/>
  <c r="J53" i="15"/>
  <c r="L53" i="15" s="1"/>
  <c r="M53" i="15" s="1"/>
  <c r="J12" i="15"/>
  <c r="L12" i="15" s="1"/>
  <c r="M12" i="15" s="1"/>
  <c r="J16" i="15"/>
  <c r="L16" i="15" s="1"/>
  <c r="M16" i="15" s="1"/>
  <c r="J11" i="15"/>
  <c r="L11" i="15" s="1"/>
  <c r="M11" i="15" s="1"/>
  <c r="J9" i="15"/>
  <c r="L9" i="15" s="1"/>
  <c r="M9" i="15" s="1"/>
  <c r="J58" i="15"/>
  <c r="L58" i="15" s="1"/>
  <c r="M58" i="15" s="1"/>
  <c r="J64" i="15"/>
  <c r="L64" i="15" s="1"/>
  <c r="M64" i="15" s="1"/>
  <c r="J26" i="15"/>
  <c r="L26" i="15" s="1"/>
  <c r="M26" i="15" s="1"/>
  <c r="J57" i="15"/>
  <c r="L57" i="15" s="1"/>
  <c r="M57" i="15" s="1"/>
  <c r="J62" i="15"/>
  <c r="L62" i="15" s="1"/>
  <c r="M62" i="15" s="1"/>
  <c r="J20" i="15"/>
  <c r="L20" i="15" s="1"/>
  <c r="M20" i="15" s="1"/>
  <c r="J23" i="15"/>
  <c r="L23" i="15" s="1"/>
  <c r="M23" i="15" s="1"/>
  <c r="J39" i="15"/>
  <c r="L39" i="15" s="1"/>
  <c r="M39" i="15" s="1"/>
  <c r="J47" i="15"/>
  <c r="L47" i="15" s="1"/>
  <c r="M47" i="15" s="1"/>
  <c r="J61" i="15"/>
  <c r="L61" i="15" s="1"/>
  <c r="M61" i="15" s="1"/>
  <c r="J65" i="15"/>
  <c r="L65" i="15" s="1"/>
  <c r="M65" i="15" s="1"/>
  <c r="J21" i="15"/>
  <c r="L21" i="15" s="1"/>
  <c r="M21" i="15" s="1"/>
  <c r="J30" i="15"/>
  <c r="L30" i="15" s="1"/>
  <c r="M30" i="15" s="1"/>
  <c r="J34" i="15"/>
  <c r="L34" i="15" s="1"/>
  <c r="M34" i="15" s="1"/>
  <c r="J49" i="15"/>
  <c r="L49" i="15" s="1"/>
  <c r="M49" i="15" s="1"/>
  <c r="J63" i="15"/>
  <c r="L63" i="15" s="1"/>
  <c r="M63" i="15" s="1"/>
  <c r="J37" i="15"/>
  <c r="L37" i="15" s="1"/>
  <c r="M37" i="15" s="1"/>
  <c r="J6" i="15"/>
  <c r="L6" i="15" s="1"/>
  <c r="M6" i="15" s="1"/>
  <c r="J38" i="15"/>
  <c r="L38" i="15" s="1"/>
  <c r="M38" i="15" s="1"/>
  <c r="J7" i="15"/>
  <c r="L7" i="15" s="1"/>
  <c r="M7" i="15" s="1"/>
  <c r="J44" i="15"/>
  <c r="L44" i="15" s="1"/>
  <c r="M44" i="15" s="1"/>
  <c r="J17" i="15"/>
  <c r="L17" i="15" s="1"/>
  <c r="M17" i="15" s="1"/>
  <c r="J24" i="15"/>
  <c r="L24" i="15" s="1"/>
  <c r="M24" i="15" s="1"/>
  <c r="J36" i="15"/>
  <c r="L36" i="15" s="1"/>
  <c r="M36" i="15" s="1"/>
  <c r="J42" i="15"/>
  <c r="L42" i="15" s="1"/>
  <c r="M42" i="15" s="1"/>
  <c r="J46" i="15"/>
  <c r="L46" i="15" s="1"/>
  <c r="M46" i="15" s="1"/>
  <c r="K11" i="18" l="1"/>
  <c r="C40" i="18"/>
  <c r="O42" i="15"/>
  <c r="D41" i="20"/>
  <c r="C45" i="18"/>
  <c r="K45" i="18" s="1"/>
  <c r="O47" i="15"/>
  <c r="D46" i="20"/>
  <c r="C10" i="18"/>
  <c r="K10" i="18" s="1"/>
  <c r="O12" i="15"/>
  <c r="D11" i="20"/>
  <c r="C48" i="18"/>
  <c r="K48" i="18" s="1"/>
  <c r="O50" i="15"/>
  <c r="D49" i="20"/>
  <c r="C16" i="18"/>
  <c r="K16" i="18" s="1"/>
  <c r="O18" i="15"/>
  <c r="D17" i="20"/>
  <c r="C34" i="18"/>
  <c r="K34" i="18" s="1"/>
  <c r="O36" i="15"/>
  <c r="D35" i="20"/>
  <c r="C19" i="18"/>
  <c r="K19" i="18" s="1"/>
  <c r="O21" i="15"/>
  <c r="D20" i="20"/>
  <c r="C37" i="18"/>
  <c r="K37" i="18" s="1"/>
  <c r="O39" i="15"/>
  <c r="D38" i="20"/>
  <c r="C55" i="18"/>
  <c r="G55" i="18" s="1"/>
  <c r="H55" i="18" s="1"/>
  <c r="J55" i="18" s="1"/>
  <c r="O57" i="15"/>
  <c r="D56" i="20"/>
  <c r="C7" i="18"/>
  <c r="K7" i="18" s="1"/>
  <c r="O9" i="15"/>
  <c r="D8" i="20"/>
  <c r="C51" i="18"/>
  <c r="G51" i="18" s="1"/>
  <c r="H51" i="18" s="1"/>
  <c r="J51" i="18" s="1"/>
  <c r="O53" i="15"/>
  <c r="D52" i="20"/>
  <c r="C58" i="18"/>
  <c r="G58" i="18" s="1"/>
  <c r="H58" i="18" s="1"/>
  <c r="J58" i="18" s="1"/>
  <c r="O60" i="15"/>
  <c r="D59" i="20"/>
  <c r="C27" i="18"/>
  <c r="O29" i="15"/>
  <c r="D28" i="20"/>
  <c r="C12" i="18"/>
  <c r="K12" i="18" s="1"/>
  <c r="O14" i="15"/>
  <c r="D13" i="20"/>
  <c r="C25" i="18"/>
  <c r="K25" i="18" s="1"/>
  <c r="O27" i="15"/>
  <c r="D26" i="20"/>
  <c r="C46" i="18"/>
  <c r="G46" i="18" s="1"/>
  <c r="H46" i="18" s="1"/>
  <c r="O48" i="15"/>
  <c r="D47" i="20"/>
  <c r="C13" i="18"/>
  <c r="K13" i="18" s="1"/>
  <c r="O15" i="15"/>
  <c r="D14" i="20"/>
  <c r="C30" i="18"/>
  <c r="G30" i="18" s="1"/>
  <c r="H30" i="18" s="1"/>
  <c r="O32" i="15"/>
  <c r="D31" i="20"/>
  <c r="F12" i="20"/>
  <c r="G12" i="20" s="1"/>
  <c r="C35" i="18"/>
  <c r="G35" i="18" s="1"/>
  <c r="H35" i="18" s="1"/>
  <c r="J35" i="18" s="1"/>
  <c r="O37" i="15"/>
  <c r="D36" i="20"/>
  <c r="C56" i="18"/>
  <c r="K56" i="18" s="1"/>
  <c r="O58" i="15"/>
  <c r="D57" i="20"/>
  <c r="C29" i="18"/>
  <c r="G29" i="18" s="1"/>
  <c r="H29" i="18" s="1"/>
  <c r="J29" i="18" s="1"/>
  <c r="O31" i="15"/>
  <c r="D30" i="20"/>
  <c r="C53" i="18"/>
  <c r="O55" i="15"/>
  <c r="D54" i="20"/>
  <c r="C57" i="18"/>
  <c r="G57" i="18" s="1"/>
  <c r="H57" i="18" s="1"/>
  <c r="J57" i="18" s="1"/>
  <c r="O59" i="15"/>
  <c r="D58" i="20"/>
  <c r="C61" i="18"/>
  <c r="K61" i="18" s="1"/>
  <c r="O63" i="15"/>
  <c r="D62" i="20"/>
  <c r="C22" i="18"/>
  <c r="G22" i="18" s="1"/>
  <c r="H22" i="18" s="1"/>
  <c r="J22" i="18" s="1"/>
  <c r="O24" i="15"/>
  <c r="D23" i="20"/>
  <c r="C36" i="18"/>
  <c r="K36" i="18" s="1"/>
  <c r="O38" i="15"/>
  <c r="D37" i="20"/>
  <c r="C47" i="18"/>
  <c r="K47" i="18" s="1"/>
  <c r="O49" i="15"/>
  <c r="D48" i="20"/>
  <c r="C63" i="18"/>
  <c r="G63" i="18" s="1"/>
  <c r="H63" i="18" s="1"/>
  <c r="J63" i="18" s="1"/>
  <c r="O65" i="15"/>
  <c r="D64" i="20"/>
  <c r="C21" i="18"/>
  <c r="G21" i="18" s="1"/>
  <c r="H21" i="18" s="1"/>
  <c r="J21" i="18" s="1"/>
  <c r="O23" i="15"/>
  <c r="D22" i="20"/>
  <c r="C24" i="18"/>
  <c r="K24" i="18" s="1"/>
  <c r="O26" i="15"/>
  <c r="D25" i="20"/>
  <c r="C9" i="18"/>
  <c r="K9" i="18" s="1"/>
  <c r="O11" i="15"/>
  <c r="D10" i="20"/>
  <c r="C41" i="18"/>
  <c r="K41" i="18" s="1"/>
  <c r="O43" i="15"/>
  <c r="D42" i="20"/>
  <c r="C43" i="18"/>
  <c r="G43" i="18" s="1"/>
  <c r="H43" i="18" s="1"/>
  <c r="O45" i="15"/>
  <c r="D44" i="20"/>
  <c r="C6" i="18"/>
  <c r="K6" i="18" s="1"/>
  <c r="O8" i="15"/>
  <c r="D7" i="20"/>
  <c r="C52" i="18"/>
  <c r="K52" i="18" s="1"/>
  <c r="O54" i="15"/>
  <c r="D53" i="20"/>
  <c r="C17" i="18"/>
  <c r="K17" i="18" s="1"/>
  <c r="O19" i="15"/>
  <c r="D18" i="20"/>
  <c r="C33" i="18"/>
  <c r="K33" i="18" s="1"/>
  <c r="O35" i="15"/>
  <c r="D34" i="20"/>
  <c r="C49" i="18"/>
  <c r="O51" i="15"/>
  <c r="D50" i="20"/>
  <c r="C3" i="18"/>
  <c r="O5" i="15"/>
  <c r="D4" i="20"/>
  <c r="C42" i="18"/>
  <c r="K42" i="18" s="1"/>
  <c r="O44" i="15"/>
  <c r="D43" i="20"/>
  <c r="C28" i="18"/>
  <c r="G28" i="18" s="1"/>
  <c r="H28" i="18" s="1"/>
  <c r="J28" i="18" s="1"/>
  <c r="O30" i="15"/>
  <c r="D29" i="20"/>
  <c r="C60" i="18"/>
  <c r="K60" i="18" s="1"/>
  <c r="O62" i="15"/>
  <c r="D61" i="20"/>
  <c r="C20" i="18"/>
  <c r="G20" i="18" s="1"/>
  <c r="H20" i="18" s="1"/>
  <c r="O22" i="15"/>
  <c r="D21" i="20"/>
  <c r="C39" i="18"/>
  <c r="K39" i="18" s="1"/>
  <c r="O41" i="15"/>
  <c r="D40" i="20"/>
  <c r="O7" i="15"/>
  <c r="D6" i="20"/>
  <c r="C44" i="18"/>
  <c r="O46" i="15"/>
  <c r="D45" i="20"/>
  <c r="C15" i="18"/>
  <c r="G15" i="18" s="1"/>
  <c r="H15" i="18" s="1"/>
  <c r="J15" i="18" s="1"/>
  <c r="O17" i="15"/>
  <c r="D16" i="20"/>
  <c r="O6" i="15"/>
  <c r="D5" i="20"/>
  <c r="C32" i="18"/>
  <c r="G32" i="18" s="1"/>
  <c r="H32" i="18" s="1"/>
  <c r="O34" i="15"/>
  <c r="D33" i="20"/>
  <c r="C59" i="18"/>
  <c r="K59" i="18" s="1"/>
  <c r="O61" i="15"/>
  <c r="D60" i="20"/>
  <c r="C18" i="18"/>
  <c r="G18" i="18" s="1"/>
  <c r="H18" i="18" s="1"/>
  <c r="J18" i="18" s="1"/>
  <c r="O20" i="15"/>
  <c r="D19" i="20"/>
  <c r="C62" i="18"/>
  <c r="K62" i="18" s="1"/>
  <c r="O64" i="15"/>
  <c r="D63" i="20"/>
  <c r="C14" i="18"/>
  <c r="K14" i="18" s="1"/>
  <c r="O16" i="15"/>
  <c r="D15" i="20"/>
  <c r="C31" i="18"/>
  <c r="K31" i="18" s="1"/>
  <c r="O33" i="15"/>
  <c r="D32" i="20"/>
  <c r="C38" i="18"/>
  <c r="G38" i="18" s="1"/>
  <c r="H38" i="18" s="1"/>
  <c r="J38" i="18" s="1"/>
  <c r="O40" i="15"/>
  <c r="D39" i="20"/>
  <c r="C8" i="18"/>
  <c r="K8" i="18" s="1"/>
  <c r="O10" i="15"/>
  <c r="D9" i="20"/>
  <c r="C50" i="18"/>
  <c r="G50" i="18" s="1"/>
  <c r="H50" i="18" s="1"/>
  <c r="O52" i="15"/>
  <c r="D51" i="20"/>
  <c r="C54" i="18"/>
  <c r="K54" i="18" s="1"/>
  <c r="O56" i="15"/>
  <c r="D55" i="20"/>
  <c r="C23" i="18"/>
  <c r="G23" i="18" s="1"/>
  <c r="H23" i="18" s="1"/>
  <c r="J23" i="18" s="1"/>
  <c r="O25" i="15"/>
  <c r="D24" i="20"/>
  <c r="C26" i="18"/>
  <c r="K26" i="18" s="1"/>
  <c r="O28" i="15"/>
  <c r="D27" i="20"/>
  <c r="J11" i="18"/>
  <c r="L11" i="18" s="1"/>
  <c r="N11" i="18" s="1"/>
  <c r="G53" i="18"/>
  <c r="H53" i="18" s="1"/>
  <c r="K53" i="18"/>
  <c r="G16" i="18"/>
  <c r="H16" i="18" s="1"/>
  <c r="J16" i="18" s="1"/>
  <c r="K55" i="18"/>
  <c r="G27" i="18"/>
  <c r="H27" i="18" s="1"/>
  <c r="J27" i="18" s="1"/>
  <c r="K27" i="18"/>
  <c r="G49" i="18"/>
  <c r="H49" i="18" s="1"/>
  <c r="J49" i="18" s="1"/>
  <c r="K49" i="18"/>
  <c r="G40" i="18"/>
  <c r="H40" i="18" s="1"/>
  <c r="K40" i="18"/>
  <c r="G62" i="18"/>
  <c r="H62" i="18" s="1"/>
  <c r="J62" i="18" s="1"/>
  <c r="D78" i="5"/>
  <c r="G36" i="18"/>
  <c r="H36" i="18" s="1"/>
  <c r="J36" i="18" s="1"/>
  <c r="G24" i="18"/>
  <c r="H24" i="18" s="1"/>
  <c r="J24" i="18" s="1"/>
  <c r="C4" i="18"/>
  <c r="C34" i="17"/>
  <c r="C31" i="17" s="1"/>
  <c r="C36" i="17" s="1"/>
  <c r="C4" i="17" s="1"/>
  <c r="G60" i="18"/>
  <c r="H60" i="18" s="1"/>
  <c r="J60" i="18" s="1"/>
  <c r="G48" i="18"/>
  <c r="H48" i="18" s="1"/>
  <c r="J48" i="18" s="1"/>
  <c r="C5" i="18"/>
  <c r="D34" i="17"/>
  <c r="D31" i="17" s="1"/>
  <c r="D36" i="17" s="1"/>
  <c r="D4" i="17" s="1"/>
  <c r="G26" i="18" l="1"/>
  <c r="H26" i="18" s="1"/>
  <c r="J26" i="18" s="1"/>
  <c r="K21" i="18"/>
  <c r="K28" i="18"/>
  <c r="G13" i="18"/>
  <c r="H13" i="18" s="1"/>
  <c r="J13" i="18" s="1"/>
  <c r="L13" i="18" s="1"/>
  <c r="N13" i="18" s="1"/>
  <c r="G37" i="18"/>
  <c r="H37" i="18" s="1"/>
  <c r="J37" i="18" s="1"/>
  <c r="L37" i="18" s="1"/>
  <c r="N37" i="18" s="1"/>
  <c r="K51" i="18"/>
  <c r="G8" i="18"/>
  <c r="H8" i="18" s="1"/>
  <c r="J8" i="18" s="1"/>
  <c r="G10" i="18"/>
  <c r="H10" i="18" s="1"/>
  <c r="J10" i="18" s="1"/>
  <c r="L10" i="18" s="1"/>
  <c r="N10" i="18" s="1"/>
  <c r="G41" i="18"/>
  <c r="H41" i="18" s="1"/>
  <c r="J41" i="18" s="1"/>
  <c r="L41" i="18" s="1"/>
  <c r="N41" i="18" s="1"/>
  <c r="G61" i="18"/>
  <c r="H61" i="18" s="1"/>
  <c r="J61" i="18" s="1"/>
  <c r="K38" i="18"/>
  <c r="L38" i="18" s="1"/>
  <c r="N38" i="18" s="1"/>
  <c r="K29" i="18"/>
  <c r="L29" i="18" s="1"/>
  <c r="N29" i="18" s="1"/>
  <c r="K18" i="18"/>
  <c r="L18" i="18" s="1"/>
  <c r="N18" i="18" s="1"/>
  <c r="G33" i="18"/>
  <c r="H33" i="18" s="1"/>
  <c r="J33" i="18" s="1"/>
  <c r="L33" i="18" s="1"/>
  <c r="N33" i="18" s="1"/>
  <c r="K46" i="18"/>
  <c r="K22" i="18"/>
  <c r="K23" i="18"/>
  <c r="L23" i="18" s="1"/>
  <c r="N23" i="18" s="1"/>
  <c r="L55" i="18"/>
  <c r="N55" i="18" s="1"/>
  <c r="G17" i="18"/>
  <c r="H17" i="18" s="1"/>
  <c r="J17" i="18" s="1"/>
  <c r="L17" i="18" s="1"/>
  <c r="N17" i="18" s="1"/>
  <c r="K43" i="18"/>
  <c r="K58" i="18"/>
  <c r="L58" i="18" s="1"/>
  <c r="N58" i="18" s="1"/>
  <c r="G6" i="18"/>
  <c r="H6" i="18" s="1"/>
  <c r="J6" i="18" s="1"/>
  <c r="L6" i="18" s="1"/>
  <c r="N6" i="18" s="1"/>
  <c r="G25" i="18"/>
  <c r="H25" i="18" s="1"/>
  <c r="J25" i="18" s="1"/>
  <c r="G19" i="18"/>
  <c r="H19" i="18" s="1"/>
  <c r="J19" i="18" s="1"/>
  <c r="L19" i="18" s="1"/>
  <c r="N19" i="18" s="1"/>
  <c r="G56" i="18"/>
  <c r="H56" i="18" s="1"/>
  <c r="J56" i="18" s="1"/>
  <c r="L56" i="18" s="1"/>
  <c r="N56" i="18" s="1"/>
  <c r="G42" i="18"/>
  <c r="H42" i="18" s="1"/>
  <c r="J42" i="18" s="1"/>
  <c r="L42" i="18" s="1"/>
  <c r="N42" i="18" s="1"/>
  <c r="K50" i="18"/>
  <c r="L49" i="18"/>
  <c r="N49" i="18" s="1"/>
  <c r="L21" i="18"/>
  <c r="N21" i="18" s="1"/>
  <c r="G47" i="18"/>
  <c r="H47" i="18" s="1"/>
  <c r="J47" i="18" s="1"/>
  <c r="B7" i="19"/>
  <c r="G14" i="18"/>
  <c r="H14" i="18" s="1"/>
  <c r="J14" i="18" s="1"/>
  <c r="L14" i="18" s="1"/>
  <c r="N14" i="18" s="1"/>
  <c r="G52" i="18"/>
  <c r="H52" i="18" s="1"/>
  <c r="J52" i="18" s="1"/>
  <c r="L52" i="18" s="1"/>
  <c r="N52" i="18" s="1"/>
  <c r="G59" i="18"/>
  <c r="H59" i="18" s="1"/>
  <c r="J59" i="18" s="1"/>
  <c r="L59" i="18" s="1"/>
  <c r="N59" i="18" s="1"/>
  <c r="G9" i="18"/>
  <c r="H9" i="18" s="1"/>
  <c r="J9" i="18" s="1"/>
  <c r="L9" i="18" s="1"/>
  <c r="N9" i="18" s="1"/>
  <c r="L22" i="18"/>
  <c r="N22" i="18" s="1"/>
  <c r="G34" i="18"/>
  <c r="H34" i="18" s="1"/>
  <c r="J34" i="18" s="1"/>
  <c r="L34" i="18" s="1"/>
  <c r="N34" i="18" s="1"/>
  <c r="G39" i="18"/>
  <c r="H39" i="18" s="1"/>
  <c r="J39" i="18" s="1"/>
  <c r="L39" i="18" s="1"/>
  <c r="N39" i="18" s="1"/>
  <c r="L61" i="18"/>
  <c r="N61" i="18" s="1"/>
  <c r="G45" i="18"/>
  <c r="H45" i="18" s="1"/>
  <c r="J45" i="18" s="1"/>
  <c r="L45" i="18" s="1"/>
  <c r="N45" i="18" s="1"/>
  <c r="K57" i="18"/>
  <c r="L57" i="18" s="1"/>
  <c r="N57" i="18" s="1"/>
  <c r="K44" i="18"/>
  <c r="K35" i="18"/>
  <c r="L35" i="18" s="1"/>
  <c r="N35" i="18" s="1"/>
  <c r="L28" i="18"/>
  <c r="N28" i="18" s="1"/>
  <c r="G31" i="18"/>
  <c r="H31" i="18" s="1"/>
  <c r="J31" i="18" s="1"/>
  <c r="L31" i="18" s="1"/>
  <c r="N31" i="18" s="1"/>
  <c r="K32" i="18"/>
  <c r="G44" i="18"/>
  <c r="H44" i="18" s="1"/>
  <c r="J44" i="18" s="1"/>
  <c r="L27" i="18"/>
  <c r="N27" i="18" s="1"/>
  <c r="L51" i="18"/>
  <c r="N51" i="18" s="1"/>
  <c r="K20" i="18"/>
  <c r="G54" i="18"/>
  <c r="H54" i="18" s="1"/>
  <c r="J54" i="18" s="1"/>
  <c r="L54" i="18" s="1"/>
  <c r="N54" i="18" s="1"/>
  <c r="G7" i="18"/>
  <c r="H7" i="18" s="1"/>
  <c r="J7" i="18" s="1"/>
  <c r="L7" i="18" s="1"/>
  <c r="N7" i="18" s="1"/>
  <c r="K5" i="18"/>
  <c r="G5" i="18"/>
  <c r="H5" i="18" s="1"/>
  <c r="J5" i="18" s="1"/>
  <c r="F27" i="20"/>
  <c r="G27" i="20" s="1"/>
  <c r="F9" i="20"/>
  <c r="G9" i="20" s="1"/>
  <c r="F63" i="20"/>
  <c r="G63" i="20" s="1"/>
  <c r="F5" i="20"/>
  <c r="G5" i="20" s="1"/>
  <c r="F6" i="20"/>
  <c r="G6" i="20" s="1"/>
  <c r="F61" i="20"/>
  <c r="G61" i="20" s="1"/>
  <c r="F50" i="20"/>
  <c r="G50" i="20" s="1"/>
  <c r="F7" i="20"/>
  <c r="G7" i="20" s="1"/>
  <c r="F25" i="20"/>
  <c r="G25" i="20" s="1"/>
  <c r="F37" i="20"/>
  <c r="G37" i="20" s="1"/>
  <c r="F54" i="20"/>
  <c r="G54" i="20" s="1"/>
  <c r="F47" i="20"/>
  <c r="G47" i="20" s="1"/>
  <c r="F59" i="20"/>
  <c r="G59" i="20" s="1"/>
  <c r="F38" i="20"/>
  <c r="G38" i="20" s="1"/>
  <c r="F49" i="20"/>
  <c r="G49" i="20" s="1"/>
  <c r="G12" i="18"/>
  <c r="H12" i="18" s="1"/>
  <c r="J12" i="18" s="1"/>
  <c r="L12" i="18" s="1"/>
  <c r="N12" i="18" s="1"/>
  <c r="B5" i="19"/>
  <c r="K63" i="18"/>
  <c r="L63" i="18" s="1"/>
  <c r="N63" i="18" s="1"/>
  <c r="K15" i="18"/>
  <c r="L15" i="18" s="1"/>
  <c r="N15" i="18" s="1"/>
  <c r="K30" i="18"/>
  <c r="F51" i="20"/>
  <c r="G51" i="20" s="1"/>
  <c r="F15" i="20"/>
  <c r="G15" i="20" s="1"/>
  <c r="F33" i="20"/>
  <c r="G33" i="20" s="1"/>
  <c r="F45" i="20"/>
  <c r="G45" i="20" s="1"/>
  <c r="F21" i="20"/>
  <c r="G21" i="20" s="1"/>
  <c r="F4" i="20"/>
  <c r="G4" i="20" s="1"/>
  <c r="H4" i="20" s="1"/>
  <c r="F53" i="20"/>
  <c r="G53" i="20" s="1"/>
  <c r="F10" i="20"/>
  <c r="G10" i="20" s="1"/>
  <c r="F48" i="20"/>
  <c r="G48" i="20" s="1"/>
  <c r="F58" i="20"/>
  <c r="G58" i="20" s="1"/>
  <c r="F36" i="20"/>
  <c r="G36" i="20" s="1"/>
  <c r="F14" i="20"/>
  <c r="G14" i="20" s="1"/>
  <c r="F28" i="20"/>
  <c r="G28" i="20" s="1"/>
  <c r="F56" i="20"/>
  <c r="G56" i="20" s="1"/>
  <c r="F17" i="20"/>
  <c r="G17" i="20" s="1"/>
  <c r="F41" i="20"/>
  <c r="G41" i="20" s="1"/>
  <c r="F55" i="20"/>
  <c r="G55" i="20" s="1"/>
  <c r="F32" i="20"/>
  <c r="G32" i="20" s="1"/>
  <c r="F60" i="20"/>
  <c r="G60" i="20" s="1"/>
  <c r="F16" i="20"/>
  <c r="G16" i="20" s="1"/>
  <c r="F40" i="20"/>
  <c r="G40" i="20" s="1"/>
  <c r="F43" i="20"/>
  <c r="G43" i="20" s="1"/>
  <c r="F18" i="20"/>
  <c r="G18" i="20" s="1"/>
  <c r="F42" i="20"/>
  <c r="G42" i="20" s="1"/>
  <c r="F64" i="20"/>
  <c r="G64" i="20" s="1"/>
  <c r="F62" i="20"/>
  <c r="G62" i="20" s="1"/>
  <c r="F57" i="20"/>
  <c r="G57" i="20" s="1"/>
  <c r="F31" i="20"/>
  <c r="G31" i="20" s="1"/>
  <c r="F13" i="20"/>
  <c r="G13" i="20" s="1"/>
  <c r="F8" i="20"/>
  <c r="G8" i="20" s="1"/>
  <c r="F35" i="20"/>
  <c r="G35" i="20" s="1"/>
  <c r="F46" i="20"/>
  <c r="G46" i="20" s="1"/>
  <c r="K4" i="18"/>
  <c r="G4" i="18"/>
  <c r="H4" i="18" s="1"/>
  <c r="J4" i="18" s="1"/>
  <c r="B6" i="19"/>
  <c r="B8" i="19"/>
  <c r="L26" i="18"/>
  <c r="N26" i="18" s="1"/>
  <c r="L8" i="18"/>
  <c r="N8" i="18" s="1"/>
  <c r="L62" i="18"/>
  <c r="N62" i="18" s="1"/>
  <c r="L47" i="18"/>
  <c r="N47" i="18" s="1"/>
  <c r="L25" i="18"/>
  <c r="N25" i="18" s="1"/>
  <c r="L16" i="18"/>
  <c r="N16" i="18" s="1"/>
  <c r="F24" i="20"/>
  <c r="G24" i="20" s="1"/>
  <c r="F39" i="20"/>
  <c r="G39" i="20" s="1"/>
  <c r="F19" i="20"/>
  <c r="G19" i="20" s="1"/>
  <c r="F29" i="20"/>
  <c r="G29" i="20" s="1"/>
  <c r="B4" i="19"/>
  <c r="F34" i="20"/>
  <c r="G34" i="20" s="1"/>
  <c r="F44" i="20"/>
  <c r="G44" i="20" s="1"/>
  <c r="F22" i="20"/>
  <c r="G22" i="20" s="1"/>
  <c r="F23" i="20"/>
  <c r="G23" i="20" s="1"/>
  <c r="F30" i="20"/>
  <c r="G30" i="20" s="1"/>
  <c r="F26" i="20"/>
  <c r="G26" i="20" s="1"/>
  <c r="F52" i="20"/>
  <c r="G52" i="20" s="1"/>
  <c r="F20" i="20"/>
  <c r="G20" i="20" s="1"/>
  <c r="F11" i="20"/>
  <c r="G11" i="20" s="1"/>
  <c r="J50" i="18"/>
  <c r="J32" i="18"/>
  <c r="J40" i="18"/>
  <c r="L40" i="18" s="1"/>
  <c r="N40" i="18" s="1"/>
  <c r="J43" i="18"/>
  <c r="J30" i="18"/>
  <c r="J46" i="18"/>
  <c r="L46" i="18" s="1"/>
  <c r="N46" i="18" s="1"/>
  <c r="J53" i="18"/>
  <c r="L53" i="18" s="1"/>
  <c r="N53" i="18" s="1"/>
  <c r="J20" i="18"/>
  <c r="L60" i="18"/>
  <c r="N60" i="18" s="1"/>
  <c r="L48" i="18"/>
  <c r="N48" i="18" s="1"/>
  <c r="L24" i="18"/>
  <c r="N24" i="18" s="1"/>
  <c r="L36" i="18"/>
  <c r="N36" i="18" s="1"/>
  <c r="L43" i="18" l="1"/>
  <c r="N43" i="18" s="1"/>
  <c r="L30" i="18"/>
  <c r="N30" i="18" s="1"/>
  <c r="C5" i="19"/>
  <c r="L20" i="18"/>
  <c r="N20" i="18" s="1"/>
  <c r="C6" i="19"/>
  <c r="D6" i="19" s="1"/>
  <c r="L44" i="18"/>
  <c r="N44" i="18" s="1"/>
  <c r="C7" i="19"/>
  <c r="D7" i="19" s="1"/>
  <c r="L50" i="18"/>
  <c r="N50" i="18" s="1"/>
  <c r="L32" i="18"/>
  <c r="N32" i="18" s="1"/>
  <c r="C8" i="19"/>
  <c r="D8" i="19" s="1"/>
  <c r="D5" i="19"/>
  <c r="C4" i="19"/>
  <c r="D4" i="19" s="1"/>
  <c r="D12" i="19" s="1"/>
  <c r="L5" i="18"/>
  <c r="H5" i="20"/>
  <c r="H6" i="20" s="1"/>
  <c r="H7" i="20" s="1"/>
  <c r="H8" i="20" s="1"/>
  <c r="H9" i="20" s="1"/>
  <c r="H10" i="20" s="1"/>
  <c r="H11" i="20" s="1"/>
  <c r="H12" i="20" s="1"/>
  <c r="H13" i="20" s="1"/>
  <c r="H14" i="20" s="1"/>
  <c r="H15" i="20" s="1"/>
  <c r="H16" i="20" s="1"/>
  <c r="H17" i="20" s="1"/>
  <c r="H18" i="20" s="1"/>
  <c r="H19" i="20" s="1"/>
  <c r="H20" i="20" s="1"/>
  <c r="H21" i="20" s="1"/>
  <c r="H22" i="20" s="1"/>
  <c r="H23" i="20" s="1"/>
  <c r="H24" i="20" s="1"/>
  <c r="H25" i="20" s="1"/>
  <c r="H26" i="20" s="1"/>
  <c r="H27" i="20" s="1"/>
  <c r="H28" i="20" s="1"/>
  <c r="H29" i="20" s="1"/>
  <c r="H30" i="20" s="1"/>
  <c r="H31" i="20" s="1"/>
  <c r="H32" i="20" s="1"/>
  <c r="H33" i="20" s="1"/>
  <c r="H34" i="20" s="1"/>
  <c r="H35" i="20" s="1"/>
  <c r="H36" i="20" s="1"/>
  <c r="H37" i="20" s="1"/>
  <c r="H38" i="20" s="1"/>
  <c r="H39" i="20" s="1"/>
  <c r="H40" i="20" s="1"/>
  <c r="H41" i="20" s="1"/>
  <c r="H42" i="20" s="1"/>
  <c r="H43" i="20" s="1"/>
  <c r="H44" i="20" s="1"/>
  <c r="H45" i="20" s="1"/>
  <c r="H46" i="20" s="1"/>
  <c r="H47" i="20" s="1"/>
  <c r="H48" i="20" s="1"/>
  <c r="H49" i="20" s="1"/>
  <c r="H50" i="20" s="1"/>
  <c r="H51" i="20" s="1"/>
  <c r="H52" i="20" s="1"/>
  <c r="H53" i="20" s="1"/>
  <c r="H54" i="20" s="1"/>
  <c r="H55" i="20" s="1"/>
  <c r="H56" i="20" s="1"/>
  <c r="H57" i="20" s="1"/>
  <c r="H58" i="20" s="1"/>
  <c r="H59" i="20" s="1"/>
  <c r="H60" i="20" s="1"/>
  <c r="H61" i="20" s="1"/>
  <c r="H62" i="20" s="1"/>
  <c r="H63" i="20" s="1"/>
  <c r="H64" i="20" s="1"/>
  <c r="L4" i="18"/>
  <c r="T4" i="18" l="1"/>
  <c r="C15" i="19"/>
  <c r="C17" i="19"/>
  <c r="C18" i="19" s="1"/>
  <c r="C16" i="19"/>
  <c r="D14" i="19"/>
  <c r="E14" i="19" s="1"/>
  <c r="D13" i="19" l="1"/>
  <c r="E12" i="19"/>
  <c r="F12" i="19" l="1"/>
  <c r="E13" i="19"/>
  <c r="G12" i="19" l="1"/>
  <c r="H12" i="19" s="1"/>
  <c r="F13" i="1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<sst xmlns="http://schemas.openxmlformats.org/spreadsheetml/2006/main" count="3731" uniqueCount="983">
  <si>
    <t>SMLMV</t>
  </si>
  <si>
    <t>Historicos
Salario anual</t>
  </si>
  <si>
    <t>Auxilio de Transporte</t>
  </si>
  <si>
    <t>UVT</t>
  </si>
  <si>
    <t>Proyección de Nomina</t>
  </si>
  <si>
    <t>Historico Inflacion IPC</t>
  </si>
  <si>
    <t xml:space="preserve">IPC Mensual </t>
  </si>
  <si>
    <t xml:space="preserve">Maximo IPC </t>
  </si>
  <si>
    <t xml:space="preserve">Años </t>
  </si>
  <si>
    <t>IPC anual</t>
  </si>
  <si>
    <t>IPC</t>
  </si>
  <si>
    <t>Apertura</t>
  </si>
  <si>
    <t>Maximo</t>
  </si>
  <si>
    <t xml:space="preserve"> Minimo</t>
  </si>
  <si>
    <t>Cierre</t>
  </si>
  <si>
    <t>IPC cuatro meses</t>
  </si>
  <si>
    <t>Proyeccion IPC</t>
  </si>
  <si>
    <t>0,3511x-704,16</t>
  </si>
  <si>
    <t>Promedio IPC Anual</t>
  </si>
  <si>
    <t>Historicos de incremento 
de arriendo</t>
  </si>
  <si>
    <t>Proyeccion arriendo</t>
  </si>
  <si>
    <t>ESP32</t>
  </si>
  <si>
    <t>Proveedor</t>
  </si>
  <si>
    <t>Precio c/u</t>
  </si>
  <si>
    <t>Cantidad</t>
  </si>
  <si>
    <t>Precio total</t>
  </si>
  <si>
    <t>Precio Envio</t>
  </si>
  <si>
    <t>Costo de envio /u</t>
  </si>
  <si>
    <t>Total</t>
  </si>
  <si>
    <t>Precio Total /u</t>
  </si>
  <si>
    <t xml:space="preserve">Link </t>
  </si>
  <si>
    <t>verical</t>
  </si>
  <si>
    <t>https://www.verical.com/pd/espressif-systems-combo-wireless-module-ESP32-D0WDQ6-5816547?utm_medium=aggregator&amp;utm_source=findchips&amp;utm_campaign=verical_2022&amp;utm_content=bnl_1</t>
  </si>
  <si>
    <t>Sigma</t>
  </si>
  <si>
    <t>https://www.sigmaelectronica.net/producto/esp-32/</t>
  </si>
  <si>
    <t>MERKATRONIX SAS</t>
  </si>
  <si>
    <t>https://articulo.mercadolibre.com.co/MCO-472070135-tarjeta-de-desarrollo-modulo-esp32-wifi-bluetooth-esp-32-_JM?quantity=25</t>
  </si>
  <si>
    <t>ladyhousehb.co</t>
  </si>
  <si>
    <t>https://shopee.com.co/Ladyhousehb-ESP32-Tablero-De-Desarrollo-WIFI-Bluetooth-smart-home-ESP-WROOM-32-32S-Venta-Caliente-i.498090828.12636389607?sp_atk=e718b52d-b429-4357-ad5e-e0bc4ffd4a7a</t>
  </si>
  <si>
    <t>Buzzer</t>
  </si>
  <si>
    <t xml:space="preserve"> </t>
  </si>
  <si>
    <t>Steren</t>
  </si>
  <si>
    <t>https://www.steren.com.co/mini-buzzer-de-4-khz-de-1-5-a-16-vcc-con-se-al-de-tono-constante-de-72-db.html</t>
  </si>
  <si>
    <t xml:space="preserve">ELECTROSENA </t>
  </si>
  <si>
    <t>https://articulo.mercadolibre.com.co/MCO-608841707-2-unidades-buzzer-activo-sonido-alarma-arduino-5v-12v-pito-_JM?quantity=10</t>
  </si>
  <si>
    <t>ARCA ELECTRÓNICA</t>
  </si>
  <si>
    <t>https://www.arcaelectronica.com/collections/led-buzzer-sonido/products/buzzer-alarma-activo-5v-sencillo</t>
  </si>
  <si>
    <t>Indicador de Luz</t>
  </si>
  <si>
    <t>YOROBOTICS</t>
  </si>
  <si>
    <t>https://articulo.mercadolibre.com.co/MCO-603248262-kit-leds-difuso-blanco-5mm-20-unidades-diodo-emisor-luz-_JM?searchVariation=73743079537#searchVariation=73743079537&amp;position=5&amp;search_layout=stack&amp;type=item&amp;tracking_id=05778b8b-84b3-40d0-afa2-3d165f214011</t>
  </si>
  <si>
    <t>ECOTRONIC COLOMBIA_SAS</t>
  </si>
  <si>
    <t>https://articulo.mercadolibre.com.co/MCO-472530949-x100-diodo-led-3mm-chorro-alta-calidad-transparente-leds-_JM?searchVariation=91926996712#searchVariation=91926996712&amp;position=4&amp;search_layout=stack&amp;type=item&amp;tracking_id=05778b8b-84b3-40d0-afa2-3d165f214011</t>
  </si>
  <si>
    <t>https://www.steren.com.co/led-ultrabrillante-de-5-mm-color-blanco.html</t>
  </si>
  <si>
    <t>Baterias</t>
  </si>
  <si>
    <t>JCM RELOJERIA</t>
  </si>
  <si>
    <t>https://articulo.mercadolibre.com.co/MCO-560287837-pila-murata-cr2032-voltaje-3v-pack-x-5-_JM?quantity=2</t>
  </si>
  <si>
    <t>GEMA LEON</t>
  </si>
  <si>
    <t>https://articulo.mercadolibre.com.co/MCO-562540609-pila-cr2032-gp-3-voltios-lithium-carton-x5-baterias-_JM#reco_item_pos=2&amp;reco_backend=machinalis-v2p&amp;reco_backend_type=low_level&amp;reco_client=vip-v2p&amp;reco_id=5016179a-2bad-4771-a6ad-56f10a3c88f7</t>
  </si>
  <si>
    <t>VYH TECHSOLUTIONS</t>
  </si>
  <si>
    <t>https://articulo.mercadolibre.com.co/MCO-532340497-bateria-pila-cr2016-nueva-sony-original-litio-3v-pack-x-5-_JM#reco_item_pos=12&amp;reco_backend=machinalis-v2p&amp;reco_backend_type=low_level&amp;reco_client=vip-v2p&amp;reco_id=a151bfb5-e402-443d-a549-7f4c1d6f38b6</t>
  </si>
  <si>
    <t>Porta Baterias</t>
  </si>
  <si>
    <t>https://articulo.mercadolibre.com.co/MCO-818199636-base-holder-para-bateria-cr2032-x-10-unidades-_JM?matt_tool=42035816&amp;matt_word=&amp;matt_source=google&amp;matt_campaign_id=14634237770&amp;matt_ad_group_id=122266243170&amp;matt_match_type=&amp;matt_network=g&amp;matt_device=c&amp;matt_creative=545507349305&amp;matt_keyword=&amp;matt_ad_position=&amp;matt_ad_type=pla&amp;matt_merchant_id=116847301&amp;matt_product_id=MCO818199636&amp;matt_product_partition_id=1638503335577&amp;matt_target_id=aud-978541508365:pla-1638503335577&amp;gclid=CjwKCAjw9LSSBhBsEiwAKtf0n7PK0W-Cho3vqEUK3CEY88bpEcjwQ5LSMjj-J3SvcqxUiiB8uX1BrRoCJSsQAvD_BwE</t>
  </si>
  <si>
    <t>SSDIELECT</t>
  </si>
  <si>
    <t>https://articulo.mercadolibre.com.co/MCO-491977620-socket-cr2032-portapila-bateria-3v-_JM?matt_tool=42035816&amp;matt_word=&amp;matt_source=google&amp;matt_campaign_id=14634237770&amp;matt_ad_group_id=122266243170&amp;matt_match_type=&amp;matt_network=g&amp;matt_device=c&amp;matt_creative=545507349305&amp;matt_keyword=&amp;matt_ad_position=&amp;matt_ad_type=pla&amp;matt_merchant_id=502971611&amp;matt_product_id=MCO491977620&amp;matt_product_partition_id=1638503335577&amp;matt_target_id=aud-978541508365:pla-1638503335577&amp;gclid=CjwKCAjw9LSSBhBsEiwAKtf0nwHpjH-5jJZQkWymvTod4s0SQncIuwaCU6jYEt2wvPLLiczU8_ds5BoClSIQAvD_BwE</t>
  </si>
  <si>
    <t>MACTRONICA BOGOTA</t>
  </si>
  <si>
    <t>https://articulo.mercadolibre.com.co/MCO-828343660-porta-pila-plana-cr2032-por-3-unidades-_JM#position=3&amp;search_layout=stack&amp;type=item&amp;tracking_id=e552b465-747f-48f9-b079-6b1efbf081f4</t>
  </si>
  <si>
    <t>Transistor</t>
  </si>
  <si>
    <t>DIEGO ELECTRONICS</t>
  </si>
  <si>
    <t>https://articulo.mercadolibre.com.co/MCO-559917066-transistor-npn-2n2222-x-10unidades-_JM?matt_tool=42035816&amp;matt_word=&amp;matt_source=google&amp;matt_campaign_id=14634237770&amp;matt_ad_group_id=122266243170&amp;matt_match_type=&amp;matt_network=g&amp;matt_device=c&amp;matt_creative=545507349305&amp;matt_keyword=&amp;matt_ad_position=&amp;matt_ad_type=pla&amp;matt_merchant_id=478164954&amp;matt_product_id=MCO559917066&amp;matt_product_partition_id=1638503335377&amp;matt_target_id=aud-978541508365:pla-1638503335377&amp;gclid=Cj0KCQjwmPSSBhCNARIsAH3cYgbhC3YgM0dbfUqDEe2m0Xm8hiNQuOK-saaafOTLExIjl67nUaKMi7YaAvodEALw_wcB</t>
  </si>
  <si>
    <t>Ferretrónica</t>
  </si>
  <si>
    <t>https://ferretronica.com/products/2n2222a-transistor-bjt-npn-40v-600ma-to-92?variant=19451282751581&amp;currency=COP&amp;utm_medium=product_sync&amp;utm_source=google&amp;utm_content=sag_organic&amp;utm_campaign=sag_organic&amp;utm_campaign=gs-2021-10-19&amp;utm_source=google&amp;utm_medium=smart_campaign&amp;gclid=Cj0KCQjwmPSSBhCNARIsAH3cYgYm6F3_5IeMpr5eQ9Dd-74g00fUraKRK0tP3Po2QmWxu2fNiNznbpYaAoaVEALw_wcB</t>
  </si>
  <si>
    <t>Electronica Plug and Play</t>
  </si>
  <si>
    <t>https://www.electronicaplugandplay.com/componentes-discretos/product/408-transistor-bipolar-2n2222?search=2n2222</t>
  </si>
  <si>
    <t>Tornillos</t>
  </si>
  <si>
    <t>soundloud14j.co</t>
  </si>
  <si>
    <t>https://shopee.com.co/600-Unids-Set-Pequeños-Tornillos-De-Acero-Inoxidable-12-Tipos-De-1pc-%2B-Electrónica-Para-Gafas-Reparación-D7J0-i.526275033.13338431986?gclid=Cj0KCQjwmPSSBhCNARIsAH3cYgbGGnPe4mxndtCaWHfzZfxSe0hq8S6Mfk3YfJ1E6rPf0g3tsRMGC70aAiHCEALw_wcB</t>
  </si>
  <si>
    <t>Cable micro C/µUSB</t>
  </si>
  <si>
    <t>TIENDAELECTROTECNO</t>
  </si>
  <si>
    <t>https://articulo.mercadolibre.com.co/MCO-613131508-cable-adaptador-usb-tipo-c-macho-a-micro-usb-macho-30cm-_JM?matt_tool=18952288&amp;matt_word=&amp;matt_source=google&amp;matt_campaign_id=14634237782&amp;matt_ad_group_id=122266243850&amp;matt_match_type=&amp;matt_network=g&amp;matt_device=c&amp;matt_creative=545507349329&amp;matt_keyword=&amp;matt_ad_position=&amp;matt_ad_type=pla&amp;matt_merchant_id=266161627&amp;matt_product_id=MCO613131508&amp;matt_product_partition_id=1636560501819&amp;matt_target_id=aud-978541508365:pla-1636560501819&amp;gclid=Cj0KCQjwmPSSBhCNARIsAH3cYgYXayAXE4ems0sOi9kKL96Qe5tHnmu7_rb5RMor5geYMgWZr2aV8cAaAkrGEALw_wcB</t>
  </si>
  <si>
    <t>CableCreation</t>
  </si>
  <si>
    <t>https://www.amazon.com/-/es/CableCreation-trenzado-480Mbps-MacBook-espacial/dp/B0744BKDRD?th=1</t>
  </si>
  <si>
    <t>kebidutechnologyxb.co</t>
  </si>
  <si>
    <t>https://shopee.com.co/product/471804034/11713584209?smtt=0.521257501-1650290242.3</t>
  </si>
  <si>
    <t>Carcasa/ Filamento</t>
  </si>
  <si>
    <t>Cantidad (Kg)</t>
  </si>
  <si>
    <t>MSPAGGIA</t>
  </si>
  <si>
    <t>https://articulo.mercadolibre.com.co/MCO-503287603-filamento-pla-175mm-impresion-3d-_JM</t>
  </si>
  <si>
    <t>Resistencias</t>
  </si>
  <si>
    <t>ALBARRACINESTRADAJESUSEDUARD</t>
  </si>
  <si>
    <t>https://articulo.mercadolibre.com.co/MCO-622317421-resistencias-de-47-kohms-14w-1-en-sets-x-10-unds-cu-_JM?matt_tool=42035816&amp;matt_word=&amp;matt_source=google&amp;matt_campaign_id=14634237770&amp;matt_ad_group_id=122266243170&amp;matt_match_type=&amp;matt_network=g&amp;matt_device=c&amp;matt_creative=545507349305&amp;matt_keyword=&amp;matt_ad_position=&amp;matt_ad_type=pla&amp;matt_merchant_id=450724255&amp;matt_product_id=MCO622317421&amp;matt_product_partition_id=1638503335577&amp;matt_target_id=aud-978541508365%3Apla-1638503335577&amp;gclid=Cj0KCQjwmPSSBhCNARIsAH3cYgbjoI0g9CYtDFtw1Pf0-5A_TLg2u69A8tzar27y0bHnUvOs-CKIZtoaAm8-EALw_wcB&amp;quantity=5</t>
  </si>
  <si>
    <t>TIENDAO-NOSE</t>
  </si>
  <si>
    <t>https://articulo.mercadolibre.com.co/MCO-516320171-resistencias-pack-10-unidades-47-k-ohm-set-paquete-14w-1-_JM?matt_tool=42035816&amp;matt_word=&amp;matt_source=google&amp;matt_campaign_id=14634237770&amp;matt_ad_group_id=122266243170&amp;matt_match_type=&amp;matt_network=g&amp;matt_device=c&amp;matt_creative=545507349305&amp;matt_keyword=&amp;matt_ad_position=&amp;matt_ad_type=pla&amp;matt_merchant_id=432421154&amp;matt_product_id=MCO516320171&amp;matt_product_partition_id=1638503335377&amp;matt_target_id=aud-978541508365:pla-1638503335377&amp;gclid=Cj0KCQjwmPSSBhCNARIsAH3cYgYqc3ycCYTPZjSSYgazvxvZqi8JbmWSFz3zYdJikyzlZg_zuCsYpKkaAiXIEALw_wcB</t>
  </si>
  <si>
    <t>https://www.electronicaplugandplay.com/componentes-pasivos/resistencias/resistencias-de-carbon/product/92-resistencia-4-7-k-1-4-watt</t>
  </si>
  <si>
    <t>Cautin</t>
  </si>
  <si>
    <t>IMPORTACIONESSOCAMI</t>
  </si>
  <si>
    <t>https://articulo.mercadolibre.com.co/MCO-551550492-cautin-110v-60w-regulable-soldadura-200-450c-_JM?matt_tool=70147493&amp;matt_word=&amp;matt_source=google&amp;matt_campaign_id=14633851809&amp;matt_ad_group_id=122277564930&amp;matt_match_type=&amp;matt_network=g&amp;matt_device=c&amp;matt_creative=545410559217&amp;matt_keyword=&amp;matt_ad_position=&amp;matt_ad_type=pla&amp;matt_merchant_id=281818756&amp;matt_product_id=MCO551550492&amp;matt_product_partition_id=1403869200214&amp;matt_target_id=aud-978541508365:pla-1403869200214&amp;gclid=Cj0KCQjwmPSSBhCNARIsAH3cYgZ7k1KthNSp8a1K2d2_R5XZnZQd5Vkprl6nbhr_Bovo-NisFeZzRzUaAjJSEALw_wcB</t>
  </si>
  <si>
    <t>Estaño y pasta</t>
  </si>
  <si>
    <t>CYNDIQUINTANA</t>
  </si>
  <si>
    <t>https://articulo.mercadolibre.com.co/MCO-534819205-soldadura-estano-tech-100gr-1mm-6040-pomada-la-unica-8gr-_JM#position=1&amp;search_layout=stack&amp;type=item&amp;tracking_id=58b870c4-f29f-450d-89d8-2247f1f9ac7d</t>
  </si>
  <si>
    <t>Pasta</t>
  </si>
  <si>
    <t>Destornillador</t>
  </si>
  <si>
    <t>MANCAKE</t>
  </si>
  <si>
    <t>https://articulo.mercadolibre.com.co/MCO-451250847-kit-destornilladores-d-precision-31-piezas-celular-electroni-_JM#position=18&amp;search_layout=stack&amp;type=item&amp;tracking_id=e8109853-b27b-475b-b113-96c772a71728</t>
  </si>
  <si>
    <t>Pinzas</t>
  </si>
  <si>
    <t>Ferreco</t>
  </si>
  <si>
    <t>https://articulo.mercadolibre.com.co/MCO-648763579-impresora-3d-creality-cp-01-3-en-1-filamento-_JM?searchVariation=91811011057#searchVariation=91811011057&amp;position=17&amp;search_layout=stack&amp;type=item&amp;tracking_id=635c1532-4b86-4b16-a09b-2e8b8469add6</t>
  </si>
  <si>
    <t>Impresora 3D</t>
  </si>
  <si>
    <t>INNOVATRONICSROBOTICS</t>
  </si>
  <si>
    <t>https://articulo.mercadolibre.com.co/MCO-598614635-ender-3-pro-creality-impresora-3d-entrega-inmediata-_JM?matt_tool=56249061&amp;matt_word=&amp;matt_source=google&amp;matt_campaign_id=14634237764&amp;matt_ad_group_id=122266242370&amp;matt_match_type=&amp;matt_network=g&amp;matt_device=c&amp;matt_creative=545507349272&amp;matt_keyword=&amp;matt_ad_position=&amp;matt_ad_type=pla&amp;matt_merchant_id=554252751&amp;matt_product_id=MCO598614635&amp;matt_product_partition_id=327344033649&amp;matt_target_id=pla-327344033649&amp;gclid=Cj0KCQjwsdiTBhD5ARIsAIpW8CLpXcJMYQU8u7Lv-5Xwg9jifQumXS5-l7F7BGBk2snJA707VvjuqsgaAilfEALw_wcB</t>
  </si>
  <si>
    <t>ZULUPRINTS SAS</t>
  </si>
  <si>
    <t>Tercera Mano</t>
  </si>
  <si>
    <t>Multimetro</t>
  </si>
  <si>
    <t>SEDYTOOLS</t>
  </si>
  <si>
    <t>Guantes</t>
  </si>
  <si>
    <t>TUFERRETERIA.CO</t>
  </si>
  <si>
    <t>Gafas Seguridad</t>
  </si>
  <si>
    <t>BODEGA_TECNOLOGICA_IBAGUE</t>
  </si>
  <si>
    <t>Total depreciación Herramientas y servicios del Producto1</t>
  </si>
  <si>
    <t>Costo Total 
De Herramientas producción</t>
  </si>
  <si>
    <t>Costo Total 
De Herramientas Administración</t>
  </si>
  <si>
    <t>Costo de 
insumos [200 U]</t>
  </si>
  <si>
    <t>Insumos de renovación mensual Produccion</t>
  </si>
  <si>
    <t>Insumo</t>
  </si>
  <si>
    <t>Costo</t>
  </si>
  <si>
    <t>Cantidad
 de Producto</t>
  </si>
  <si>
    <t>Cantidad utilizada por unidad producida</t>
  </si>
  <si>
    <t>Valor por unidad producida
Producto 1</t>
  </si>
  <si>
    <t>Cantidad de unidades que se pueden fabricar</t>
  </si>
  <si>
    <t>Comprado para lote de  200 U</t>
  </si>
  <si>
    <t>Costo materia prima lote 200 U</t>
  </si>
  <si>
    <t>Filamento 
impresora [g]</t>
  </si>
  <si>
    <t>Estaño[g]</t>
  </si>
  <si>
    <t>Pasta para 
Soldar[g]</t>
  </si>
  <si>
    <t>Elementos de renovación Administración</t>
  </si>
  <si>
    <t xml:space="preserve">Elemento </t>
  </si>
  <si>
    <t>Cantidad de Producto</t>
  </si>
  <si>
    <t>Papeleria</t>
  </si>
  <si>
    <t>Depreciación por tiempo Producción</t>
  </si>
  <si>
    <t>Depreciación por tiempo Administración</t>
  </si>
  <si>
    <t>Herramienta</t>
  </si>
  <si>
    <t>Años</t>
  </si>
  <si>
    <t>Porcentaje anual</t>
  </si>
  <si>
    <t>Depreciación mensual</t>
  </si>
  <si>
    <t>Cautín*</t>
  </si>
  <si>
    <t>Computador 2</t>
  </si>
  <si>
    <t>Lápiz 3D
/Impresora 3D*</t>
  </si>
  <si>
    <t>Muebles</t>
  </si>
  <si>
    <t>Tercera Mano*</t>
  </si>
  <si>
    <t>Celular</t>
  </si>
  <si>
    <t>Multímetro*</t>
  </si>
  <si>
    <t>Guantes Seguridad*</t>
  </si>
  <si>
    <t>Gafas
Seguridad*</t>
  </si>
  <si>
    <t>Computador 1</t>
  </si>
  <si>
    <t>Destornillador*</t>
  </si>
  <si>
    <t>Pinzas*</t>
  </si>
  <si>
    <t>Producto 1</t>
  </si>
  <si>
    <t xml:space="preserve">Servicios </t>
  </si>
  <si>
    <t>Costo x U</t>
  </si>
  <si>
    <t xml:space="preserve">Horas
Impresora
x U </t>
  </si>
  <si>
    <t>Potencia nominal
impresora [kW]</t>
  </si>
  <si>
    <t>Horas Cautín</t>
  </si>
  <si>
    <t>Potencia 
nominal 
cautín</t>
  </si>
  <si>
    <t>Horas 
Computador</t>
  </si>
  <si>
    <t>Potencia 
nominal 
Computador</t>
  </si>
  <si>
    <t>Cantidad Usada Por Unidad Producida</t>
  </si>
  <si>
    <t xml:space="preserve">Costo </t>
  </si>
  <si>
    <t>Mensual x 200</t>
  </si>
  <si>
    <t>Luz [KWh]*</t>
  </si>
  <si>
    <t>Produccion</t>
  </si>
  <si>
    <t>Administracion</t>
  </si>
  <si>
    <t>Mes</t>
  </si>
  <si>
    <t>[1]</t>
  </si>
  <si>
    <t>Total Para la
Empresa</t>
  </si>
  <si>
    <t>Nombre</t>
  </si>
  <si>
    <t>Identificación</t>
  </si>
  <si>
    <t>Cargo</t>
  </si>
  <si>
    <t>Relación Con 
Producción</t>
  </si>
  <si>
    <t>Clase de Riesgo.
Decreto 1295 del 22 de 
Junio de 1994.
Capitulo IV, Artículo 26.</t>
  </si>
  <si>
    <t>Sueldo Básico</t>
  </si>
  <si>
    <t># SMLMV.
Decreto 1724 del 15 de
 diciembre de 2021</t>
  </si>
  <si>
    <t>Valor Día</t>
  </si>
  <si>
    <t>Valor Hora</t>
  </si>
  <si>
    <t>Días Trabajados. 
Asistencia</t>
  </si>
  <si>
    <t xml:space="preserve">Valor Día Transporte.
ley 15 de 1959.
</t>
  </si>
  <si>
    <t>Sueldo Del Mes</t>
  </si>
  <si>
    <t>Horas Extra Diurnas
6am-9pm
25%</t>
  </si>
  <si>
    <t>Horas Extra Diurnas Trabajadas</t>
  </si>
  <si>
    <t>Horas extra  Nocturno
9pm-6am
75%</t>
  </si>
  <si>
    <t>Horas extra Nocturno
Trabajadas</t>
  </si>
  <si>
    <t xml:space="preserve">Horas Extra dominicales y Festivos Diarias y Nocturnas. 
Tiene derecho a un día libre remunerado
0%
Código Sustantivo de Trabajo
Capitulo II, Articulo 161
</t>
  </si>
  <si>
    <t>Horas Extradominicale y festivos Diaria y Nocturna</t>
  </si>
  <si>
    <t>Total Horas Extra [$]</t>
  </si>
  <si>
    <r>
      <rPr>
        <sz val="11"/>
        <color rgb="FFFF0000"/>
        <rFont val="Calibri"/>
        <family val="2"/>
        <scheme val="minor"/>
      </rPr>
      <t>Auxilio de Transporte</t>
    </r>
    <r>
      <rPr>
        <sz val="11"/>
        <color theme="1"/>
        <rFont val="Calibri"/>
        <family val="2"/>
        <scheme val="minor"/>
      </rPr>
      <t xml:space="preserve">
ley 15 de 1959.
servidores públicos y los trabajadores particulares que devenguen hasta dos (2) veces el Salario Mínimo Legal Mensual. 
</t>
    </r>
  </si>
  <si>
    <t xml:space="preserve">Comisiones
Por Ventas [$] </t>
  </si>
  <si>
    <t>Total Devengado</t>
  </si>
  <si>
    <r>
      <rPr>
        <sz val="11"/>
        <color rgb="FFFF0000"/>
        <rFont val="Calibri"/>
        <family val="2"/>
        <scheme val="minor"/>
      </rPr>
      <t>Aporte Salud</t>
    </r>
    <r>
      <rPr>
        <sz val="11"/>
        <color theme="1"/>
        <rFont val="Calibri"/>
        <family val="2"/>
        <scheme val="minor"/>
      </rPr>
      <t xml:space="preserve">
4%
</t>
    </r>
  </si>
  <si>
    <r>
      <rPr>
        <sz val="11"/>
        <color rgb="FFFF0000"/>
        <rFont val="Calibri"/>
        <family val="2"/>
        <scheme val="minor"/>
      </rPr>
      <t>Aporte Pensión</t>
    </r>
    <r>
      <rPr>
        <sz val="11"/>
        <color theme="1"/>
        <rFont val="Calibri"/>
        <family val="2"/>
        <scheme val="minor"/>
      </rPr>
      <t xml:space="preserve">
4%</t>
    </r>
  </si>
  <si>
    <r>
      <rPr>
        <sz val="11"/>
        <color rgb="FFFF0000"/>
        <rFont val="Calibri"/>
        <family val="2"/>
        <scheme val="minor"/>
      </rPr>
      <t>Fondo Solidaridad Pensional</t>
    </r>
    <r>
      <rPr>
        <sz val="11"/>
        <color theme="1"/>
        <rFont val="Calibri"/>
        <family val="2"/>
        <scheme val="minor"/>
      </rPr>
      <t xml:space="preserve">
1%
Para los que ganan 4 
sal. Minimos</t>
    </r>
  </si>
  <si>
    <t>Total Descuentos</t>
  </si>
  <si>
    <t>Neto a pagar</t>
  </si>
  <si>
    <r>
      <t xml:space="preserve"> Articulo 249 C.S.T  
</t>
    </r>
    <r>
      <rPr>
        <sz val="11"/>
        <color rgb="FFFF0000"/>
        <rFont val="Calibri"/>
        <family val="2"/>
        <scheme val="minor"/>
      </rPr>
      <t>CESANTIAS*</t>
    </r>
    <r>
      <rPr>
        <sz val="11"/>
        <color theme="1"/>
        <rFont val="Calibri"/>
        <family val="2"/>
        <scheme val="minor"/>
      </rPr>
      <t xml:space="preserve"> 8.33% 
MENSUAL (DEVEGADO QUE SEA FACTOR SALARIAL  MAS AUXILIO TRANSPORTE)</t>
    </r>
  </si>
  <si>
    <r>
      <t xml:space="preserve">  Art. 306 C.S.T 
</t>
    </r>
    <r>
      <rPr>
        <sz val="11"/>
        <color rgb="FFFF0000"/>
        <rFont val="Calibri"/>
        <family val="2"/>
        <scheme val="minor"/>
      </rPr>
      <t>PRIMA*</t>
    </r>
    <r>
      <rPr>
        <sz val="11"/>
        <color theme="1"/>
        <rFont val="Calibri"/>
        <family val="2"/>
        <scheme val="minor"/>
      </rPr>
      <t xml:space="preserve"> 8,33% 
MENSUAL  
(DEVEGADO QUE SEA FACTOR SALARIAL  MAS AUXILIO TRANSPORTE)</t>
    </r>
  </si>
  <si>
    <r>
      <t xml:space="preserve">Art.186 C.S.T.   
</t>
    </r>
    <r>
      <rPr>
        <sz val="11"/>
        <color rgb="FFFF0000"/>
        <rFont val="Calibri"/>
        <family val="2"/>
        <scheme val="minor"/>
      </rPr>
      <t>VACACIONES*</t>
    </r>
    <r>
      <rPr>
        <sz val="11"/>
        <color theme="1"/>
        <rFont val="Calibri"/>
        <family val="2"/>
        <scheme val="minor"/>
      </rPr>
      <t xml:space="preserve"> 4,17%  MENSUAL 
(MENOS AXULIO DE TRANSPORTE Y LAS HORAS EXTRAS SE EXCLUYEN DE LA BASE DE LIQUIDACION)</t>
    </r>
  </si>
  <si>
    <r>
      <t xml:space="preserve">Ley 52 de 1975
 </t>
    </r>
    <r>
      <rPr>
        <sz val="11"/>
        <color rgb="FFFF0000"/>
        <rFont val="Calibri"/>
        <family val="2"/>
        <scheme val="minor"/>
      </rPr>
      <t>INTERESES DE CESANTIAS*</t>
    </r>
    <r>
      <rPr>
        <sz val="11"/>
        <color theme="1"/>
        <rFont val="Calibri"/>
        <family val="2"/>
        <scheme val="minor"/>
      </rPr>
      <t xml:space="preserve"> 12%
 MENSUAL SOBRE EL VALOR DE LAS CESANTIAS</t>
    </r>
  </si>
  <si>
    <t>Total Provisión Presataciones Sociales</t>
  </si>
  <si>
    <r>
      <t xml:space="preserve">Ley 21 de 1982
Capitulo II, Art. 12
</t>
    </r>
    <r>
      <rPr>
        <sz val="11"/>
        <color rgb="FFFF0000"/>
        <rFont val="Calibri"/>
        <family val="2"/>
        <scheme val="minor"/>
      </rPr>
      <t xml:space="preserve">Caja de Compensación 
Familiar </t>
    </r>
    <r>
      <rPr>
        <sz val="11"/>
        <color theme="1"/>
        <rFont val="Calibri"/>
        <family val="2"/>
        <scheme val="minor"/>
      </rPr>
      <t xml:space="preserve"> (4%)</t>
    </r>
  </si>
  <si>
    <r>
      <t xml:space="preserve">Ley 21 de 1982
Capitulo II, Art. 12
</t>
    </r>
    <r>
      <rPr>
        <sz val="11"/>
        <color rgb="FFFF0000"/>
        <rFont val="Calibri"/>
        <family val="2"/>
        <scheme val="minor"/>
      </rPr>
      <t>Susidio familiar y
SENA</t>
    </r>
    <r>
      <rPr>
        <sz val="11"/>
        <color theme="1"/>
        <rFont val="Calibri"/>
        <family val="2"/>
        <scheme val="minor"/>
      </rPr>
      <t xml:space="preserve"> (2%)</t>
    </r>
  </si>
  <si>
    <r>
      <t xml:space="preserve">Ley 89 de 1988
</t>
    </r>
    <r>
      <rPr>
        <sz val="11"/>
        <color rgb="FFFF0000"/>
        <rFont val="Calibri"/>
        <family val="2"/>
        <scheme val="minor"/>
      </rPr>
      <t xml:space="preserve">ICBF
</t>
    </r>
    <r>
      <rPr>
        <sz val="11"/>
        <color theme="1"/>
        <rFont val="Calibri"/>
        <family val="2"/>
        <scheme val="minor"/>
      </rPr>
      <t>(3%)</t>
    </r>
  </si>
  <si>
    <t>Total Parafiscales</t>
  </si>
  <si>
    <r>
      <rPr>
        <sz val="11"/>
        <color rgb="FFFF0000"/>
        <rFont val="Calibri"/>
        <family val="2"/>
        <scheme val="minor"/>
      </rPr>
      <t>SALUD 8,5</t>
    </r>
    <r>
      <rPr>
        <sz val="11"/>
        <color theme="1"/>
        <rFont val="Calibri"/>
        <family val="2"/>
        <scheme val="minor"/>
      </rPr>
      <t xml:space="preserve">  (Ley 1122 
del 2007 Art. 10)   PARA 
LOS QUE GANAN MAS 
DE 10 SMMLV (Ley 1607 
de 2012, art. 25, quedan 
exonerados 
excepcionalmente de 
aportes a salud, los que 
ganan menos de 10 SMMLV:)</t>
    </r>
  </si>
  <si>
    <r>
      <t xml:space="preserve">Ley 797 de 2003Art.7   
</t>
    </r>
    <r>
      <rPr>
        <sz val="11"/>
        <color rgb="FFFF0000"/>
        <rFont val="Calibri"/>
        <family val="2"/>
        <scheme val="minor"/>
      </rPr>
      <t>PENSION</t>
    </r>
    <r>
      <rPr>
        <sz val="11"/>
        <color theme="1"/>
        <rFont val="Calibri"/>
        <family val="2"/>
        <scheme val="minor"/>
      </rPr>
      <t xml:space="preserve">  12%   (Cotización: 16%. Empleador:12%Trabajador:4%)</t>
    </r>
  </si>
  <si>
    <r>
      <t xml:space="preserve">Decreto 1772 de 1994 Art 13  
</t>
    </r>
    <r>
      <rPr>
        <sz val="11"/>
        <color rgb="FFFF0000"/>
        <rFont val="Calibri"/>
        <family val="2"/>
        <scheme val="minor"/>
      </rPr>
      <t xml:space="preserve"> RIESGOS LABORALES</t>
    </r>
    <r>
      <rPr>
        <sz val="11"/>
        <color theme="1"/>
        <rFont val="Calibri"/>
        <family val="2"/>
        <scheme val="minor"/>
      </rPr>
      <t xml:space="preserve"> SEGÚN TABLA</t>
    </r>
  </si>
  <si>
    <t>Total aportes 
Seguridad Social</t>
  </si>
  <si>
    <r>
      <t>Ley 11 de 1984,Art 7.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</t>
    </r>
    <r>
      <rPr>
        <sz val="11"/>
        <color rgb="FFFF0000"/>
        <rFont val="Calibri"/>
        <family val="2"/>
        <scheme val="minor"/>
      </rPr>
      <t>DOTACION</t>
    </r>
    <r>
      <rPr>
        <sz val="11"/>
        <color theme="1"/>
        <rFont val="Calibri"/>
        <family val="2"/>
        <scheme val="minor"/>
      </rPr>
      <t xml:space="preserve">  Un par de zapatos y un vestido de labor Entregas así: 30 de abril, 31 de agosto,20 de diciembre    -  Se entrega a quienes devenguen  (2 salarios mínimos mensuales).Con más de 3 meses de servicio.</t>
    </r>
  </si>
  <si>
    <t>Total Para la
Empresa por
 empleado</t>
  </si>
  <si>
    <t>Producción y 
Compras</t>
  </si>
  <si>
    <t>Juan</t>
  </si>
  <si>
    <t>Operario</t>
  </si>
  <si>
    <t>Indirecta</t>
  </si>
  <si>
    <t>Clase I</t>
  </si>
  <si>
    <t xml:space="preserve">Administración y 
mercadeo </t>
  </si>
  <si>
    <t>Juana</t>
  </si>
  <si>
    <t>Directa</t>
  </si>
  <si>
    <t>Materia prima producto 1</t>
  </si>
  <si>
    <t>Materia prima otros</t>
  </si>
  <si>
    <t>Materia 
Prima*</t>
  </si>
  <si>
    <t>Unidades</t>
  </si>
  <si>
    <t>Precio xU</t>
  </si>
  <si>
    <t>Baterías</t>
  </si>
  <si>
    <t>Esp32 (Devkit)</t>
  </si>
  <si>
    <t>Porta baterias</t>
  </si>
  <si>
    <t>PCB</t>
  </si>
  <si>
    <t>Carcasa*</t>
  </si>
  <si>
    <r>
      <t>Cable micro 
C/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USB</t>
    </r>
  </si>
  <si>
    <t>Led</t>
  </si>
  <si>
    <t>Producto1</t>
  </si>
  <si>
    <t>Total 200
 Productos</t>
  </si>
  <si>
    <t>Otros</t>
  </si>
  <si>
    <t>Total Otros 400</t>
  </si>
  <si>
    <t>AÑO  0</t>
  </si>
  <si>
    <t>AÑO 1</t>
  </si>
  <si>
    <t>AÑO 2</t>
  </si>
  <si>
    <t>AÑO 3</t>
  </si>
  <si>
    <t>AÑO 4</t>
  </si>
  <si>
    <t>AÑO 5</t>
  </si>
  <si>
    <t>Base</t>
  </si>
  <si>
    <t>MES 0</t>
  </si>
  <si>
    <t>MES x</t>
  </si>
  <si>
    <t>MES x+1</t>
  </si>
  <si>
    <t>Porcentaje entre productos</t>
  </si>
  <si>
    <t>Costos Directos de Producción</t>
  </si>
  <si>
    <t>1.0</t>
  </si>
  <si>
    <t>Otros productos</t>
  </si>
  <si>
    <t>1.1</t>
  </si>
  <si>
    <t>Materias Primas, consumibles y servicios</t>
  </si>
  <si>
    <t>1.1.1</t>
  </si>
  <si>
    <t>Materia Prima</t>
  </si>
  <si>
    <t>1.1.2</t>
  </si>
  <si>
    <t>Consumible</t>
  </si>
  <si>
    <t>1.1.3</t>
  </si>
  <si>
    <t>Herramientas</t>
  </si>
  <si>
    <t>1.1.4</t>
  </si>
  <si>
    <t>Depreciación herramientas</t>
  </si>
  <si>
    <t>1.2</t>
  </si>
  <si>
    <t>Mano de Obra de Producción</t>
  </si>
  <si>
    <t>1.2.1</t>
  </si>
  <si>
    <t xml:space="preserve"> Salarios</t>
  </si>
  <si>
    <t>1.2.2.</t>
  </si>
  <si>
    <t>Aportes Sistema General de Seguridad Social</t>
  </si>
  <si>
    <t>1.2.3</t>
  </si>
  <si>
    <t>Aportes  Parafiscales</t>
  </si>
  <si>
    <t>1.2.4</t>
  </si>
  <si>
    <t>Prestaciones sociales (Cesantías, Prima, vacaciones, intereses de cesantías y Dotación)</t>
  </si>
  <si>
    <t>1.2.5</t>
  </si>
  <si>
    <t>Dotación</t>
  </si>
  <si>
    <t>1.3</t>
  </si>
  <si>
    <t xml:space="preserve">Costos de Capital </t>
  </si>
  <si>
    <t>1.3.1</t>
  </si>
  <si>
    <t xml:space="preserve"> Depreciación</t>
  </si>
  <si>
    <t>1.4</t>
  </si>
  <si>
    <t>Producción Arriendo</t>
  </si>
  <si>
    <t>1.5</t>
  </si>
  <si>
    <t>Servicios</t>
  </si>
  <si>
    <t>Sub total costos Directos de Producción</t>
  </si>
  <si>
    <t>GASTOS OPERACIONALES DE ADMINISTRACION</t>
  </si>
  <si>
    <t xml:space="preserve">   Gastos de Funcionamiento</t>
  </si>
  <si>
    <t>2.1</t>
  </si>
  <si>
    <t xml:space="preserve"> Nomina Administrativa</t>
  </si>
  <si>
    <t>2.1.1</t>
  </si>
  <si>
    <t xml:space="preserve">  Salarios</t>
  </si>
  <si>
    <t>2.1.2</t>
  </si>
  <si>
    <t>2.1.3</t>
  </si>
  <si>
    <t>2.1.4</t>
  </si>
  <si>
    <t>2.1.5</t>
  </si>
  <si>
    <t>2.2</t>
  </si>
  <si>
    <t>Administración Arriendo</t>
  </si>
  <si>
    <t>2.3.</t>
  </si>
  <si>
    <t>Servicios Públicos</t>
  </si>
  <si>
    <t>2.4</t>
  </si>
  <si>
    <t>Mantenimientos de equipos</t>
  </si>
  <si>
    <t>2.5</t>
  </si>
  <si>
    <t>Impuestos Indirectos</t>
  </si>
  <si>
    <t>2.6</t>
  </si>
  <si>
    <t xml:space="preserve">Herramientas </t>
  </si>
  <si>
    <t>2.7</t>
  </si>
  <si>
    <t>Depreciación</t>
  </si>
  <si>
    <t>2.8</t>
  </si>
  <si>
    <t>Aseo - Cafetería</t>
  </si>
  <si>
    <t>2.9</t>
  </si>
  <si>
    <t>Papelería Elementos de Oficina</t>
  </si>
  <si>
    <t>2.10</t>
  </si>
  <si>
    <t>Fletes, transportes, correos</t>
  </si>
  <si>
    <t>2.11</t>
  </si>
  <si>
    <t>Capacitación y recreación empleados</t>
  </si>
  <si>
    <t>2.12</t>
  </si>
  <si>
    <t>Fondo para Caja menor</t>
  </si>
  <si>
    <t>Total Gastos Operacionales de Administración</t>
  </si>
  <si>
    <t>Gastos de Mercadeo y Distribución</t>
  </si>
  <si>
    <t>3.1.</t>
  </si>
  <si>
    <t xml:space="preserve"> Nomina Mercadeo y Distribución</t>
  </si>
  <si>
    <t>3.1.2</t>
  </si>
  <si>
    <t>Salarios</t>
  </si>
  <si>
    <t>3.1.3</t>
  </si>
  <si>
    <t>3.1.4</t>
  </si>
  <si>
    <t>3.1.5</t>
  </si>
  <si>
    <t>3.2</t>
  </si>
  <si>
    <t>Garantías, pólizas</t>
  </si>
  <si>
    <t>3.4</t>
  </si>
  <si>
    <t>Publicidad, propagandas</t>
  </si>
  <si>
    <t>4.5</t>
  </si>
  <si>
    <t>Pagina Web</t>
  </si>
  <si>
    <t>3.7</t>
  </si>
  <si>
    <t xml:space="preserve">Otros Gastos </t>
  </si>
  <si>
    <t>3.8</t>
  </si>
  <si>
    <t>Total Gastos de Mercadeo y Distribución</t>
  </si>
  <si>
    <t>Gastos Ambientales</t>
  </si>
  <si>
    <t>4.1</t>
  </si>
  <si>
    <t>Campañas</t>
  </si>
  <si>
    <t>4.2</t>
  </si>
  <si>
    <t>Capacitación</t>
  </si>
  <si>
    <t>4.3</t>
  </si>
  <si>
    <t>Materiales</t>
  </si>
  <si>
    <t>4.4</t>
  </si>
  <si>
    <t>Varios</t>
  </si>
  <si>
    <t xml:space="preserve">Total Gastos Ambientales </t>
  </si>
  <si>
    <t>Gastos Financieros</t>
  </si>
  <si>
    <t>5.1</t>
  </si>
  <si>
    <t>Intereses prestamos</t>
  </si>
  <si>
    <t>5.2</t>
  </si>
  <si>
    <t>Gastos Bancarios</t>
  </si>
  <si>
    <t>Total Gastos Financieros</t>
  </si>
  <si>
    <t>TOTAL COSTOS Y GASTOS</t>
  </si>
  <si>
    <t>Venta P1 
nominal</t>
  </si>
  <si>
    <t>Venta Otros</t>
  </si>
  <si>
    <t>Unidades
Vendidas</t>
  </si>
  <si>
    <t>Materia prima
P1</t>
  </si>
  <si>
    <t>Materia Prima
 Otros</t>
  </si>
  <si>
    <t xml:space="preserve">Precio al consumidor P1  </t>
  </si>
  <si>
    <t xml:space="preserve">Precio al consumidor Otros </t>
  </si>
  <si>
    <t>Ingreso de 
venta P1</t>
  </si>
  <si>
    <t>Ingreso de 
venta Otros</t>
  </si>
  <si>
    <t>Ingreso por
 ventas</t>
  </si>
  <si>
    <t>Ganancia
P1</t>
  </si>
  <si>
    <t>Ganancia 
Otros</t>
  </si>
  <si>
    <t>Ganancia 
Mensual</t>
  </si>
  <si>
    <t>Ganancia 
Acumulada</t>
  </si>
  <si>
    <t>GANANCIA ANUAL</t>
  </si>
  <si>
    <t>Cantidad producida</t>
  </si>
  <si>
    <t xml:space="preserve">VALOR DEL PRODUCTO UNITARIO </t>
  </si>
  <si>
    <t>GANANCIA</t>
  </si>
  <si>
    <t>RETEICA</t>
  </si>
  <si>
    <t>RETEFUENTE</t>
  </si>
  <si>
    <t>RETEIVA</t>
  </si>
  <si>
    <t>IVA SOBRE EL PRECIO DE VENTA</t>
  </si>
  <si>
    <t>PRECIO DE VENTA SIN IVA</t>
  </si>
  <si>
    <t>PRECIO DE VENTA FINAL</t>
  </si>
  <si>
    <t>P1</t>
  </si>
  <si>
    <t>P2</t>
  </si>
  <si>
    <t>Valor precio fabricación</t>
  </si>
  <si>
    <t>Total Precio unitario</t>
  </si>
  <si>
    <t>P1+Otros</t>
  </si>
  <si>
    <t xml:space="preserve">Ingresos 
por ventas </t>
  </si>
  <si>
    <t>Costos 
(Costo directo  
de producción)</t>
  </si>
  <si>
    <t>Gastos
(Costos Indirectos
de producción)</t>
  </si>
  <si>
    <t>Utilidad Bruta</t>
  </si>
  <si>
    <t>Utilidad de 
Operación</t>
  </si>
  <si>
    <t>Gastos Financieros (Prestamo Banco)</t>
  </si>
  <si>
    <t xml:space="preserve">Utilidad Antes 
de Impuestos </t>
  </si>
  <si>
    <t>Impuestos</t>
  </si>
  <si>
    <t>Utilidad Neta</t>
  </si>
  <si>
    <t>Depreciasión</t>
  </si>
  <si>
    <t xml:space="preserve">Flujo de Efectivo </t>
  </si>
  <si>
    <t>Banco
Capital de socios</t>
  </si>
  <si>
    <t>Capital de socios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</si>
  <si>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</si>
  <si>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</si>
  <si>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</si>
  <si>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</si>
  <si>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</si>
  <si>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</si>
  <si>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</si>
  <si>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</si>
  <si>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</si>
  <si>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</si>
  <si>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</si>
  <si>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</si>
  <si>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Mes 13</t>
  </si>
  <si>
    <t>Mes 14</t>
  </si>
  <si>
    <t>Mes 15</t>
  </si>
  <si>
    <t>Mes 16</t>
  </si>
  <si>
    <t>Mes 17</t>
  </si>
  <si>
    <t>Mes 18</t>
  </si>
  <si>
    <t>Mes 19</t>
  </si>
  <si>
    <t>Mes 20</t>
  </si>
  <si>
    <t>Mes 21</t>
  </si>
  <si>
    <t>Mes 22</t>
  </si>
  <si>
    <t>Mes 23</t>
  </si>
  <si>
    <t>Mes 24</t>
  </si>
  <si>
    <t>Mes 25</t>
  </si>
  <si>
    <t>Mes 26</t>
  </si>
  <si>
    <t>Mes 27</t>
  </si>
  <si>
    <t>Mes 28</t>
  </si>
  <si>
    <t>Mes 29</t>
  </si>
  <si>
    <t>Mes 30</t>
  </si>
  <si>
    <t>Mes 31</t>
  </si>
  <si>
    <t>Mes 32</t>
  </si>
  <si>
    <t>Mes 33</t>
  </si>
  <si>
    <t>Mes 34</t>
  </si>
  <si>
    <t>Mes 35</t>
  </si>
  <si>
    <t>Mes 36</t>
  </si>
  <si>
    <t>Mes 37</t>
  </si>
  <si>
    <t>Mes 38</t>
  </si>
  <si>
    <t>Mes 39</t>
  </si>
  <si>
    <t>Mes 40</t>
  </si>
  <si>
    <t>Mes 41</t>
  </si>
  <si>
    <t>Mes 42</t>
  </si>
  <si>
    <t>Mes 43</t>
  </si>
  <si>
    <t>Mes 44</t>
  </si>
  <si>
    <t>Mes 45</t>
  </si>
  <si>
    <t>Mes 46</t>
  </si>
  <si>
    <t>Mes 47</t>
  </si>
  <si>
    <t>Mes 48</t>
  </si>
  <si>
    <t>Mes 49</t>
  </si>
  <si>
    <t>Mes 50</t>
  </si>
  <si>
    <t>Mes 51</t>
  </si>
  <si>
    <t>Mes 52</t>
  </si>
  <si>
    <t>Mes 53</t>
  </si>
  <si>
    <t>Mes 54</t>
  </si>
  <si>
    <t>Mes 55</t>
  </si>
  <si>
    <t>Mes 56</t>
  </si>
  <si>
    <t>Mes 57</t>
  </si>
  <si>
    <t>Mes 58</t>
  </si>
  <si>
    <t>Mes 59</t>
  </si>
  <si>
    <t>Mes 60</t>
  </si>
  <si>
    <t>Inversión inicial</t>
  </si>
  <si>
    <t>Tasa De Descuento</t>
  </si>
  <si>
    <t xml:space="preserve">Ingreso </t>
  </si>
  <si>
    <t xml:space="preserve">Egresos </t>
  </si>
  <si>
    <t>Año 1</t>
  </si>
  <si>
    <t>Año 2</t>
  </si>
  <si>
    <t>Año 3</t>
  </si>
  <si>
    <t>Año 4</t>
  </si>
  <si>
    <t>Año 5</t>
  </si>
  <si>
    <t>Año1</t>
  </si>
  <si>
    <t>Año2</t>
  </si>
  <si>
    <t>Año3</t>
  </si>
  <si>
    <t>Año4</t>
  </si>
  <si>
    <t>Año5</t>
  </si>
  <si>
    <t>Tiempo de 
recuperación</t>
  </si>
  <si>
    <t>VAN</t>
  </si>
  <si>
    <t>TIR</t>
  </si>
  <si>
    <t>Tasa de 
rentabilidad</t>
  </si>
  <si>
    <t>Utilidades 
promedio</t>
  </si>
  <si>
    <t xml:space="preserve">Tasa rendimiento
promedio </t>
  </si>
  <si>
    <t xml:space="preserve">Lugar </t>
  </si>
  <si>
    <t>Precio</t>
  </si>
  <si>
    <t>m2</t>
  </si>
  <si>
    <t>Estrato</t>
  </si>
  <si>
    <t>Arriendo</t>
  </si>
  <si>
    <t>Agua consumo (m3)</t>
  </si>
  <si>
    <t>Luz consumo (kWh)</t>
  </si>
  <si>
    <t>Link</t>
  </si>
  <si>
    <t>https://www.ciencuadras.com/inmueble/local-en-arriendo-en-la-porciuncula-bogota-1591331</t>
  </si>
  <si>
    <t>Santa Helenita, Bogotá</t>
  </si>
  <si>
    <t>-</t>
  </si>
  <si>
    <t>https://www.ciencuadras.com/inmueble/local-en-arriendo-en-santa-helenita-bogota-2105081</t>
  </si>
  <si>
    <t>Quirigua, Bogotá</t>
  </si>
  <si>
    <t>https://www.ciencuadras.com/inmueble/local-en-arriendo-en-quirigua-bogota-2235714</t>
  </si>
  <si>
    <t>Gastos Totales</t>
  </si>
  <si>
    <t xml:space="preserve">Administración </t>
  </si>
  <si>
    <t>Total Servicios</t>
  </si>
  <si>
    <t>Total Arriendo</t>
  </si>
  <si>
    <t>Porcentaje</t>
  </si>
  <si>
    <t>Año</t>
  </si>
  <si>
    <t>Horas Extra</t>
  </si>
  <si>
    <t>En este caso no habrá lugar a recargo nocturno ni al previsto para el trabajo dominical o festivo, pero el trabajador devengará el salario correspondiente a la jornada ordinaria de trabajo, respetando siempre el mínimo legal o convencional y tendrá derecho a un día de descanso remunerado.</t>
  </si>
  <si>
    <t>18 o menos</t>
  </si>
  <si>
    <t>entre 18 a 28</t>
  </si>
  <si>
    <t>entre 29 a 39</t>
  </si>
  <si>
    <t>entre 40 a 50</t>
  </si>
  <si>
    <t>51 o más</t>
  </si>
  <si>
    <t>Sí</t>
  </si>
  <si>
    <t>No</t>
  </si>
  <si>
    <t>Tal vez</t>
  </si>
  <si>
    <t>No lo compraría</t>
  </si>
  <si>
    <t>$20.000 a $30.000</t>
  </si>
  <si>
    <t>$30.000 o $40.000</t>
  </si>
  <si>
    <t>Mas de $40.000</t>
  </si>
  <si>
    <t>Sí(ABS)</t>
  </si>
  <si>
    <t>Sí(%)</t>
  </si>
  <si>
    <t>Timestamp</t>
  </si>
  <si>
    <t>¿Tú rango de edad es?</t>
  </si>
  <si>
    <t>¿Qué estrato eres?</t>
  </si>
  <si>
    <t>¿Cual es tú estado civil?</t>
  </si>
  <si>
    <t>¿En qué localidad de Bogotá te encuentras?. (Ej: Usaquén, Suba, Engativa)</t>
  </si>
  <si>
    <t>¿Habías escuchado el término localizador de objetos ?</t>
  </si>
  <si>
    <t>¿Qué objeto sueles perder con más frecuencia?</t>
  </si>
  <si>
    <t>¿Qué problema resuelve nuestro producto en tu vida diaria?.</t>
  </si>
  <si>
    <t>¿Cuáles son las características que te harían adquirir este producto?.</t>
  </si>
  <si>
    <t>¿Cuanto estarías dispuesto a pagar por el producto?. (Pesos COP)</t>
  </si>
  <si>
    <t>¿Actualmennte cuentas con un localizador de objetos, o has tenido uno? si tu respuesta es si, especifica cual en la casilla de otros</t>
  </si>
  <si>
    <t>¿En qué escenarios utilizarías el localizador de objetos?.</t>
  </si>
  <si>
    <t>¿Cuál es tu mayor temor o preocupación de utilizar un localizador de objetos?.</t>
  </si>
  <si>
    <t>¿Qué consideras más importante?</t>
  </si>
  <si>
    <t>Para tu comodidad ¿cómo te gustaría la presentación del producto?</t>
  </si>
  <si>
    <t>¿Comprarías este producto?</t>
  </si>
  <si>
    <t>Si pudieras añadir alguna funcionalidad al producto, describe ¿cuál sería?. (Ej: que tenga una linterna).</t>
  </si>
  <si>
    <t>Soltero</t>
  </si>
  <si>
    <t>Tunjuelito</t>
  </si>
  <si>
    <t>no</t>
  </si>
  <si>
    <t>Llaves</t>
  </si>
  <si>
    <t>No pierdo tiempo buscando cosas, Reducción de estrés, Lo puedo utilizar para actividades en el trabajo</t>
  </si>
  <si>
    <t>Tamaño, Práctico para utilizar, Conectividad</t>
  </si>
  <si>
    <t>llaves, Celular</t>
  </si>
  <si>
    <t>Poca duración de la bateria, Poca distancia de cobertura</t>
  </si>
  <si>
    <t>Alcance</t>
  </si>
  <si>
    <t>Tarjeta</t>
  </si>
  <si>
    <t>Color vibrante</t>
  </si>
  <si>
    <t>Engativá</t>
  </si>
  <si>
    <t>No pierdo tiempo buscando cosas, Reducción de estrés</t>
  </si>
  <si>
    <t>Distancia, Tamaño, Práctico para utilizar</t>
  </si>
  <si>
    <t>llaves</t>
  </si>
  <si>
    <t>Poca duración de la bateria</t>
  </si>
  <si>
    <t>Llavero</t>
  </si>
  <si>
    <t>Usaquén</t>
  </si>
  <si>
    <t>si</t>
  </si>
  <si>
    <t>Distancia, Tamaño, Duracion de la bateria, Práctico para utilizar, Conectividad</t>
  </si>
  <si>
    <t>maleta, portátil, billetera, llaves</t>
  </si>
  <si>
    <t>Sticker</t>
  </si>
  <si>
    <t>Resistente al agua.</t>
  </si>
  <si>
    <t>En una relación</t>
  </si>
  <si>
    <t>Las llaves</t>
  </si>
  <si>
    <t>Distancia, Duracion de la bateria</t>
  </si>
  <si>
    <t>portátil, billetera, llaves</t>
  </si>
  <si>
    <t>Llavero cuadrado</t>
  </si>
  <si>
    <t>Llaves, y documentos</t>
  </si>
  <si>
    <t>No pierdo tiempo buscando cosas</t>
  </si>
  <si>
    <t>maleta, llaves</t>
  </si>
  <si>
    <t>Carga portátil, y batería de emergencia att: Juan Camilo</t>
  </si>
  <si>
    <t>Casado</t>
  </si>
  <si>
    <t>Antonio Nariño</t>
  </si>
  <si>
    <t>El control</t>
  </si>
  <si>
    <t>Agilidad</t>
  </si>
  <si>
    <t>Práctico para utilizar, Precio</t>
  </si>
  <si>
    <t>maleta</t>
  </si>
  <si>
    <t>Poca duración de la bateria, Complicado de manipular, Poca distancia de cobertura</t>
  </si>
  <si>
    <t>Batería</t>
  </si>
  <si>
    <t>Que traiga cargador</t>
  </si>
  <si>
    <t>Puente Aranda</t>
  </si>
  <si>
    <t>Práctico para utilizar</t>
  </si>
  <si>
    <t>medicamentos, llaves</t>
  </si>
  <si>
    <t>Poca distancia de cobertura</t>
  </si>
  <si>
    <t>Kennedy</t>
  </si>
  <si>
    <t>No pierdo tiempo buscando cosas, Agilidad</t>
  </si>
  <si>
    <t>Complicado de manipular, Poca distancia de cobertura, Diseño y tamaño</t>
  </si>
  <si>
    <t>Suba</t>
  </si>
  <si>
    <t>Las llaves y los medicamentos</t>
  </si>
  <si>
    <t>Reducción de estrés, Agilidad</t>
  </si>
  <si>
    <t>Distancia, Conectividad</t>
  </si>
  <si>
    <t>Linterna</t>
  </si>
  <si>
    <t>f</t>
  </si>
  <si>
    <t>Lo puedo utilizar para actividades en el trabajo</t>
  </si>
  <si>
    <t>Tamaño</t>
  </si>
  <si>
    <t>billetera</t>
  </si>
  <si>
    <t>Fontibón</t>
  </si>
  <si>
    <t>Duracion de la bateria, Práctico para utilizar, Conectividad</t>
  </si>
  <si>
    <t>Chapinero</t>
  </si>
  <si>
    <t>billetera, llaves</t>
  </si>
  <si>
    <t>Complicado de manipular, Poca distancia de cobertura</t>
  </si>
  <si>
    <t>Los Mártires</t>
  </si>
  <si>
    <t>El celular</t>
  </si>
  <si>
    <t>Reducción de estrés</t>
  </si>
  <si>
    <t>Distancia</t>
  </si>
  <si>
    <t>maleta, portátil, llaves</t>
  </si>
  <si>
    <t>Poca duración de la bateria, Complicado de manipular</t>
  </si>
  <si>
    <t>Llaves, teléfono, billetera</t>
  </si>
  <si>
    <t>maleta, billetera, llaves</t>
  </si>
  <si>
    <t>Alarmas</t>
  </si>
  <si>
    <t>Duracion de la bateria, Práctico para utilizar</t>
  </si>
  <si>
    <t>Smart Tag</t>
  </si>
  <si>
    <t>Las llaves de mi carro</t>
  </si>
  <si>
    <t>Complicado de manipular</t>
  </si>
  <si>
    <t>Facilidad de uso</t>
  </si>
  <si>
    <t>Que tenga sonido que lo identifique</t>
  </si>
  <si>
    <t>No pierdo tiempo buscando cosas, Reducción de estrés, Agilidad, Lo puedo utilizar para actividades en el trabajo</t>
  </si>
  <si>
    <t>Tamaño, Duracion de la bateria, Conectividad</t>
  </si>
  <si>
    <t>Hmi</t>
  </si>
  <si>
    <t>Celular, llaves, reloj, control TV, billetera etc</t>
  </si>
  <si>
    <t>Tamaño, Duracion de la bateria, Práctico para utilizar</t>
  </si>
  <si>
    <t>El de Apple</t>
  </si>
  <si>
    <t>billetera, llaves, Celular</t>
  </si>
  <si>
    <t>Ninguna, al ser para ubicar objetos no debería ser grande, solo cumplir la función con exactitud</t>
  </si>
  <si>
    <t>El carné</t>
  </si>
  <si>
    <t>Carné</t>
  </si>
  <si>
    <t>El cepillo del cabello</t>
  </si>
  <si>
    <t>En el cepillo del cabello y objetos parecidos</t>
  </si>
  <si>
    <t>Teusaquillo</t>
  </si>
  <si>
    <t>Conectividad</t>
  </si>
  <si>
    <t>Linterna pero que titile cuando uno la busque</t>
  </si>
  <si>
    <t>Llaves, Billetera</t>
  </si>
  <si>
    <t>Reducción de estrés, Inseguridad</t>
  </si>
  <si>
    <t>Tamaño, Duracion de la bateria, Práctico para utilizar, Conectividad</t>
  </si>
  <si>
    <t>adicional al sonido una luz que indique la ubicación del objeto</t>
  </si>
  <si>
    <t>Ninguno</t>
  </si>
  <si>
    <t>Inseguridad</t>
  </si>
  <si>
    <t>portátil</t>
  </si>
  <si>
    <t>Alarma</t>
  </si>
  <si>
    <t>San Cristobal</t>
  </si>
  <si>
    <t>Los audiófonos</t>
  </si>
  <si>
    <t>Duracion de la bateria</t>
  </si>
  <si>
    <t>Bosa</t>
  </si>
  <si>
    <t>No pierdo tiempo buscando cosas, Reducción de estrés, Inseguridad, Agilidad, Lo puedo utilizar para actividades en el trabajo</t>
  </si>
  <si>
    <t>Que te una alarma (sonido)</t>
  </si>
  <si>
    <t>Tamaño billetera</t>
  </si>
  <si>
    <t>Si</t>
  </si>
  <si>
    <t>Cédula, carné o tarjeta de SITP.</t>
  </si>
  <si>
    <t>Tamaño, Duracion de la bateria, Precio asequible</t>
  </si>
  <si>
    <t>maleta, billetera</t>
  </si>
  <si>
    <t>Tamaño incómodo</t>
  </si>
  <si>
    <t>Distancia, Tamaño, Duracion de la bateria, Práctico para utilizar</t>
  </si>
  <si>
    <t>portátil, llaves</t>
  </si>
  <si>
    <t>Que suene</t>
  </si>
  <si>
    <t>Tamaño, Práctico para utilizar</t>
  </si>
  <si>
    <t>No pierdo tiempo buscando cosas, Inseguridad</t>
  </si>
  <si>
    <t>Distancia, Duracion de la bateria, Práctico para utilizar, Conectividad</t>
  </si>
  <si>
    <t>Ninguna</t>
  </si>
  <si>
    <t>Llaves , documentos..</t>
  </si>
  <si>
    <t>Precio.</t>
  </si>
  <si>
    <t>Los tres anteriores..</t>
  </si>
  <si>
    <t>Los tres primeros</t>
  </si>
  <si>
    <t>Sí , buena idea la Linterna..</t>
  </si>
  <si>
    <t>3/13/2022 19:23:37</t>
  </si>
  <si>
    <t>Localización por App</t>
  </si>
  <si>
    <t>3/23/2022 9:03:59</t>
  </si>
  <si>
    <t>cargador de celular</t>
  </si>
  <si>
    <t>marca china</t>
  </si>
  <si>
    <t>3/27/2022 9:09:47</t>
  </si>
  <si>
    <t>Distancia, Tamaño, Conectividad</t>
  </si>
  <si>
    <t>3/27/2022 9:25:07</t>
  </si>
  <si>
    <t>Las llaves de la casa</t>
  </si>
  <si>
    <t>Que sea inclusivo para la población con Discapacidad</t>
  </si>
  <si>
    <t>3/27/2022 10:11:08</t>
  </si>
  <si>
    <t>Llaves gafas</t>
  </si>
  <si>
    <t>Boton alarma vehiculo</t>
  </si>
  <si>
    <t>Dependencia</t>
  </si>
  <si>
    <t>Luz</t>
  </si>
  <si>
    <t>Contra el agua</t>
  </si>
  <si>
    <t>Billetera</t>
  </si>
  <si>
    <t>Audífonos</t>
  </si>
  <si>
    <t>portátil, medicamentos, billetera, llaves</t>
  </si>
  <si>
    <t>4/18/2022 12:50:39</t>
  </si>
  <si>
    <t>Práctico para utilizar, Conectividad</t>
  </si>
  <si>
    <t>llaves, Control remoto</t>
  </si>
  <si>
    <t>Que fuera tipo toma de pared</t>
  </si>
  <si>
    <t>4/18/2022 13:18:01</t>
  </si>
  <si>
    <t>Viudo</t>
  </si>
  <si>
    <t>Sonido agradable</t>
  </si>
  <si>
    <t>4/18/2022 13:22:08</t>
  </si>
  <si>
    <t>Control</t>
  </si>
  <si>
    <t>Que tenga linterna</t>
  </si>
  <si>
    <t>4/18/2022 13:31:50</t>
  </si>
  <si>
    <t>No útil</t>
  </si>
  <si>
    <t>4/18/2022 14:12:38</t>
  </si>
  <si>
    <t>Las llaves 🔑</t>
  </si>
  <si>
    <t>Inseguridad, Agilidad</t>
  </si>
  <si>
    <t>4/18/2022 15:40:42</t>
  </si>
  <si>
    <t>Llaves, gafas, celular</t>
  </si>
  <si>
    <t>Reducción de estrés, Agilidad, Lo puedo utilizar para actividades en el trabajo</t>
  </si>
  <si>
    <t>4/18/2022 15:44:10</t>
  </si>
  <si>
    <t>4/18/2022 17:48:53</t>
  </si>
  <si>
    <t>Gafas - celular- llaves</t>
  </si>
  <si>
    <t>No pierdo tiempo buscando cosas, Reducción de estrés, Agilidad, Mi esposo no me regañe. 🤣🤣</t>
  </si>
  <si>
    <t>llaves, Gafas</t>
  </si>
  <si>
    <t>Que pite...</t>
  </si>
  <si>
    <t>4/18/2022 18:22:04</t>
  </si>
  <si>
    <t>4/18/2022 20:20:13</t>
  </si>
  <si>
    <t>4/18/2022 20:28:30</t>
  </si>
  <si>
    <t>Localizador de llaves</t>
  </si>
  <si>
    <t>4/18/2022 20:35:20</t>
  </si>
  <si>
    <t>Reducción de estrés, Inseguridad, Agilidad</t>
  </si>
  <si>
    <t>4/20/2022 10:28:55</t>
  </si>
  <si>
    <t>Llaves 🔑 y billetera</t>
  </si>
  <si>
    <t>Una brújula o llaves lit universal</t>
  </si>
  <si>
    <t>4/20/2022 10:47:06</t>
  </si>
  <si>
    <t>Relación abierta</t>
  </si>
  <si>
    <t>Esferos</t>
  </si>
  <si>
    <t>No sé</t>
  </si>
  <si>
    <t>Distancia, Tamaño</t>
  </si>
  <si>
    <t>Mascota</t>
  </si>
  <si>
    <t>Todas las anteriores</t>
  </si>
  <si>
    <t>Que tenga sonido</t>
  </si>
  <si>
    <t>4/20/2022 11:04:19</t>
  </si>
  <si>
    <t>Usme</t>
  </si>
  <si>
    <t>el cel</t>
  </si>
  <si>
    <t>Distancia, Tamaño, Duracion de la bateria, Práctico para utilizar, Conectividad, el precio</t>
  </si>
  <si>
    <t>4/20/2022 11:23:29</t>
  </si>
  <si>
    <t>Mis llaves :)</t>
  </si>
  <si>
    <t>Distancia, Tamaño, Duracion de la bateria</t>
  </si>
  <si>
    <t>4/20/2022 11:32:19</t>
  </si>
  <si>
    <t>4/20/2022 11:35:34</t>
  </si>
  <si>
    <t>Gafas</t>
  </si>
  <si>
    <t>.</t>
  </si>
  <si>
    <t>4/20/2022 12:41:05</t>
  </si>
  <si>
    <t>portátil, billetera</t>
  </si>
  <si>
    <t>4/20/2022 14:33:06</t>
  </si>
  <si>
    <t>Distancia, Tamaño, Duracion de la bateria, Conectividad</t>
  </si>
  <si>
    <t>Sonido</t>
  </si>
  <si>
    <t>4/20/2022 16:23:02</t>
  </si>
  <si>
    <t>Llaves de moto y casa</t>
  </si>
  <si>
    <t>4/20/2022 17:46:30</t>
  </si>
  <si>
    <t>No pierdo tiempo buscando cosas, Lo puedo utilizar para actividades en el trabajo</t>
  </si>
  <si>
    <t>Distancia, Práctico para utilizar, Conectividad</t>
  </si>
  <si>
    <t>Lector de huella o ADN</t>
  </si>
  <si>
    <t>4/20/2022 17:50:10</t>
  </si>
  <si>
    <t>Bateria recargable dual, con electricidad y con mini panel solar incorporado.</t>
  </si>
  <si>
    <t>4/20/2022 17:51:12</t>
  </si>
  <si>
    <t>Llaves,</t>
  </si>
  <si>
    <t>4/20/2022 17:51:59</t>
  </si>
  <si>
    <t>4/20/2022 17:52:09</t>
  </si>
  <si>
    <t>Personas con alzheimer</t>
  </si>
  <si>
    <t>4/20/2022 17:52:35</t>
  </si>
  <si>
    <t>Lad llaves</t>
  </si>
  <si>
    <t>Localizar el celular</t>
  </si>
  <si>
    <t>4/20/2022 17:54:13</t>
  </si>
  <si>
    <t>Colores llamativos</t>
  </si>
  <si>
    <t>4/20/2022 17:54:32</t>
  </si>
  <si>
    <t>Tenga dispensador de gomitas</t>
  </si>
  <si>
    <t>4/20/2022 17:59:13</t>
  </si>
  <si>
    <t>Que tenga luz</t>
  </si>
  <si>
    <t>4/20/2022 18:00:22</t>
  </si>
  <si>
    <t>el tapabocas, las llaves y el celular</t>
  </si>
  <si>
    <t>Tamaño, Duracion de la bateria, Práctico para utilizar, Conectividad, precio</t>
  </si>
  <si>
    <t>si, lo compre en wich y es para las llaves</t>
  </si>
  <si>
    <t>4/20/2022 18:02:26</t>
  </si>
  <si>
    <t>4/20/2022 18:05:25</t>
  </si>
  <si>
    <t>Contador de batería</t>
  </si>
  <si>
    <t>4/20/2022 18:07:50</t>
  </si>
  <si>
    <t>4/20/2022 18:11:55</t>
  </si>
  <si>
    <t>Control remoto</t>
  </si>
  <si>
    <t>Cosas de la casa</t>
  </si>
  <si>
    <t>Luz para ubicar de noche</t>
  </si>
  <si>
    <t>4/20/2022 18:16:46</t>
  </si>
  <si>
    <t>Agilidad, Lo puedo utilizar para actividades en el trabajo</t>
  </si>
  <si>
    <t>Distancia, Duracion de la bateria, Práctico para utilizar</t>
  </si>
  <si>
    <t>maleta, portátil, billetera</t>
  </si>
  <si>
    <t>4/20/2022 18:17:20</t>
  </si>
  <si>
    <t>No pierdo tiempo buscando cosas, Reducción de estrés, Inseguridad, Agilidad, Lo puedo utilizar para actividades en el trabajo, Resultados precisos.</t>
  </si>
  <si>
    <t>maleta, portátil, medicamentos, billetera, llaves, Celular.</t>
  </si>
  <si>
    <t>Visualización del lugar donde se encuentra el objeto.</t>
  </si>
  <si>
    <t>4/20/2022 18:17:54</t>
  </si>
  <si>
    <t>4/20/2022 18:18:34</t>
  </si>
  <si>
    <t>Telefono</t>
  </si>
  <si>
    <t>Que sea pequeño y se pueda cargar en un llavero</t>
  </si>
  <si>
    <t>4/20/2022 18:20:23</t>
  </si>
  <si>
    <t>Realmente no me ah pasado, pero creería que para mí moto</t>
  </si>
  <si>
    <t>Moto</t>
  </si>
  <si>
    <t>Que sea recargable</t>
  </si>
  <si>
    <t>4/20/2022 18:23:50</t>
  </si>
  <si>
    <t>Olvidar el localizador</t>
  </si>
  <si>
    <t>4/20/2022 18:26:04</t>
  </si>
  <si>
    <t>4/20/2022 18:31:49</t>
  </si>
  <si>
    <t>medicamentos</t>
  </si>
  <si>
    <t>Vibracion</t>
  </si>
  <si>
    <t>4/20/2022 18:35:02</t>
  </si>
  <si>
    <t>4/20/2022 18:36:31</t>
  </si>
  <si>
    <t>Tenga un señalador</t>
  </si>
  <si>
    <t>4/20/2022 18:39:11</t>
  </si>
  <si>
    <t>Llaves y monedero</t>
  </si>
  <si>
    <t>4/20/2022 18:40:07</t>
  </si>
  <si>
    <t>Regular</t>
  </si>
  <si>
    <t>4/20/2022 18:41:28</t>
  </si>
  <si>
    <t>4/20/2022 18:42:36</t>
  </si>
  <si>
    <t>4/20/2022 18:45:20</t>
  </si>
  <si>
    <t>4/20/2022 18:50:11</t>
  </si>
  <si>
    <t>Las llaves, el celular, las tijeras , la maleta de los botoones</t>
  </si>
  <si>
    <t>maleta, portátil</t>
  </si>
  <si>
    <t>Personalizado, microfono, camara espía,</t>
  </si>
  <si>
    <t>4/20/2022 18:58:10</t>
  </si>
  <si>
    <t>Las Gafas</t>
  </si>
  <si>
    <t>portátil, medicamentos, llaves</t>
  </si>
  <si>
    <t>que tenga reloj</t>
  </si>
  <si>
    <t>4/20/2022 18:59:30</t>
  </si>
  <si>
    <t>No pierdo tiempo buscando cosas, Reducción de estrés, Agilidad</t>
  </si>
  <si>
    <t>4/20/2022 19:01:57</t>
  </si>
  <si>
    <t>Llaves viletera</t>
  </si>
  <si>
    <t>Timbre</t>
  </si>
  <si>
    <t>4/20/2022 19:04:56</t>
  </si>
  <si>
    <t>4/20/2022 19:07:54</t>
  </si>
  <si>
    <t>4/20/2022 19:10:21</t>
  </si>
  <si>
    <t>CALCULADORA</t>
  </si>
  <si>
    <t>4/20/2022 19:11:33</t>
  </si>
  <si>
    <t>Mi USB :v</t>
  </si>
  <si>
    <t>Duracion de la bateria, Conectividad</t>
  </si>
  <si>
    <t>Si Smart Tag:3</t>
  </si>
  <si>
    <t>Hola Soy Esteban 😁 🇦🇷 Me Alegras Que Ya Casi Te Graduas</t>
  </si>
  <si>
    <t>4/20/2022 19:40:36</t>
  </si>
  <si>
    <t>Nada</t>
  </si>
  <si>
    <t>4/20/2022 19:41:36</t>
  </si>
  <si>
    <t>Mucha</t>
  </si>
  <si>
    <t>Decir en la app la ubicación</t>
  </si>
  <si>
    <t>4/20/2022 19:57:07</t>
  </si>
  <si>
    <t>Unión libre</t>
  </si>
  <si>
    <t>En el caso del celular lo que hago es que me timbro</t>
  </si>
  <si>
    <t>No se</t>
  </si>
  <si>
    <t>4/20/2022 19:58:24</t>
  </si>
  <si>
    <t>Que se accione por la voz.</t>
  </si>
  <si>
    <t>4/20/2022 19:59:33</t>
  </si>
  <si>
    <t>Objetos pequeños (llaves, memorias etc)</t>
  </si>
  <si>
    <t>Reducción de estrés, Inseguridad, Lo puedo utilizar para actividades en el trabajo</t>
  </si>
  <si>
    <t>Distancia, Tamaño, Práctico para utilizar, Conectividad</t>
  </si>
  <si>
    <t>4/20/2022 20:00:54</t>
  </si>
  <si>
    <t>Duración</t>
  </si>
  <si>
    <t>4/20/2022 20:05:05</t>
  </si>
  <si>
    <t>Separado</t>
  </si>
  <si>
    <t>Ciudad Bolívar</t>
  </si>
  <si>
    <t>Que se pueda usar en dos elementos al la vez</t>
  </si>
  <si>
    <t>4/20/2022 20:22:24</t>
  </si>
  <si>
    <t>El reloj</t>
  </si>
  <si>
    <t>4/20/2022 20:23:24</t>
  </si>
  <si>
    <t>4/20/2022 20:36:24</t>
  </si>
  <si>
    <t>4/20/2022 20:37:19</t>
  </si>
  <si>
    <t>4/20/2022 20:41:13</t>
  </si>
  <si>
    <t>Mis gafas</t>
  </si>
  <si>
    <t>Vibrador</t>
  </si>
  <si>
    <t>4/20/2022 21:04:06</t>
  </si>
  <si>
    <t>Esfero</t>
  </si>
  <si>
    <t>4/20/2022 21:06:38</t>
  </si>
  <si>
    <t>Llave carro</t>
  </si>
  <si>
    <t>4/20/2022 21:09:56</t>
  </si>
  <si>
    <t>4/20/2022 21:11:53</t>
  </si>
  <si>
    <t>Barrios Unidos</t>
  </si>
  <si>
    <t>Tarjetas débito</t>
  </si>
  <si>
    <t>maleta, portátil, billetera, llaves, Mascota</t>
  </si>
  <si>
    <t>4/20/2022 21:32:55</t>
  </si>
  <si>
    <t>Celulares</t>
  </si>
  <si>
    <t>Rastrear ubicación</t>
  </si>
  <si>
    <t>4/20/2022 21:35:43</t>
  </si>
  <si>
    <t>4/20/2022 21:39:04</t>
  </si>
  <si>
    <t>Todo</t>
  </si>
  <si>
    <t>4/20/2022 21:43:27</t>
  </si>
  <si>
    <t>Que tenga alarma</t>
  </si>
  <si>
    <t>4/20/2022 22:01:19</t>
  </si>
  <si>
    <t>Luz intermitente</t>
  </si>
  <si>
    <t>4/20/2022 22:42:49</t>
  </si>
  <si>
    <t>4/20/2022 22:59:12</t>
  </si>
  <si>
    <t>4/20/2022 23:13:01</t>
  </si>
  <si>
    <t>Bolígrafos</t>
  </si>
  <si>
    <t>4/21/2022 0:45:16</t>
  </si>
  <si>
    <t>Llaves y celular</t>
  </si>
  <si>
    <t>4/21/2022 8:11:07</t>
  </si>
  <si>
    <t>4/21/2022 8:23:25</t>
  </si>
  <si>
    <t>Reloj</t>
  </si>
  <si>
    <t>maleta, portátil, medicamentos, billetera</t>
  </si>
  <si>
    <t>Bluetooth</t>
  </si>
  <si>
    <t>4/21/2022 8:50:35</t>
  </si>
  <si>
    <t>4/21/2022 9:32:23</t>
  </si>
  <si>
    <t>Audifonos</t>
  </si>
  <si>
    <t>Reducción de estrés, Lo puedo utilizar para actividades en el trabajo</t>
  </si>
  <si>
    <t>maleta, portátil, medicamentos, billetera, llaves</t>
  </si>
  <si>
    <t>4/21/2022 10:01:53</t>
  </si>
  <si>
    <t>Control tv.</t>
  </si>
  <si>
    <t>Complicado de manipular, Poca distancia de cobertura, Que se me pierda</t>
  </si>
  <si>
    <t>Control remoto universal</t>
  </si>
  <si>
    <t>4/21/2022 10:14:24</t>
  </si>
  <si>
    <t>Llaves, billetera</t>
  </si>
  <si>
    <t>Que alumbrara</t>
  </si>
  <si>
    <t>4/21/2022 13:16:37</t>
  </si>
  <si>
    <t>Mi celular</t>
  </si>
  <si>
    <t>No pierdo tiempo buscando cosas, Agilidad, Lo puedo utilizar para actividades en el trabajo</t>
  </si>
  <si>
    <t>4/21/2022 16:46:15</t>
  </si>
  <si>
    <t>Documentos</t>
  </si>
  <si>
    <t>Económico</t>
  </si>
  <si>
    <t>4/21/2022 16:56:58</t>
  </si>
  <si>
    <t>4/21/2022 17:10:23</t>
  </si>
  <si>
    <t>4/21/2022 17:10:42</t>
  </si>
  <si>
    <t>Jajajaja las llaves</t>
  </si>
  <si>
    <t>4/21/2022 17:17:39</t>
  </si>
  <si>
    <t>Que tenga huella</t>
  </si>
  <si>
    <t>4/21/2022 19:19:36</t>
  </si>
  <si>
    <t>4/21/2022 19:35:08</t>
  </si>
  <si>
    <t>Celular, aretes, dinero</t>
  </si>
  <si>
    <t>4/21/2022 19:46:19</t>
  </si>
  <si>
    <t>Las llaves de casa</t>
  </si>
  <si>
    <t>Vibrara</t>
  </si>
  <si>
    <t>4/21/2022 20:05:34</t>
  </si>
  <si>
    <t>Encendedor</t>
  </si>
  <si>
    <t>4/21/2022 20:08:25</t>
  </si>
  <si>
    <t>El control remoto</t>
  </si>
  <si>
    <t>4/21/2022 22:23:05</t>
  </si>
  <si>
    <t>Separada</t>
  </si>
  <si>
    <t>Telefono llaves billetera sombrilla</t>
  </si>
  <si>
    <t>billetera, llaves, Telefono</t>
  </si>
  <si>
    <t>Todas Las anteriores</t>
  </si>
  <si>
    <t>Que tenga braile</t>
  </si>
  <si>
    <t>4/23/2022 4:33:57</t>
  </si>
  <si>
    <t>Musica</t>
  </si>
  <si>
    <t>4/23/2022 11:40:05</t>
  </si>
  <si>
    <t>Activos</t>
  </si>
  <si>
    <t>Caja menor</t>
  </si>
  <si>
    <t>Bancos</t>
  </si>
  <si>
    <t>Inventarios</t>
  </si>
  <si>
    <t>Consumibles</t>
  </si>
  <si>
    <t>Productos en proceso</t>
  </si>
  <si>
    <t>Maquinaria y equipo</t>
  </si>
  <si>
    <t>Equipos de oficina</t>
  </si>
  <si>
    <t>Equipo de computacion y comunicación</t>
  </si>
  <si>
    <t>Depreciacion Acumulada</t>
  </si>
  <si>
    <t>Mercadeo Y Distribución</t>
  </si>
  <si>
    <t>Total Activo</t>
  </si>
  <si>
    <t>Pasivo</t>
  </si>
  <si>
    <t>Arriendos</t>
  </si>
  <si>
    <t>xxxxx</t>
  </si>
  <si>
    <t>Nomina</t>
  </si>
  <si>
    <t>Total pasivo</t>
  </si>
  <si>
    <t>Patrimonio</t>
  </si>
  <si>
    <t>Capital de personas naturales</t>
  </si>
  <si>
    <t>Dividendos decretados en acciones</t>
  </si>
  <si>
    <t>Utilidades del ejercicio</t>
  </si>
  <si>
    <t>Perdida del ejercicio</t>
  </si>
  <si>
    <t>xxxx</t>
  </si>
  <si>
    <t>Ventas</t>
  </si>
  <si>
    <t>Total Patrimonio</t>
  </si>
  <si>
    <t>inicio</t>
  </si>
  <si>
    <t>año  2022</t>
  </si>
  <si>
    <t>ingresos</t>
  </si>
  <si>
    <t>ventas</t>
  </si>
  <si>
    <t>egresos</t>
  </si>
  <si>
    <t>costos dir. E indir.</t>
  </si>
  <si>
    <t>impuestos</t>
  </si>
  <si>
    <t>marzo</t>
  </si>
  <si>
    <t>junio</t>
  </si>
  <si>
    <t>mayo</t>
  </si>
  <si>
    <t>julio</t>
  </si>
  <si>
    <t>agosto</t>
  </si>
  <si>
    <t>septiembre</t>
  </si>
  <si>
    <t>octubre</t>
  </si>
  <si>
    <t>febrero</t>
  </si>
  <si>
    <t>abril</t>
  </si>
  <si>
    <t>noviembre</t>
  </si>
  <si>
    <t>diciembre</t>
  </si>
  <si>
    <t>enero</t>
  </si>
  <si>
    <t>Resumen Estado Genera</t>
  </si>
  <si>
    <t>capital de socios</t>
  </si>
  <si>
    <t>inicial</t>
  </si>
  <si>
    <t>Esperado</t>
  </si>
  <si>
    <t>IVA</t>
  </si>
  <si>
    <t>Costo directo</t>
  </si>
  <si>
    <t xml:space="preserve">Costo indirecto </t>
  </si>
  <si>
    <t>Costos y gastos mensuales</t>
  </si>
  <si>
    <t>Acumulado Despues de E+I</t>
  </si>
  <si>
    <t>(IN) ingreso mensual ventas</t>
  </si>
  <si>
    <t>(E) Egreso (general de cost. Y gast.)</t>
  </si>
  <si>
    <t>(IM) impuestos
RETE(IVA,ICA,
FUENTE)+IVA</t>
  </si>
  <si>
    <t>n</t>
  </si>
  <si>
    <t>(IN-E-IM) Flujo de caja Actual</t>
  </si>
  <si>
    <t>MES (X) +( X+1)</t>
  </si>
  <si>
    <t>Gastos Producción y compras</t>
  </si>
  <si>
    <t>Total Arriendo
 y servicios</t>
  </si>
  <si>
    <t>Gastos Administración y mercadeo</t>
  </si>
  <si>
    <t>Proyección de Arriendo</t>
  </si>
  <si>
    <t>La Porciúncula, Bogotá</t>
  </si>
  <si>
    <t>Flujo de efectivo</t>
  </si>
  <si>
    <t>Resumen de indices Fianacieros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</si>
</sst>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\ #,##0;[Red]\-&quot;$&quot;\ #,##0"/>
    <numFmt numFmtId="8" formatCode="&quot;$&quot;\ #,##0.00;[Red]\-&quot;$&quot;\ #,##0.0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&quot;$&quot;\ #,##0"/>
    <numFmt numFmtId="166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ssistant"/>
      <charset val="177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9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33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2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458">
    <xf numFmtId="0" fontId="0" fillId="0" borderId="0" xfId="0"/>
    <xf numFmtId="0" fontId="0" fillId="0" borderId="0" xfId="0" applyAlignment="1">
      <alignment horizontal="center" vertical="center"/>
    </xf>
    <xf numFmtId="42" fontId="0" fillId="0" borderId="0" xfId="0" applyNumberFormat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textRotation="90"/>
    </xf>
    <xf numFmtId="0" fontId="0" fillId="2" borderId="1" xfId="0" applyFill="1" applyBorder="1" applyAlignment="1">
      <alignment horizontal="center" textRotation="90"/>
    </xf>
    <xf numFmtId="0" fontId="0" fillId="0" borderId="0" xfId="0" applyAlignment="1">
      <alignment wrapText="1"/>
    </xf>
    <xf numFmtId="42" fontId="0" fillId="0" borderId="0" xfId="1" applyFont="1"/>
    <xf numFmtId="0" fontId="0" fillId="2" borderId="1" xfId="0" applyFill="1" applyBorder="1"/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textRotation="90"/>
    </xf>
    <xf numFmtId="0" fontId="0" fillId="0" borderId="0" xfId="0" applyAlignment="1">
      <alignment textRotation="90"/>
    </xf>
    <xf numFmtId="0" fontId="0" fillId="2" borderId="1" xfId="0" applyFill="1" applyBorder="1" applyAlignment="1">
      <alignment horizontal="center" textRotation="90" wrapText="1"/>
    </xf>
    <xf numFmtId="0" fontId="0" fillId="0" borderId="0" xfId="0" applyAlignment="1">
      <alignment horizontal="center" textRotation="90" wrapText="1"/>
    </xf>
    <xf numFmtId="0" fontId="0" fillId="2" borderId="1" xfId="0" applyFill="1" applyBorder="1" applyAlignment="1">
      <alignment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textRotation="90" wrapText="1"/>
    </xf>
    <xf numFmtId="0" fontId="0" fillId="2" borderId="1" xfId="0" applyFill="1" applyBorder="1" applyAlignment="1">
      <alignment horizontal="center" vertical="center"/>
    </xf>
    <xf numFmtId="44" fontId="0" fillId="0" borderId="1" xfId="3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1" xfId="3" applyNumberFormat="1" applyFont="1" applyBorder="1" applyAlignment="1">
      <alignment horizontal="center" vertical="center"/>
    </xf>
    <xf numFmtId="164" fontId="0" fillId="0" borderId="1" xfId="3" applyNumberFormat="1" applyFont="1" applyBorder="1" applyAlignment="1">
      <alignment vertical="center"/>
    </xf>
    <xf numFmtId="0" fontId="0" fillId="0" borderId="1" xfId="3" applyNumberFormat="1" applyFont="1" applyBorder="1" applyAlignment="1">
      <alignment horizontal="center" vertical="center"/>
    </xf>
    <xf numFmtId="0" fontId="0" fillId="0" borderId="1" xfId="3" applyNumberFormat="1" applyFont="1" applyBorder="1" applyAlignment="1">
      <alignment vertical="center"/>
    </xf>
    <xf numFmtId="0" fontId="0" fillId="0" borderId="6" xfId="0" applyBorder="1" applyAlignment="1">
      <alignment vertical="center" wrapText="1"/>
    </xf>
    <xf numFmtId="6" fontId="0" fillId="0" borderId="0" xfId="0" applyNumberFormat="1" applyAlignment="1">
      <alignment horizontal="center"/>
    </xf>
    <xf numFmtId="6" fontId="0" fillId="0" borderId="1" xfId="0" applyNumberFormat="1" applyBorder="1" applyAlignment="1">
      <alignment horizontal="center"/>
    </xf>
    <xf numFmtId="0" fontId="4" fillId="0" borderId="0" xfId="2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4" xfId="3" applyNumberFormat="1" applyFont="1" applyBorder="1" applyAlignment="1">
      <alignment horizontal="center" vertical="center"/>
    </xf>
    <xf numFmtId="164" fontId="0" fillId="0" borderId="6" xfId="3" applyNumberFormat="1" applyFont="1" applyBorder="1" applyAlignment="1">
      <alignment horizontal="center" vertical="center"/>
    </xf>
    <xf numFmtId="0" fontId="0" fillId="0" borderId="6" xfId="3" applyNumberFormat="1" applyFont="1" applyBorder="1" applyAlignment="1">
      <alignment horizontal="center" vertical="center"/>
    </xf>
    <xf numFmtId="164" fontId="0" fillId="0" borderId="0" xfId="3" applyNumberFormat="1" applyFont="1" applyBorder="1" applyAlignment="1">
      <alignment horizontal="center" vertical="center"/>
    </xf>
    <xf numFmtId="0" fontId="0" fillId="0" borderId="0" xfId="3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1" xfId="2" applyBorder="1" applyAlignment="1">
      <alignment vertical="center" wrapText="1"/>
    </xf>
    <xf numFmtId="164" fontId="0" fillId="0" borderId="0" xfId="3" applyNumberFormat="1" applyFont="1" applyBorder="1" applyAlignment="1">
      <alignment vertical="center"/>
    </xf>
    <xf numFmtId="0" fontId="0" fillId="0" borderId="0" xfId="3" applyNumberFormat="1" applyFont="1" applyBorder="1" applyAlignment="1">
      <alignment vertical="center"/>
    </xf>
    <xf numFmtId="164" fontId="0" fillId="0" borderId="1" xfId="3" applyNumberFormat="1" applyFont="1" applyBorder="1" applyAlignment="1">
      <alignment horizontal="center" vertical="center" wrapText="1"/>
    </xf>
    <xf numFmtId="0" fontId="4" fillId="0" borderId="0" xfId="2" applyBorder="1" applyAlignment="1">
      <alignment vertical="center" wrapText="1"/>
    </xf>
    <xf numFmtId="0" fontId="0" fillId="0" borderId="0" xfId="0" applyAlignment="1">
      <alignment vertical="center"/>
    </xf>
    <xf numFmtId="42" fontId="0" fillId="0" borderId="1" xfId="0" applyNumberFormat="1" applyBorder="1"/>
    <xf numFmtId="42" fontId="0" fillId="0" borderId="1" xfId="1" applyFont="1" applyBorder="1" applyAlignment="1">
      <alignment horizontal="center" vertical="center"/>
    </xf>
    <xf numFmtId="42" fontId="0" fillId="3" borderId="1" xfId="0" applyNumberFormat="1" applyFill="1" applyBorder="1"/>
    <xf numFmtId="42" fontId="0" fillId="3" borderId="1" xfId="0" applyNumberForma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textRotation="90"/>
    </xf>
    <xf numFmtId="0" fontId="0" fillId="0" borderId="1" xfId="0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4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9" fontId="0" fillId="0" borderId="0" xfId="0" applyNumberFormat="1"/>
    <xf numFmtId="0" fontId="0" fillId="2" borderId="1" xfId="0" applyFill="1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2" fontId="0" fillId="0" borderId="0" xfId="1" applyFont="1" applyBorder="1" applyAlignment="1">
      <alignment horizontal="center" vertical="center"/>
    </xf>
    <xf numFmtId="42" fontId="0" fillId="3" borderId="6" xfId="0" applyNumberFormat="1" applyFill="1" applyBorder="1"/>
    <xf numFmtId="0" fontId="8" fillId="0" borderId="15" xfId="0" applyFont="1" applyBorder="1" applyAlignment="1">
      <alignment wrapText="1"/>
    </xf>
    <xf numFmtId="0" fontId="8" fillId="6" borderId="15" xfId="0" applyFont="1" applyFill="1" applyBorder="1" applyAlignment="1">
      <alignment wrapText="1"/>
    </xf>
    <xf numFmtId="0" fontId="8" fillId="7" borderId="15" xfId="0" applyFont="1" applyFill="1" applyBorder="1" applyAlignment="1">
      <alignment wrapText="1"/>
    </xf>
    <xf numFmtId="0" fontId="8" fillId="0" borderId="15" xfId="0" applyFont="1" applyBorder="1" applyAlignment="1">
      <alignment horizontal="right" wrapText="1"/>
    </xf>
    <xf numFmtId="0" fontId="8" fillId="8" borderId="15" xfId="0" applyFont="1" applyFill="1" applyBorder="1" applyAlignment="1">
      <alignment horizontal="right" wrapText="1"/>
    </xf>
    <xf numFmtId="2" fontId="8" fillId="0" borderId="15" xfId="0" applyNumberFormat="1" applyFont="1" applyBorder="1" applyAlignment="1">
      <alignment horizontal="right" wrapText="1"/>
    </xf>
    <xf numFmtId="0" fontId="8" fillId="0" borderId="15" xfId="0" applyFont="1" applyBorder="1" applyAlignment="1">
      <alignment vertical="center"/>
    </xf>
    <xf numFmtId="22" fontId="8" fillId="0" borderId="15" xfId="0" applyNumberFormat="1" applyFont="1" applyBorder="1" applyAlignment="1">
      <alignment horizontal="right" wrapText="1"/>
    </xf>
    <xf numFmtId="4" fontId="0" fillId="0" borderId="0" xfId="0" applyNumberFormat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42" fontId="0" fillId="0" borderId="11" xfId="0" applyNumberFormat="1" applyBorder="1"/>
    <xf numFmtId="42" fontId="0" fillId="0" borderId="13" xfId="0" applyNumberFormat="1" applyBorder="1"/>
    <xf numFmtId="42" fontId="0" fillId="0" borderId="14" xfId="0" applyNumberFormat="1" applyBorder="1"/>
    <xf numFmtId="0" fontId="0" fillId="0" borderId="1" xfId="1" applyNumberFormat="1" applyFont="1" applyBorder="1" applyAlignment="1">
      <alignment horizontal="center" vertical="center"/>
    </xf>
    <xf numFmtId="42" fontId="0" fillId="9" borderId="0" xfId="0" applyNumberFormat="1" applyFill="1"/>
    <xf numFmtId="42" fontId="0" fillId="8" borderId="0" xfId="0" applyNumberFormat="1" applyFill="1"/>
    <xf numFmtId="42" fontId="0" fillId="0" borderId="0" xfId="1" applyFont="1" applyBorder="1"/>
    <xf numFmtId="9" fontId="0" fillId="0" borderId="1" xfId="4" applyFont="1" applyBorder="1" applyAlignment="1">
      <alignment horizontal="center" vertical="center"/>
    </xf>
    <xf numFmtId="42" fontId="0" fillId="0" borderId="0" xfId="1" applyFont="1" applyFill="1" applyBorder="1" applyAlignment="1">
      <alignment horizontal="center" vertical="center"/>
    </xf>
    <xf numFmtId="164" fontId="0" fillId="0" borderId="0" xfId="3" applyNumberFormat="1" applyFont="1" applyFill="1" applyBorder="1"/>
    <xf numFmtId="42" fontId="0" fillId="0" borderId="0" xfId="0" applyNumberFormat="1" applyAlignment="1">
      <alignment vertical="center"/>
    </xf>
    <xf numFmtId="1" fontId="0" fillId="0" borderId="0" xfId="0" applyNumberFormat="1"/>
    <xf numFmtId="165" fontId="0" fillId="0" borderId="1" xfId="0" applyNumberFormat="1" applyBorder="1"/>
    <xf numFmtId="165" fontId="0" fillId="0" borderId="0" xfId="0" applyNumberFormat="1"/>
    <xf numFmtId="0" fontId="0" fillId="0" borderId="0" xfId="1" applyNumberFormat="1" applyFont="1" applyBorder="1" applyAlignment="1">
      <alignment horizontal="center" vertical="center"/>
    </xf>
    <xf numFmtId="9" fontId="0" fillId="0" borderId="0" xfId="4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42" fontId="0" fillId="0" borderId="22" xfId="0" applyNumberFormat="1" applyBorder="1"/>
    <xf numFmtId="42" fontId="0" fillId="0" borderId="23" xfId="0" applyNumberFormat="1" applyBorder="1"/>
    <xf numFmtId="0" fontId="0" fillId="0" borderId="5" xfId="0" applyBorder="1" applyAlignment="1">
      <alignment horizontal="center" vertical="center"/>
    </xf>
    <xf numFmtId="164" fontId="0" fillId="0" borderId="0" xfId="3" applyNumberFormat="1" applyFont="1" applyFill="1" applyBorder="1" applyAlignment="1">
      <alignment horizontal="center" vertical="center" wrapText="1"/>
    </xf>
    <xf numFmtId="0" fontId="0" fillId="0" borderId="0" xfId="3" applyNumberFormat="1" applyFont="1" applyFill="1" applyBorder="1" applyAlignment="1">
      <alignment vertical="center"/>
    </xf>
    <xf numFmtId="164" fontId="0" fillId="0" borderId="0" xfId="3" applyNumberFormat="1" applyFont="1" applyFill="1" applyBorder="1" applyAlignment="1">
      <alignment vertical="center"/>
    </xf>
    <xf numFmtId="164" fontId="0" fillId="0" borderId="0" xfId="3" applyNumberFormat="1" applyFont="1" applyFill="1" applyBorder="1" applyAlignment="1">
      <alignment horizontal="center" vertical="center"/>
    </xf>
    <xf numFmtId="14" fontId="0" fillId="0" borderId="0" xfId="0" applyNumberFormat="1"/>
    <xf numFmtId="42" fontId="0" fillId="0" borderId="1" xfId="1" applyFont="1" applyBorder="1"/>
    <xf numFmtId="14" fontId="0" fillId="0" borderId="0" xfId="0" applyNumberFormat="1" applyAlignment="1">
      <alignment horizontal="center" vertical="center"/>
    </xf>
    <xf numFmtId="0" fontId="10" fillId="0" borderId="0" xfId="5" applyFont="1" applyAlignment="1">
      <alignment vertical="center" wrapText="1"/>
    </xf>
    <xf numFmtId="4" fontId="0" fillId="0" borderId="1" xfId="0" applyNumberFormat="1" applyBorder="1"/>
    <xf numFmtId="14" fontId="0" fillId="0" borderId="1" xfId="0" applyNumberFormat="1" applyBorder="1"/>
    <xf numFmtId="0" fontId="0" fillId="0" borderId="0" xfId="0" applyAlignment="1">
      <alignment horizontal="right"/>
    </xf>
    <xf numFmtId="42" fontId="0" fillId="8" borderId="0" xfId="1" applyFont="1" applyFill="1" applyBorder="1"/>
    <xf numFmtId="0" fontId="0" fillId="0" borderId="0" xfId="0" applyAlignment="1">
      <alignment horizontal="center" vertical="center" textRotation="90"/>
    </xf>
    <xf numFmtId="42" fontId="0" fillId="3" borderId="0" xfId="1" applyFont="1" applyFill="1" applyBorder="1"/>
    <xf numFmtId="0" fontId="0" fillId="0" borderId="0" xfId="0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12" borderId="1" xfId="0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5" borderId="5" xfId="0" applyFill="1" applyBorder="1"/>
    <xf numFmtId="0" fontId="0" fillId="5" borderId="6" xfId="0" applyFill="1" applyBorder="1"/>
    <xf numFmtId="0" fontId="3" fillId="0" borderId="1" xfId="0" applyFont="1" applyBorder="1" applyAlignment="1">
      <alignment horizontal="center" vertical="center"/>
    </xf>
    <xf numFmtId="165" fontId="0" fillId="3" borderId="1" xfId="0" applyNumberFormat="1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42" fontId="0" fillId="10" borderId="24" xfId="0" applyNumberFormat="1" applyFill="1" applyBorder="1"/>
    <xf numFmtId="42" fontId="0" fillId="10" borderId="8" xfId="0" applyNumberFormat="1" applyFill="1" applyBorder="1"/>
    <xf numFmtId="42" fontId="0" fillId="10" borderId="25" xfId="0" applyNumberFormat="1" applyFill="1" applyBorder="1"/>
    <xf numFmtId="42" fontId="0" fillId="14" borderId="24" xfId="0" applyNumberFormat="1" applyFill="1" applyBorder="1"/>
    <xf numFmtId="42" fontId="0" fillId="14" borderId="8" xfId="0" applyNumberFormat="1" applyFill="1" applyBorder="1"/>
    <xf numFmtId="42" fontId="0" fillId="14" borderId="9" xfId="0" applyNumberFormat="1" applyFill="1" applyBorder="1"/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2" fontId="0" fillId="0" borderId="28" xfId="0" applyNumberFormat="1" applyBorder="1"/>
    <xf numFmtId="42" fontId="0" fillId="0" borderId="29" xfId="0" applyNumberFormat="1" applyBorder="1"/>
    <xf numFmtId="42" fontId="0" fillId="0" borderId="24" xfId="0" applyNumberFormat="1" applyBorder="1"/>
    <xf numFmtId="42" fontId="0" fillId="0" borderId="8" xfId="0" applyNumberFormat="1" applyBorder="1"/>
    <xf numFmtId="42" fontId="0" fillId="0" borderId="25" xfId="0" applyNumberFormat="1" applyBorder="1"/>
    <xf numFmtId="42" fontId="0" fillId="0" borderId="9" xfId="0" applyNumberFormat="1" applyBorder="1"/>
    <xf numFmtId="0" fontId="0" fillId="0" borderId="4" xfId="0" applyBorder="1" applyAlignment="1">
      <alignment horizontal="center" vertical="center" wrapText="1"/>
    </xf>
    <xf numFmtId="42" fontId="0" fillId="0" borderId="0" xfId="1" applyFont="1" applyAlignment="1"/>
    <xf numFmtId="0" fontId="0" fillId="0" borderId="1" xfId="0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5" fontId="5" fillId="1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5" fillId="15" borderId="1" xfId="0" applyFont="1" applyFill="1" applyBorder="1" applyAlignment="1">
      <alignment vertical="center"/>
    </xf>
    <xf numFmtId="165" fontId="0" fillId="15" borderId="1" xfId="0" applyNumberFormat="1" applyFill="1" applyBorder="1" applyAlignment="1">
      <alignment horizontal="right" vertical="center"/>
    </xf>
    <xf numFmtId="0" fontId="5" fillId="13" borderId="1" xfId="0" applyFont="1" applyFill="1" applyBorder="1" applyAlignment="1">
      <alignment vertical="center"/>
    </xf>
    <xf numFmtId="0" fontId="0" fillId="15" borderId="1" xfId="0" applyFill="1" applyBorder="1" applyAlignment="1">
      <alignment horizontal="left" vertical="center"/>
    </xf>
    <xf numFmtId="0" fontId="5" fillId="15" borderId="1" xfId="0" applyFont="1" applyFill="1" applyBorder="1" applyAlignment="1">
      <alignment horizontal="left" vertical="center"/>
    </xf>
    <xf numFmtId="0" fontId="0" fillId="15" borderId="1" xfId="0" applyFill="1" applyBorder="1" applyAlignment="1">
      <alignment vertical="center"/>
    </xf>
    <xf numFmtId="0" fontId="5" fillId="0" borderId="0" xfId="0" applyFont="1"/>
    <xf numFmtId="165" fontId="0" fillId="0" borderId="21" xfId="0" applyNumberFormat="1" applyBorder="1"/>
    <xf numFmtId="165" fontId="5" fillId="0" borderId="0" xfId="0" applyNumberFormat="1" applyFont="1"/>
    <xf numFmtId="165" fontId="5" fillId="0" borderId="22" xfId="0" applyNumberFormat="1" applyFont="1" applyBorder="1"/>
    <xf numFmtId="165" fontId="0" fillId="0" borderId="22" xfId="0" applyNumberFormat="1" applyBorder="1"/>
    <xf numFmtId="0" fontId="0" fillId="0" borderId="22" xfId="0" applyBorder="1"/>
    <xf numFmtId="165" fontId="0" fillId="0" borderId="22" xfId="0" applyNumberFormat="1" applyBorder="1" applyAlignment="1">
      <alignment horizontal="right" vertical="center"/>
    </xf>
    <xf numFmtId="0" fontId="0" fillId="15" borderId="4" xfId="0" applyFill="1" applyBorder="1" applyAlignment="1">
      <alignment horizontal="center" vertical="center"/>
    </xf>
    <xf numFmtId="0" fontId="0" fillId="15" borderId="21" xfId="0" applyFill="1" applyBorder="1" applyAlignment="1">
      <alignment vertical="center"/>
    </xf>
    <xf numFmtId="0" fontId="0" fillId="15" borderId="20" xfId="0" applyFill="1" applyBorder="1" applyAlignment="1">
      <alignment horizontal="center" vertical="center"/>
    </xf>
    <xf numFmtId="0" fontId="0" fillId="15" borderId="3" xfId="0" applyFill="1" applyBorder="1" applyAlignment="1">
      <alignment vertical="center"/>
    </xf>
    <xf numFmtId="165" fontId="0" fillId="3" borderId="3" xfId="0" applyNumberFormat="1" applyFill="1" applyBorder="1" applyAlignment="1">
      <alignment horizontal="right" vertical="center"/>
    </xf>
    <xf numFmtId="165" fontId="5" fillId="13" borderId="3" xfId="0" applyNumberFormat="1" applyFont="1" applyFill="1" applyBorder="1" applyAlignment="1">
      <alignment horizontal="right" vertical="center"/>
    </xf>
    <xf numFmtId="165" fontId="5" fillId="0" borderId="22" xfId="0" applyNumberFormat="1" applyFont="1" applyBorder="1" applyAlignment="1">
      <alignment horizontal="right" vertical="center"/>
    </xf>
    <xf numFmtId="0" fontId="0" fillId="0" borderId="23" xfId="0" applyBorder="1"/>
    <xf numFmtId="165" fontId="0" fillId="0" borderId="23" xfId="0" applyNumberFormat="1" applyBorder="1" applyAlignment="1">
      <alignment horizontal="right" vertical="center"/>
    </xf>
    <xf numFmtId="165" fontId="5" fillId="0" borderId="23" xfId="0" applyNumberFormat="1" applyFont="1" applyBorder="1" applyAlignment="1">
      <alignment horizontal="right" vertical="center"/>
    </xf>
    <xf numFmtId="165" fontId="0" fillId="0" borderId="3" xfId="0" applyNumberFormat="1" applyBorder="1" applyAlignment="1">
      <alignment horizontal="right" vertical="center"/>
    </xf>
    <xf numFmtId="42" fontId="5" fillId="0" borderId="0" xfId="0" applyNumberFormat="1" applyFont="1"/>
    <xf numFmtId="0" fontId="5" fillId="0" borderId="0" xfId="0" applyFont="1" applyAlignment="1">
      <alignment horizontal="center" vertical="center" textRotation="90"/>
    </xf>
    <xf numFmtId="42" fontId="0" fillId="0" borderId="0" xfId="1" applyFont="1" applyBorder="1" applyAlignment="1"/>
    <xf numFmtId="0" fontId="5" fillId="0" borderId="0" xfId="0" applyFont="1" applyAlignment="1">
      <alignment horizontal="center" vertical="center" textRotation="90" wrapText="1"/>
    </xf>
    <xf numFmtId="42" fontId="0" fillId="0" borderId="1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0" fillId="5" borderId="1" xfId="5" applyFont="1" applyFill="1" applyBorder="1" applyAlignment="1">
      <alignment horizontal="center" vertical="center" wrapText="1"/>
    </xf>
    <xf numFmtId="0" fontId="10" fillId="18" borderId="0" xfId="5" applyFont="1" applyFill="1" applyAlignment="1">
      <alignment horizontal="center" vertical="center" wrapText="1"/>
    </xf>
    <xf numFmtId="0" fontId="0" fillId="18" borderId="0" xfId="0" applyFill="1"/>
    <xf numFmtId="42" fontId="0" fillId="19" borderId="1" xfId="1" applyFont="1" applyFill="1" applyBorder="1"/>
    <xf numFmtId="42" fontId="0" fillId="19" borderId="1" xfId="1" applyFont="1" applyFill="1" applyBorder="1" applyAlignment="1">
      <alignment horizontal="center" vertical="center"/>
    </xf>
    <xf numFmtId="42" fontId="0" fillId="0" borderId="1" xfId="1" applyFont="1" applyFill="1" applyBorder="1" applyAlignment="1">
      <alignment horizontal="center" vertical="center"/>
    </xf>
    <xf numFmtId="4" fontId="0" fillId="20" borderId="1" xfId="0" applyNumberFormat="1" applyFill="1" applyBorder="1" applyAlignment="1">
      <alignment horizontal="center" vertical="center"/>
    </xf>
    <xf numFmtId="0" fontId="0" fillId="20" borderId="1" xfId="0" applyFill="1" applyBorder="1"/>
    <xf numFmtId="10" fontId="0" fillId="20" borderId="1" xfId="0" applyNumberFormat="1" applyFill="1" applyBorder="1" applyAlignment="1">
      <alignment horizontal="center" vertical="center"/>
    </xf>
    <xf numFmtId="42" fontId="0" fillId="20" borderId="1" xfId="0" applyNumberFormat="1" applyFill="1" applyBorder="1" applyAlignment="1">
      <alignment horizontal="center" vertical="center"/>
    </xf>
    <xf numFmtId="42" fontId="0" fillId="20" borderId="1" xfId="0" applyNumberFormat="1" applyFill="1" applyBorder="1"/>
    <xf numFmtId="42" fontId="0" fillId="20" borderId="1" xfId="1" applyFont="1" applyFill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/>
    </xf>
    <xf numFmtId="42" fontId="0" fillId="19" borderId="1" xfId="0" applyNumberFormat="1" applyFill="1" applyBorder="1"/>
    <xf numFmtId="42" fontId="0" fillId="20" borderId="1" xfId="1" applyFont="1" applyFill="1" applyBorder="1"/>
    <xf numFmtId="0" fontId="0" fillId="19" borderId="1" xfId="0" applyFill="1" applyBorder="1"/>
    <xf numFmtId="0" fontId="0" fillId="0" borderId="4" xfId="0" applyBorder="1"/>
    <xf numFmtId="42" fontId="0" fillId="0" borderId="4" xfId="0" applyNumberFormat="1" applyBorder="1"/>
    <xf numFmtId="42" fontId="0" fillId="0" borderId="4" xfId="1" applyFont="1" applyBorder="1"/>
    <xf numFmtId="0" fontId="0" fillId="19" borderId="4" xfId="0" applyFill="1" applyBorder="1"/>
    <xf numFmtId="42" fontId="0" fillId="20" borderId="4" xfId="0" applyNumberFormat="1" applyFill="1" applyBorder="1"/>
    <xf numFmtId="42" fontId="0" fillId="19" borderId="4" xfId="0" applyNumberFormat="1" applyFill="1" applyBorder="1"/>
    <xf numFmtId="42" fontId="0" fillId="3" borderId="4" xfId="0" applyNumberFormat="1" applyFill="1" applyBorder="1"/>
    <xf numFmtId="0" fontId="0" fillId="0" borderId="3" xfId="0" applyBorder="1" applyAlignment="1">
      <alignment wrapText="1"/>
    </xf>
    <xf numFmtId="165" fontId="0" fillId="19" borderId="1" xfId="0" applyNumberFormat="1" applyFill="1" applyBorder="1" applyAlignment="1">
      <alignment horizontal="right" vertical="center"/>
    </xf>
    <xf numFmtId="4" fontId="8" fillId="2" borderId="1" xfId="5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4" fontId="8" fillId="0" borderId="0" xfId="5" applyNumberFormat="1" applyFont="1" applyAlignment="1">
      <alignment horizontal="center" vertical="center" wrapText="1"/>
    </xf>
    <xf numFmtId="4" fontId="8" fillId="0" borderId="1" xfId="5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9" fontId="8" fillId="20" borderId="1" xfId="4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13" xfId="0" applyBorder="1"/>
    <xf numFmtId="0" fontId="0" fillId="0" borderId="31" xfId="0" applyBorder="1" applyAlignment="1">
      <alignment horizontal="center" vertical="center"/>
    </xf>
    <xf numFmtId="0" fontId="0" fillId="0" borderId="32" xfId="0" applyBorder="1"/>
    <xf numFmtId="165" fontId="0" fillId="0" borderId="9" xfId="0" applyNumberFormat="1" applyBorder="1"/>
    <xf numFmtId="165" fontId="0" fillId="0" borderId="11" xfId="0" applyNumberFormat="1" applyBorder="1"/>
    <xf numFmtId="165" fontId="0" fillId="0" borderId="14" xfId="0" applyNumberFormat="1" applyBorder="1"/>
    <xf numFmtId="42" fontId="0" fillId="5" borderId="1" xfId="1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" xfId="0" applyFill="1" applyBorder="1"/>
    <xf numFmtId="165" fontId="0" fillId="5" borderId="1" xfId="0" applyNumberFormat="1" applyFill="1" applyBorder="1"/>
    <xf numFmtId="42" fontId="0" fillId="0" borderId="0" xfId="0" applyNumberFormat="1" applyAlignment="1">
      <alignment horizontal="center" vertical="center" wrapText="1"/>
    </xf>
    <xf numFmtId="42" fontId="0" fillId="0" borderId="0" xfId="1" applyFont="1" applyFill="1"/>
    <xf numFmtId="42" fontId="0" fillId="14" borderId="0" xfId="0" applyNumberFormat="1" applyFill="1"/>
    <xf numFmtId="42" fontId="0" fillId="15" borderId="1" xfId="0" applyNumberFormat="1" applyFill="1" applyBorder="1"/>
    <xf numFmtId="165" fontId="0" fillId="18" borderId="33" xfId="0" applyNumberFormat="1" applyFill="1" applyBorder="1"/>
    <xf numFmtId="1" fontId="0" fillId="0" borderId="0" xfId="1" applyNumberFormat="1" applyFont="1"/>
    <xf numFmtId="165" fontId="0" fillId="0" borderId="32" xfId="0" applyNumberFormat="1" applyBorder="1"/>
    <xf numFmtId="165" fontId="0" fillId="0" borderId="8" xfId="0" applyNumberFormat="1" applyBorder="1"/>
    <xf numFmtId="165" fontId="0" fillId="0" borderId="13" xfId="0" applyNumberFormat="1" applyBorder="1"/>
    <xf numFmtId="0" fontId="11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2" fillId="11" borderId="4" xfId="0" applyFont="1" applyFill="1" applyBorder="1" applyAlignment="1">
      <alignment horizontal="center" vertical="center"/>
    </xf>
    <xf numFmtId="0" fontId="12" fillId="11" borderId="18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1" xfId="0" applyFont="1" applyBorder="1"/>
    <xf numFmtId="0" fontId="11" fillId="11" borderId="1" xfId="0" applyFont="1" applyFill="1" applyBorder="1" applyAlignment="1">
      <alignment horizontal="center" vertical="center"/>
    </xf>
    <xf numFmtId="0" fontId="11" fillId="11" borderId="21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9" fontId="11" fillId="0" borderId="6" xfId="0" applyNumberFormat="1" applyFont="1" applyBorder="1" applyAlignment="1">
      <alignment horizontal="center"/>
    </xf>
    <xf numFmtId="9" fontId="11" fillId="0" borderId="16" xfId="0" applyNumberFormat="1" applyFont="1" applyBorder="1" applyAlignment="1">
      <alignment horizontal="center"/>
    </xf>
    <xf numFmtId="0" fontId="11" fillId="0" borderId="22" xfId="4" applyNumberFormat="1" applyFont="1" applyBorder="1" applyAlignment="1">
      <alignment horizontal="center"/>
    </xf>
    <xf numFmtId="9" fontId="11" fillId="0" borderId="0" xfId="0" applyNumberFormat="1" applyFont="1" applyAlignment="1">
      <alignment horizontal="center"/>
    </xf>
    <xf numFmtId="0" fontId="12" fillId="12" borderId="1" xfId="0" applyFont="1" applyFill="1" applyBorder="1" applyAlignment="1">
      <alignment horizontal="left" vertical="center"/>
    </xf>
    <xf numFmtId="0" fontId="12" fillId="15" borderId="1" xfId="0" applyFont="1" applyFill="1" applyBorder="1" applyAlignment="1">
      <alignment vertical="center"/>
    </xf>
    <xf numFmtId="165" fontId="12" fillId="15" borderId="1" xfId="0" applyNumberFormat="1" applyFont="1" applyFill="1" applyBorder="1"/>
    <xf numFmtId="165" fontId="12" fillId="15" borderId="21" xfId="0" applyNumberFormat="1" applyFont="1" applyFill="1" applyBorder="1"/>
    <xf numFmtId="165" fontId="12" fillId="0" borderId="22" xfId="0" applyNumberFormat="1" applyFont="1" applyBorder="1"/>
    <xf numFmtId="165" fontId="12" fillId="0" borderId="0" xfId="0" applyNumberFormat="1" applyFont="1"/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65" fontId="11" fillId="3" borderId="1" xfId="0" applyNumberFormat="1" applyFont="1" applyFill="1" applyBorder="1"/>
    <xf numFmtId="165" fontId="11" fillId="3" borderId="21" xfId="0" applyNumberFormat="1" applyFont="1" applyFill="1" applyBorder="1"/>
    <xf numFmtId="165" fontId="11" fillId="0" borderId="22" xfId="0" applyNumberFormat="1" applyFont="1" applyBorder="1"/>
    <xf numFmtId="165" fontId="11" fillId="0" borderId="0" xfId="0" applyNumberFormat="1" applyFont="1"/>
    <xf numFmtId="165" fontId="11" fillId="0" borderId="1" xfId="0" applyNumberFormat="1" applyFont="1" applyBorder="1"/>
    <xf numFmtId="165" fontId="11" fillId="0" borderId="21" xfId="0" applyNumberFormat="1" applyFont="1" applyBorder="1"/>
    <xf numFmtId="0" fontId="11" fillId="0" borderId="1" xfId="0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vertical="center"/>
    </xf>
    <xf numFmtId="165" fontId="12" fillId="13" borderId="21" xfId="0" applyNumberFormat="1" applyFont="1" applyFill="1" applyBorder="1"/>
    <xf numFmtId="0" fontId="11" fillId="0" borderId="1" xfId="0" applyFont="1" applyBorder="1" applyAlignment="1">
      <alignment vertical="center"/>
    </xf>
    <xf numFmtId="0" fontId="11" fillId="12" borderId="1" xfId="0" applyFont="1" applyFill="1" applyBorder="1" applyAlignment="1">
      <alignment horizontal="left" vertical="center"/>
    </xf>
    <xf numFmtId="165" fontId="11" fillId="15" borderId="1" xfId="0" applyNumberFormat="1" applyFont="1" applyFill="1" applyBorder="1"/>
    <xf numFmtId="165" fontId="11" fillId="15" borderId="21" xfId="0" applyNumberFormat="1" applyFont="1" applyFill="1" applyBorder="1"/>
    <xf numFmtId="0" fontId="12" fillId="11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165" fontId="12" fillId="13" borderId="1" xfId="0" applyNumberFormat="1" applyFont="1" applyFill="1" applyBorder="1"/>
    <xf numFmtId="165" fontId="11" fillId="13" borderId="1" xfId="0" applyNumberFormat="1" applyFont="1" applyFill="1" applyBorder="1"/>
    <xf numFmtId="165" fontId="11" fillId="13" borderId="21" xfId="0" applyNumberFormat="1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/>
    </xf>
    <xf numFmtId="44" fontId="11" fillId="0" borderId="1" xfId="3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44" fontId="11" fillId="0" borderId="0" xfId="3" applyFont="1" applyBorder="1" applyAlignment="1">
      <alignment horizontal="center" vertical="center"/>
    </xf>
    <xf numFmtId="9" fontId="11" fillId="19" borderId="0" xfId="0" applyNumberFormat="1" applyFont="1" applyFill="1"/>
    <xf numFmtId="0" fontId="11" fillId="0" borderId="1" xfId="0" applyFont="1" applyBorder="1" applyAlignment="1">
      <alignment wrapText="1"/>
    </xf>
    <xf numFmtId="164" fontId="11" fillId="8" borderId="1" xfId="0" applyNumberFormat="1" applyFont="1" applyFill="1" applyBorder="1"/>
    <xf numFmtId="44" fontId="11" fillId="0" borderId="0" xfId="0" applyNumberFormat="1" applyFont="1"/>
    <xf numFmtId="0" fontId="11" fillId="2" borderId="1" xfId="0" applyFont="1" applyFill="1" applyBorder="1" applyAlignment="1">
      <alignment horizontal="center"/>
    </xf>
    <xf numFmtId="10" fontId="11" fillId="0" borderId="1" xfId="0" applyNumberFormat="1" applyFont="1" applyBorder="1"/>
    <xf numFmtId="164" fontId="11" fillId="0" borderId="21" xfId="0" applyNumberFormat="1" applyFont="1" applyBorder="1"/>
    <xf numFmtId="10" fontId="11" fillId="0" borderId="0" xfId="0" applyNumberFormat="1" applyFont="1"/>
    <xf numFmtId="0" fontId="11" fillId="0" borderId="4" xfId="0" applyFont="1" applyBorder="1" applyAlignment="1">
      <alignment horizontal="left" vertical="center"/>
    </xf>
    <xf numFmtId="165" fontId="11" fillId="15" borderId="1" xfId="1" applyNumberFormat="1" applyFont="1" applyFill="1" applyBorder="1"/>
    <xf numFmtId="42" fontId="11" fillId="15" borderId="1" xfId="1" applyFont="1" applyFill="1" applyBorder="1"/>
    <xf numFmtId="9" fontId="11" fillId="15" borderId="1" xfId="0" applyNumberFormat="1" applyFont="1" applyFill="1" applyBorder="1" applyAlignment="1">
      <alignment horizontal="left" vertical="center"/>
    </xf>
    <xf numFmtId="0" fontId="12" fillId="15" borderId="3" xfId="0" applyFont="1" applyFill="1" applyBorder="1" applyAlignment="1">
      <alignment vertical="center"/>
    </xf>
    <xf numFmtId="42" fontId="11" fillId="15" borderId="1" xfId="0" applyNumberFormat="1" applyFont="1" applyFill="1" applyBorder="1"/>
    <xf numFmtId="0" fontId="11" fillId="15" borderId="4" xfId="0" applyFont="1" applyFill="1" applyBorder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0" fontId="12" fillId="15" borderId="1" xfId="0" applyFont="1" applyFill="1" applyBorder="1"/>
    <xf numFmtId="0" fontId="11" fillId="0" borderId="0" xfId="0" applyFont="1" applyAlignment="1">
      <alignment vertical="center" textRotation="90"/>
    </xf>
    <xf numFmtId="0" fontId="11" fillId="0" borderId="0" xfId="0" applyFont="1" applyAlignment="1">
      <alignment textRotation="90"/>
    </xf>
    <xf numFmtId="0" fontId="11" fillId="20" borderId="0" xfId="0" applyFont="1" applyFill="1" applyAlignment="1">
      <alignment horizontal="center" vertical="center" textRotation="90" wrapText="1"/>
    </xf>
    <xf numFmtId="0" fontId="11" fillId="0" borderId="0" xfId="0" applyFont="1" applyAlignment="1">
      <alignment horizontal="center" vertical="center" textRotation="90"/>
    </xf>
    <xf numFmtId="0" fontId="12" fillId="16" borderId="0" xfId="0" applyFont="1" applyFill="1" applyAlignment="1">
      <alignment horizontal="center" vertical="center" textRotation="90"/>
    </xf>
    <xf numFmtId="0" fontId="12" fillId="16" borderId="0" xfId="0" applyFont="1" applyFill="1" applyAlignment="1">
      <alignment horizontal="center" vertical="center" textRotation="90" wrapText="1"/>
    </xf>
    <xf numFmtId="0" fontId="11" fillId="19" borderId="0" xfId="0" applyFont="1" applyFill="1" applyAlignment="1">
      <alignment horizontal="center" vertical="center" textRotation="90" wrapText="1"/>
    </xf>
    <xf numFmtId="0" fontId="14" fillId="16" borderId="0" xfId="0" applyFont="1" applyFill="1" applyAlignment="1">
      <alignment horizontal="center" vertical="center" textRotation="90" wrapText="1"/>
    </xf>
    <xf numFmtId="0" fontId="15" fillId="20" borderId="0" xfId="0" applyFont="1" applyFill="1" applyAlignment="1">
      <alignment horizontal="center" vertical="center" textRotation="90" wrapText="1"/>
    </xf>
    <xf numFmtId="0" fontId="14" fillId="0" borderId="0" xfId="0" applyFont="1" applyAlignment="1">
      <alignment horizontal="center" vertical="center" textRotation="90" wrapText="1"/>
    </xf>
    <xf numFmtId="0" fontId="11" fillId="0" borderId="0" xfId="0" applyFont="1" applyAlignment="1">
      <alignment horizontal="center" vertical="center" textRotation="90" wrapText="1"/>
    </xf>
    <xf numFmtId="0" fontId="11" fillId="0" borderId="7" xfId="0" applyFont="1" applyBorder="1" applyAlignment="1">
      <alignment vertical="center" textRotation="90"/>
    </xf>
    <xf numFmtId="0" fontId="11" fillId="0" borderId="8" xfId="0" applyFont="1" applyBorder="1"/>
    <xf numFmtId="42" fontId="11" fillId="20" borderId="8" xfId="1" applyFont="1" applyFill="1" applyBorder="1" applyAlignment="1">
      <alignment horizontal="center" vertical="center" wrapText="1"/>
    </xf>
    <xf numFmtId="42" fontId="11" fillId="0" borderId="8" xfId="1" applyFont="1" applyBorder="1" applyAlignment="1">
      <alignment horizontal="center" vertical="center" wrapText="1"/>
    </xf>
    <xf numFmtId="42" fontId="12" fillId="16" borderId="8" xfId="1" applyFont="1" applyFill="1" applyBorder="1" applyAlignment="1">
      <alignment horizontal="center" vertical="center" wrapText="1"/>
    </xf>
    <xf numFmtId="42" fontId="11" fillId="19" borderId="8" xfId="1" applyFont="1" applyFill="1" applyBorder="1" applyAlignment="1">
      <alignment horizontal="center" vertical="center" wrapText="1"/>
    </xf>
    <xf numFmtId="42" fontId="14" fillId="16" borderId="8" xfId="1" applyFont="1" applyFill="1" applyBorder="1" applyAlignment="1">
      <alignment horizontal="center" vertical="center" wrapText="1"/>
    </xf>
    <xf numFmtId="42" fontId="15" fillId="20" borderId="8" xfId="1" applyFont="1" applyFill="1" applyBorder="1" applyAlignment="1">
      <alignment horizontal="center" vertical="center" wrapText="1"/>
    </xf>
    <xf numFmtId="42" fontId="14" fillId="21" borderId="9" xfId="1" applyFont="1" applyFill="1" applyBorder="1" applyAlignment="1">
      <alignment horizontal="center" vertical="center" wrapText="1"/>
    </xf>
    <xf numFmtId="42" fontId="14" fillId="0" borderId="0" xfId="1" applyFont="1" applyAlignment="1">
      <alignment horizontal="center" vertical="center" wrapText="1"/>
    </xf>
    <xf numFmtId="42" fontId="11" fillId="0" borderId="0" xfId="1" applyFont="1" applyAlignment="1">
      <alignment horizontal="center" vertical="center" textRotation="90" wrapText="1"/>
    </xf>
    <xf numFmtId="42" fontId="11" fillId="0" borderId="0" xfId="1" applyFont="1" applyAlignment="1">
      <alignment horizontal="center" vertical="center" textRotation="90"/>
    </xf>
    <xf numFmtId="0" fontId="11" fillId="0" borderId="12" xfId="0" applyFont="1" applyBorder="1" applyAlignment="1">
      <alignment vertical="center"/>
    </xf>
    <xf numFmtId="0" fontId="11" fillId="0" borderId="13" xfId="0" applyFont="1" applyBorder="1"/>
    <xf numFmtId="42" fontId="11" fillId="0" borderId="13" xfId="0" applyNumberFormat="1" applyFont="1" applyBorder="1"/>
    <xf numFmtId="42" fontId="12" fillId="0" borderId="13" xfId="1" applyFont="1" applyBorder="1"/>
    <xf numFmtId="42" fontId="12" fillId="21" borderId="14" xfId="1" applyFont="1" applyFill="1" applyBorder="1"/>
    <xf numFmtId="42" fontId="12" fillId="0" borderId="0" xfId="1" applyFont="1" applyBorder="1"/>
    <xf numFmtId="42" fontId="11" fillId="0" borderId="0" xfId="0" applyNumberFormat="1" applyFont="1"/>
    <xf numFmtId="42" fontId="11" fillId="0" borderId="0" xfId="1" applyFont="1" applyBorder="1"/>
    <xf numFmtId="42" fontId="11" fillId="0" borderId="8" xfId="0" applyNumberFormat="1" applyFont="1" applyBorder="1"/>
    <xf numFmtId="42" fontId="12" fillId="0" borderId="8" xfId="1" applyFont="1" applyBorder="1"/>
    <xf numFmtId="42" fontId="11" fillId="0" borderId="8" xfId="1" applyFont="1" applyBorder="1"/>
    <xf numFmtId="42" fontId="12" fillId="21" borderId="9" xfId="1" applyFont="1" applyFill="1" applyBorder="1"/>
    <xf numFmtId="42" fontId="12" fillId="21" borderId="11" xfId="1" applyFont="1" applyFill="1" applyBorder="1"/>
    <xf numFmtId="42" fontId="12" fillId="0" borderId="11" xfId="1" applyFont="1" applyBorder="1"/>
    <xf numFmtId="42" fontId="11" fillId="0" borderId="0" xfId="1" applyFont="1"/>
    <xf numFmtId="42" fontId="11" fillId="0" borderId="13" xfId="1" applyFont="1" applyBorder="1"/>
    <xf numFmtId="42" fontId="12" fillId="0" borderId="14" xfId="1" applyFont="1" applyBorder="1"/>
    <xf numFmtId="42" fontId="12" fillId="0" borderId="9" xfId="1" applyFont="1" applyBorder="1"/>
    <xf numFmtId="0" fontId="12" fillId="0" borderId="0" xfId="0" applyFont="1"/>
    <xf numFmtId="0" fontId="11" fillId="2" borderId="6" xfId="0" applyFont="1" applyFill="1" applyBorder="1"/>
    <xf numFmtId="0" fontId="11" fillId="2" borderId="1" xfId="0" applyFont="1" applyFill="1" applyBorder="1" applyAlignment="1">
      <alignment wrapText="1"/>
    </xf>
    <xf numFmtId="42" fontId="11" fillId="0" borderId="4" xfId="0" applyNumberFormat="1" applyFont="1" applyBorder="1"/>
    <xf numFmtId="42" fontId="11" fillId="0" borderId="1" xfId="0" applyNumberFormat="1" applyFont="1" applyBorder="1"/>
    <xf numFmtId="0" fontId="11" fillId="0" borderId="0" xfId="0" applyFont="1" applyAlignment="1">
      <alignment wrapText="1"/>
    </xf>
    <xf numFmtId="0" fontId="11" fillId="0" borderId="4" xfId="0" applyFont="1" applyBorder="1"/>
    <xf numFmtId="8" fontId="11" fillId="0" borderId="3" xfId="0" applyNumberFormat="1" applyFont="1" applyBorder="1"/>
    <xf numFmtId="8" fontId="11" fillId="0" borderId="1" xfId="0" applyNumberFormat="1" applyFont="1" applyBorder="1"/>
    <xf numFmtId="9" fontId="11" fillId="0" borderId="1" xfId="0" applyNumberFormat="1" applyFont="1" applyBorder="1"/>
    <xf numFmtId="9" fontId="11" fillId="0" borderId="1" xfId="4" applyFont="1" applyBorder="1"/>
    <xf numFmtId="1" fontId="11" fillId="0" borderId="0" xfId="0" applyNumberFormat="1" applyFont="1"/>
    <xf numFmtId="42" fontId="13" fillId="0" borderId="0" xfId="1" applyFont="1" applyAlignment="1"/>
    <xf numFmtId="1" fontId="11" fillId="0" borderId="0" xfId="0" applyNumberFormat="1" applyFont="1" applyAlignment="1">
      <alignment vertical="center"/>
    </xf>
    <xf numFmtId="44" fontId="13" fillId="0" borderId="0" xfId="0" applyNumberFormat="1" applyFont="1"/>
    <xf numFmtId="0" fontId="11" fillId="0" borderId="17" xfId="0" applyFont="1" applyBorder="1"/>
    <xf numFmtId="0" fontId="11" fillId="0" borderId="1" xfId="0" applyFont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textRotation="90" wrapText="1"/>
    </xf>
    <xf numFmtId="0" fontId="11" fillId="5" borderId="1" xfId="0" applyFont="1" applyFill="1" applyBorder="1" applyAlignment="1">
      <alignment horizontal="center" vertical="center" textRotation="90" wrapText="1"/>
    </xf>
    <xf numFmtId="0" fontId="11" fillId="0" borderId="31" xfId="0" applyFont="1" applyBorder="1" applyAlignment="1">
      <alignment horizontal="center" vertical="center"/>
    </xf>
    <xf numFmtId="0" fontId="11" fillId="0" borderId="33" xfId="0" applyFont="1" applyBorder="1"/>
    <xf numFmtId="0" fontId="11" fillId="0" borderId="3" xfId="0" applyFont="1" applyBorder="1" applyAlignment="1">
      <alignment horizontal="center" vertical="center"/>
    </xf>
    <xf numFmtId="4" fontId="11" fillId="0" borderId="1" xfId="4" applyNumberFormat="1" applyFont="1" applyBorder="1"/>
    <xf numFmtId="42" fontId="11" fillId="17" borderId="1" xfId="0" applyNumberFormat="1" applyFont="1" applyFill="1" applyBorder="1"/>
    <xf numFmtId="42" fontId="11" fillId="0" borderId="1" xfId="1" applyFont="1" applyBorder="1"/>
    <xf numFmtId="42" fontId="11" fillId="0" borderId="1" xfId="0" applyNumberFormat="1" applyFont="1" applyBorder="1" applyAlignment="1">
      <alignment horizontal="center" vertical="center"/>
    </xf>
    <xf numFmtId="0" fontId="11" fillId="0" borderId="9" xfId="0" applyFont="1" applyBorder="1"/>
    <xf numFmtId="1" fontId="11" fillId="0" borderId="3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64" fontId="11" fillId="0" borderId="0" xfId="3" applyNumberFormat="1" applyFont="1" applyAlignment="1"/>
    <xf numFmtId="0" fontId="11" fillId="0" borderId="11" xfId="0" applyFont="1" applyBorder="1"/>
    <xf numFmtId="0" fontId="11" fillId="0" borderId="14" xfId="0" applyFont="1" applyBorder="1"/>
    <xf numFmtId="42" fontId="11" fillId="0" borderId="4" xfId="1" applyFont="1" applyBorder="1"/>
    <xf numFmtId="42" fontId="11" fillId="0" borderId="4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42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0" borderId="1" xfId="2" applyFill="1" applyBorder="1"/>
    <xf numFmtId="0" fontId="0" fillId="15" borderId="1" xfId="0" applyFill="1" applyBorder="1"/>
    <xf numFmtId="0" fontId="0" fillId="15" borderId="0" xfId="0" applyFill="1"/>
    <xf numFmtId="166" fontId="0" fillId="0" borderId="1" xfId="0" applyNumberFormat="1" applyBorder="1"/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 vertical="center"/>
    </xf>
    <xf numFmtId="0" fontId="10" fillId="5" borderId="21" xfId="5" applyFont="1" applyFill="1" applyBorder="1" applyAlignment="1">
      <alignment horizontal="center" vertical="center" wrapText="1"/>
    </xf>
    <xf numFmtId="0" fontId="10" fillId="5" borderId="2" xfId="5" applyFont="1" applyFill="1" applyBorder="1" applyAlignment="1">
      <alignment horizontal="center" vertical="center" wrapText="1"/>
    </xf>
    <xf numFmtId="0" fontId="10" fillId="5" borderId="3" xfId="5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textRotation="90"/>
    </xf>
    <xf numFmtId="0" fontId="0" fillId="2" borderId="21" xfId="0" applyFill="1" applyBorder="1" applyAlignment="1">
      <alignment horizontal="center" wrapText="1"/>
    </xf>
    <xf numFmtId="0" fontId="0" fillId="2" borderId="3" xfId="0" applyFill="1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4" fontId="8" fillId="2" borderId="1" xfId="5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4" xfId="3" applyNumberFormat="1" applyFont="1" applyBorder="1" applyAlignment="1">
      <alignment horizontal="center" vertical="center"/>
    </xf>
    <xf numFmtId="164" fontId="0" fillId="0" borderId="6" xfId="3" applyNumberFormat="1" applyFont="1" applyBorder="1" applyAlignment="1">
      <alignment horizontal="center" vertical="center"/>
    </xf>
    <xf numFmtId="0" fontId="0" fillId="0" borderId="4" xfId="3" applyNumberFormat="1" applyFont="1" applyBorder="1" applyAlignment="1">
      <alignment horizontal="center" vertical="center"/>
    </xf>
    <xf numFmtId="0" fontId="0" fillId="0" borderId="6" xfId="3" applyNumberFormat="1" applyFont="1" applyBorder="1" applyAlignment="1">
      <alignment horizontal="center" vertical="center"/>
    </xf>
    <xf numFmtId="164" fontId="0" fillId="0" borderId="1" xfId="3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3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4" xfId="2" applyBorder="1" applyAlignment="1">
      <alignment horizontal="center" vertical="center" wrapText="1"/>
    </xf>
    <xf numFmtId="0" fontId="4" fillId="0" borderId="5" xfId="2" applyBorder="1" applyAlignment="1">
      <alignment horizontal="center" vertical="center" wrapText="1"/>
    </xf>
    <xf numFmtId="0" fontId="4" fillId="0" borderId="6" xfId="2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2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7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9" fontId="0" fillId="2" borderId="4" xfId="0" applyNumberFormat="1" applyFill="1" applyBorder="1" applyAlignment="1">
      <alignment horizontal="center" vertical="center"/>
    </xf>
    <xf numFmtId="9" fontId="0" fillId="2" borderId="6" xfId="0" applyNumberFormat="1" applyFill="1" applyBorder="1" applyAlignment="1">
      <alignment horizontal="center" vertical="center"/>
    </xf>
    <xf numFmtId="9" fontId="0" fillId="15" borderId="4" xfId="0" applyNumberFormat="1" applyFill="1" applyBorder="1" applyAlignment="1">
      <alignment horizontal="center" vertical="center"/>
    </xf>
    <xf numFmtId="9" fontId="0" fillId="15" borderId="6" xfId="0" applyNumberFormat="1" applyFill="1" applyBorder="1" applyAlignment="1">
      <alignment horizontal="center" vertical="center"/>
    </xf>
    <xf numFmtId="0" fontId="0" fillId="15" borderId="21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9" fontId="0" fillId="15" borderId="18" xfId="0" applyNumberFormat="1" applyFill="1" applyBorder="1" applyAlignment="1">
      <alignment horizontal="center" vertical="center"/>
    </xf>
    <xf numFmtId="9" fontId="0" fillId="15" borderId="16" xfId="0" applyNumberFormat="1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9" fontId="0" fillId="15" borderId="20" xfId="0" applyNumberFormat="1" applyFill="1" applyBorder="1" applyAlignment="1">
      <alignment horizontal="center" vertical="center"/>
    </xf>
    <xf numFmtId="9" fontId="0" fillId="15" borderId="30" xfId="0" applyNumberFormat="1" applyFill="1" applyBorder="1" applyAlignment="1">
      <alignment horizontal="center" vertical="center"/>
    </xf>
    <xf numFmtId="4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42" fontId="11" fillId="15" borderId="1" xfId="0" applyNumberFormat="1" applyFont="1" applyFill="1" applyBorder="1" applyAlignment="1">
      <alignment horizontal="center"/>
    </xf>
  </cellXfs>
  <cellStyles count="6">
    <cellStyle name="Hipervínculo" xfId="2" builtinId="8"/>
    <cellStyle name="Moneda" xfId="3" builtinId="4"/>
    <cellStyle name="Moneda [0]" xfId="1" builtinId="7"/>
    <cellStyle name="Normal" xfId="0" builtinId="0"/>
    <cellStyle name="Normal 2" xfId="5" xr:uid="{EFD1CAAC-0F4B-4B88-AEB2-29D7DF94A6F6}"/>
    <cellStyle name="Porcentaje" xfId="4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Inflación IPC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tockChart>
        <c:ser>
          <c:idx val="0"/>
          <c:order val="0"/>
          <c:tx>
            <c:strRef>
              <c:f>General!$B$32</c:f>
              <c:strCache>
                <c:ptCount val="1"/>
                <c:pt idx="0">
                  <c:v>Apertura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General!$A$33:$A$39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General!$B$33:$B$39</c:f>
              <c:numCache>
                <c:formatCode>#,##0.00</c:formatCode>
                <c:ptCount val="7"/>
                <c:pt idx="0">
                  <c:v>7.45</c:v>
                </c:pt>
                <c:pt idx="1">
                  <c:v>5.47</c:v>
                </c:pt>
                <c:pt idx="2">
                  <c:v>3.68</c:v>
                </c:pt>
                <c:pt idx="3">
                  <c:v>3.15</c:v>
                </c:pt>
                <c:pt idx="4">
                  <c:v>3.62</c:v>
                </c:pt>
                <c:pt idx="5">
                  <c:v>1.6</c:v>
                </c:pt>
                <c:pt idx="6">
                  <c:v>6.94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13-490D-ABB2-1654AC4AD1C0}"/>
            </c:ext>
          </c:extLst>
        </c:ser>
        <c:ser>
          <c:idx val="1"/>
          <c:order val="1"/>
          <c:tx>
            <c:strRef>
              <c:f>General!$C$32</c:f>
              <c:strCache>
                <c:ptCount val="1"/>
                <c:pt idx="0">
                  <c:v>Maximo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General!$A$33:$A$39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General!$C$33:$C$39</c:f>
              <c:numCache>
                <c:formatCode>#,##0.00</c:formatCode>
                <c:ptCount val="7"/>
                <c:pt idx="0">
                  <c:v>8.9700000000000006</c:v>
                </c:pt>
                <c:pt idx="1">
                  <c:v>5.47</c:v>
                </c:pt>
                <c:pt idx="2">
                  <c:v>3.68</c:v>
                </c:pt>
                <c:pt idx="3">
                  <c:v>3.86</c:v>
                </c:pt>
                <c:pt idx="4">
                  <c:v>3.86</c:v>
                </c:pt>
                <c:pt idx="5">
                  <c:v>5.62</c:v>
                </c:pt>
                <c:pt idx="6">
                  <c:v>8.5299999999999994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13-490D-ABB2-1654AC4AD1C0}"/>
            </c:ext>
          </c:extLst>
        </c:ser>
        <c:ser>
          <c:idx val="2"/>
          <c:order val="2"/>
          <c:tx>
            <c:strRef>
              <c:f>General!$D$32</c:f>
              <c:strCache>
                <c:ptCount val="1"/>
                <c:pt idx="0">
                  <c:v> Minimo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General!$A$33:$A$39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General!$D$33:$D$39</c:f>
              <c:numCache>
                <c:formatCode>#,##0.00</c:formatCode>
                <c:ptCount val="7"/>
                <c:pt idx="0">
                  <c:v>5.75</c:v>
                </c:pt>
                <c:pt idx="1">
                  <c:v>3.4</c:v>
                </c:pt>
                <c:pt idx="2">
                  <c:v>3.1</c:v>
                </c:pt>
                <c:pt idx="3">
                  <c:v>3.01</c:v>
                </c:pt>
                <c:pt idx="4">
                  <c:v>1.49</c:v>
                </c:pt>
                <c:pt idx="5">
                  <c:v>1.51</c:v>
                </c:pt>
                <c:pt idx="6">
                  <c:v>6.94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13-490D-ABB2-1654AC4AD1C0}"/>
            </c:ext>
          </c:extLst>
        </c:ser>
        <c:ser>
          <c:idx val="3"/>
          <c:order val="3"/>
          <c:tx>
            <c:strRef>
              <c:f>General!$E$32</c:f>
              <c:strCache>
                <c:ptCount val="1"/>
                <c:pt idx="0">
                  <c:v>Cierre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General!$A$33:$A$39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General!$E$33:$E$39</c:f>
              <c:numCache>
                <c:formatCode>#,##0.00</c:formatCode>
                <c:ptCount val="7"/>
                <c:pt idx="0">
                  <c:v>5.75</c:v>
                </c:pt>
                <c:pt idx="1">
                  <c:v>4.09</c:v>
                </c:pt>
                <c:pt idx="2">
                  <c:v>3.18</c:v>
                </c:pt>
                <c:pt idx="3">
                  <c:v>3.8</c:v>
                </c:pt>
                <c:pt idx="4">
                  <c:v>1.61</c:v>
                </c:pt>
                <c:pt idx="5">
                  <c:v>5.62</c:v>
                </c:pt>
                <c:pt idx="6">
                  <c:v>8.5299999999999994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13-490D-ABB2-1654AC4AD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464870319"/>
        <c:axId val="406051583"/>
      </c:stockChart>
      <c:catAx>
        <c:axId val="4648703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06051583"/>
        <c:crosses val="autoZero"/>
        <c:auto val="1"/>
        <c:lblAlgn val="ctr"/>
        <c:lblOffset val="100"/>
        <c:noMultiLvlLbl val="0"/>
      </c:catAx>
      <c:valAx>
        <c:axId val="406051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IPC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64870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Inflación IPC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tockChart>
        <c:ser>
          <c:idx val="0"/>
          <c:order val="0"/>
          <c:tx>
            <c:strRef>
              <c:f>General!$R$32</c:f>
              <c:strCache>
                <c:ptCount val="1"/>
                <c:pt idx="0">
                  <c:v>Apertura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General!$Q$33:$Q$41</c:f>
              <c:numCache>
                <c:formatCode>m/d/yyyy</c:formatCode>
                <c:ptCount val="9"/>
                <c:pt idx="0">
                  <c:v>43831</c:v>
                </c:pt>
                <c:pt idx="1">
                  <c:v>43952</c:v>
                </c:pt>
                <c:pt idx="2">
                  <c:v>44075</c:v>
                </c:pt>
                <c:pt idx="3">
                  <c:v>44197</c:v>
                </c:pt>
                <c:pt idx="4">
                  <c:v>44317</c:v>
                </c:pt>
                <c:pt idx="5">
                  <c:v>44440</c:v>
                </c:pt>
                <c:pt idx="6">
                  <c:v>44562</c:v>
                </c:pt>
                <c:pt idx="7">
                  <c:v>44682</c:v>
                </c:pt>
                <c:pt idx="8">
                  <c:v>44805</c:v>
                </c:pt>
              </c:numCache>
            </c:numRef>
          </c:cat>
          <c:val>
            <c:numRef>
              <c:f>General!$R$33:$R$41</c:f>
              <c:numCache>
                <c:formatCode>#,##0.00</c:formatCode>
                <c:ptCount val="9"/>
                <c:pt idx="0">
                  <c:v>3.62</c:v>
                </c:pt>
                <c:pt idx="1">
                  <c:v>2.85</c:v>
                </c:pt>
                <c:pt idx="2">
                  <c:v>1.97</c:v>
                </c:pt>
                <c:pt idx="3">
                  <c:v>1.6</c:v>
                </c:pt>
                <c:pt idx="4">
                  <c:v>3.3</c:v>
                </c:pt>
                <c:pt idx="5">
                  <c:v>4.51</c:v>
                </c:pt>
                <c:pt idx="6">
                  <c:v>6.94</c:v>
                </c:pt>
                <c:pt idx="7">
                  <c:v>8.01</c:v>
                </c:pt>
                <c:pt idx="8">
                  <c:v>8.5299999999999994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0-4F8D-9A10-9B8950F7E7A4}"/>
            </c:ext>
          </c:extLst>
        </c:ser>
        <c:ser>
          <c:idx val="1"/>
          <c:order val="1"/>
          <c:tx>
            <c:strRef>
              <c:f>General!$S$32</c:f>
              <c:strCache>
                <c:ptCount val="1"/>
                <c:pt idx="0">
                  <c:v>Maximo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General!$Q$33:$Q$41</c:f>
              <c:numCache>
                <c:formatCode>m/d/yyyy</c:formatCode>
                <c:ptCount val="9"/>
                <c:pt idx="0">
                  <c:v>43831</c:v>
                </c:pt>
                <c:pt idx="1">
                  <c:v>43952</c:v>
                </c:pt>
                <c:pt idx="2">
                  <c:v>44075</c:v>
                </c:pt>
                <c:pt idx="3">
                  <c:v>44197</c:v>
                </c:pt>
                <c:pt idx="4">
                  <c:v>44317</c:v>
                </c:pt>
                <c:pt idx="5">
                  <c:v>44440</c:v>
                </c:pt>
                <c:pt idx="6">
                  <c:v>44562</c:v>
                </c:pt>
                <c:pt idx="7">
                  <c:v>44682</c:v>
                </c:pt>
                <c:pt idx="8">
                  <c:v>44805</c:v>
                </c:pt>
              </c:numCache>
            </c:numRef>
          </c:cat>
          <c:val>
            <c:numRef>
              <c:f>General!$S$33:$S$41</c:f>
              <c:numCache>
                <c:formatCode>#,##0.00</c:formatCode>
                <c:ptCount val="9"/>
                <c:pt idx="0">
                  <c:v>3.86</c:v>
                </c:pt>
                <c:pt idx="1">
                  <c:v>2.85</c:v>
                </c:pt>
                <c:pt idx="2">
                  <c:v>1.97</c:v>
                </c:pt>
                <c:pt idx="3">
                  <c:v>1.95</c:v>
                </c:pt>
                <c:pt idx="4">
                  <c:v>4.4400000000000004</c:v>
                </c:pt>
                <c:pt idx="5">
                  <c:v>5.62</c:v>
                </c:pt>
                <c:pt idx="6">
                  <c:v>8.5299999999999994</c:v>
                </c:pt>
                <c:pt idx="7">
                  <c:v>8.5299999999999994</c:v>
                </c:pt>
                <c:pt idx="8">
                  <c:v>8.5299999999999994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30-4F8D-9A10-9B8950F7E7A4}"/>
            </c:ext>
          </c:extLst>
        </c:ser>
        <c:ser>
          <c:idx val="2"/>
          <c:order val="2"/>
          <c:tx>
            <c:strRef>
              <c:f>General!$T$32</c:f>
              <c:strCache>
                <c:ptCount val="1"/>
                <c:pt idx="0">
                  <c:v> Minimo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General!$Q$33:$Q$41</c:f>
              <c:numCache>
                <c:formatCode>m/d/yyyy</c:formatCode>
                <c:ptCount val="9"/>
                <c:pt idx="0">
                  <c:v>43831</c:v>
                </c:pt>
                <c:pt idx="1">
                  <c:v>43952</c:v>
                </c:pt>
                <c:pt idx="2">
                  <c:v>44075</c:v>
                </c:pt>
                <c:pt idx="3">
                  <c:v>44197</c:v>
                </c:pt>
                <c:pt idx="4">
                  <c:v>44317</c:v>
                </c:pt>
                <c:pt idx="5">
                  <c:v>44440</c:v>
                </c:pt>
                <c:pt idx="6">
                  <c:v>44562</c:v>
                </c:pt>
                <c:pt idx="7">
                  <c:v>44682</c:v>
                </c:pt>
                <c:pt idx="8">
                  <c:v>44805</c:v>
                </c:pt>
              </c:numCache>
            </c:numRef>
          </c:cat>
          <c:val>
            <c:numRef>
              <c:f>General!$T$33:$T$41</c:f>
              <c:numCache>
                <c:formatCode>#,##0.00</c:formatCode>
                <c:ptCount val="9"/>
                <c:pt idx="0">
                  <c:v>3.51</c:v>
                </c:pt>
                <c:pt idx="1">
                  <c:v>1.88</c:v>
                </c:pt>
                <c:pt idx="2">
                  <c:v>1.49</c:v>
                </c:pt>
                <c:pt idx="3">
                  <c:v>1.51</c:v>
                </c:pt>
                <c:pt idx="4">
                  <c:v>3.3</c:v>
                </c:pt>
                <c:pt idx="5">
                  <c:v>4.51</c:v>
                </c:pt>
                <c:pt idx="6">
                  <c:v>6.94</c:v>
                </c:pt>
                <c:pt idx="7">
                  <c:v>6.94</c:v>
                </c:pt>
                <c:pt idx="8">
                  <c:v>6.94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30-4F8D-9A10-9B8950F7E7A4}"/>
            </c:ext>
          </c:extLst>
        </c:ser>
        <c:ser>
          <c:idx val="3"/>
          <c:order val="3"/>
          <c:tx>
            <c:strRef>
              <c:f>General!$U$32</c:f>
              <c:strCache>
                <c:ptCount val="1"/>
                <c:pt idx="0">
                  <c:v>Cierre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General!$Q$33:$Q$41</c:f>
              <c:numCache>
                <c:formatCode>m/d/yyyy</c:formatCode>
                <c:ptCount val="9"/>
                <c:pt idx="0">
                  <c:v>43831</c:v>
                </c:pt>
                <c:pt idx="1">
                  <c:v>43952</c:v>
                </c:pt>
                <c:pt idx="2">
                  <c:v>44075</c:v>
                </c:pt>
                <c:pt idx="3">
                  <c:v>44197</c:v>
                </c:pt>
                <c:pt idx="4">
                  <c:v>44317</c:v>
                </c:pt>
                <c:pt idx="5">
                  <c:v>44440</c:v>
                </c:pt>
                <c:pt idx="6">
                  <c:v>44562</c:v>
                </c:pt>
                <c:pt idx="7">
                  <c:v>44682</c:v>
                </c:pt>
                <c:pt idx="8">
                  <c:v>44805</c:v>
                </c:pt>
              </c:numCache>
            </c:numRef>
          </c:cat>
          <c:val>
            <c:numRef>
              <c:f>General!$U$33:$U$41</c:f>
              <c:numCache>
                <c:formatCode>#,##0.00</c:formatCode>
                <c:ptCount val="9"/>
                <c:pt idx="0">
                  <c:v>3.51</c:v>
                </c:pt>
                <c:pt idx="1">
                  <c:v>1.88</c:v>
                </c:pt>
                <c:pt idx="2">
                  <c:v>1.61</c:v>
                </c:pt>
                <c:pt idx="3">
                  <c:v>1.95</c:v>
                </c:pt>
                <c:pt idx="4">
                  <c:v>4.4400000000000004</c:v>
                </c:pt>
                <c:pt idx="5">
                  <c:v>5.62</c:v>
                </c:pt>
                <c:pt idx="6">
                  <c:v>6.94</c:v>
                </c:pt>
                <c:pt idx="7">
                  <c:v>8.01</c:v>
                </c:pt>
                <c:pt idx="8">
                  <c:v>8.5299999999999994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30-4F8D-9A10-9B8950F7E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99477775"/>
        <c:axId val="599474447"/>
      </c:stockChart>
      <c:dateAx>
        <c:axId val="59947777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9474447"/>
        <c:crosses val="autoZero"/>
        <c:auto val="1"/>
        <c:lblOffset val="100"/>
        <c:baseTimeUnit val="months"/>
        <c:majorUnit val="4"/>
        <c:majorTimeUnit val="months"/>
        <c:minorUnit val="2"/>
        <c:minorTimeUnit val="months"/>
      </c:dateAx>
      <c:valAx>
        <c:axId val="599474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94777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IPC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General!$B$19</c:f>
              <c:strCache>
                <c:ptCount val="1"/>
                <c:pt idx="0">
                  <c:v>Historico Inflacion IPC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8366375667042458"/>
                  <c:y val="-0.2258891433839553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xVal>
            <c:numRef>
              <c:f>General!$B$26:$B$28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xVal>
          <c:yVal>
            <c:numRef>
              <c:f>General!$C$26:$C$28</c:f>
              <c:numCache>
                <c:formatCode>#,##0.00</c:formatCode>
                <c:ptCount val="3"/>
                <c:pt idx="0">
                  <c:v>1.61</c:v>
                </c:pt>
                <c:pt idx="1">
                  <c:v>5.62</c:v>
                </c:pt>
                <c:pt idx="2">
                  <c:v>8.5299999999999994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C75C-46A2-9A03-ECBE7B32D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588863"/>
        <c:axId val="577582623"/>
      </c:scatterChart>
      <c:valAx>
        <c:axId val="5775888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7582623"/>
        <c:crosses val="autoZero"/>
        <c:crossBetween val="midCat"/>
      </c:valAx>
      <c:valAx>
        <c:axId val="577582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75888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Historicos de incremento </a:t>
            </a:r>
          </a:p>
          <a:p>
            <a:pPr>
              <a:defRPr/>
            </a:pPr>
            <a:r>
              <a:rPr lang="es-CO"/>
              <a:t>de arriendo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0661482939632548"/>
                  <c:y val="-0.4386027267424905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xVal>
            <c:numRef>
              <c:f>General!$A$86:$A$91</c:f>
              <c:numCache>
                <c:formatCode>General</c:formatCod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</c:numCache>
            </c:numRef>
          </c:xVal>
          <c:yVal>
            <c:numRef>
              <c:f>General!$B$86:$B$91</c:f>
              <c:numCache>
                <c:formatCode>0%</c:formatCode>
                <c:ptCount val="6"/>
                <c:pt idx="0" formatCode="0.00%">
                  <c:v>5.62E-2</c:v>
                </c:pt>
                <c:pt idx="1">
                  <c:v>5.5300000000002569E-2</c:v>
                </c:pt>
                <c:pt idx="2">
                  <c:v>6.4400000000002677E-2</c:v>
                </c:pt>
                <c:pt idx="3">
                  <c:v>7.3500000000002785E-2</c:v>
                </c:pt>
                <c:pt idx="4">
                  <c:v>8.2600000000002893E-2</c:v>
                </c:pt>
                <c:pt idx="5">
                  <c:v>9.1700000000003001E-2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29-4453-9ECE-CDAC1A665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5894175"/>
        <c:axId val="845894591"/>
      </c:scatterChart>
      <c:valAx>
        <c:axId val="8458941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5894591"/>
        <c:crosses val="autoZero"/>
        <c:crossBetween val="midCat"/>
      </c:valAx>
      <c:valAx>
        <c:axId val="845894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Incremento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589417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Historico Salario Minimo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General!$D$2:$D$8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xVal>
          <c:yVal>
            <c:numRef>
              <c:f>General!$E$2:$E$8</c:f>
              <c:numCache>
                <c:formatCode>_("$"* #,##0_);_("$"* \(#,##0\);_("$"* "-"_);_(@_)</c:formatCode>
                <c:ptCount val="7"/>
                <c:pt idx="0">
                  <c:v>689455</c:v>
                </c:pt>
                <c:pt idx="1">
                  <c:v>737717</c:v>
                </c:pt>
                <c:pt idx="2">
                  <c:v>781242</c:v>
                </c:pt>
                <c:pt idx="3">
                  <c:v>828116</c:v>
                </c:pt>
                <c:pt idx="4">
                  <c:v>877803</c:v>
                </c:pt>
                <c:pt idx="5">
                  <c:v>908526</c:v>
                </c:pt>
                <c:pt idx="6">
                  <c:v>1000000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2A3-44AF-9040-95FA51918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874287"/>
        <c:axId val="600865967"/>
      </c:scatterChart>
      <c:valAx>
        <c:axId val="6008742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00865967"/>
        <c:crosses val="autoZero"/>
        <c:crossBetween val="midCat"/>
      </c:valAx>
      <c:valAx>
        <c:axId val="600865967"/>
        <c:scaling>
          <c:orientation val="minMax"/>
          <c:min val="6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&quot;$&quot;* #,##0_);_(&quot;$&quot;* \(#,##0\);_(&quot;$&quot;* &quot;-&quot;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0087428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Proyección Salario Minimo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General!$D$10:$D$14</c:f>
              <c:numCache>
                <c:formatCode>General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xVal>
          <c:yVal>
            <c:numRef>
              <c:f>General!$E$10:$E$14</c:f>
              <c:numCache>
                <c:formatCode>_("$"* #,##0_);_("$"* \(#,##0\);_("$"* "-"_);_(@_)</c:formatCode>
                <c:ptCount val="5"/>
                <c:pt idx="0">
                  <c:v>1027524.7142857164</c:v>
                </c:pt>
                <c:pt idx="1">
                  <c:v>1076446.6428571492</c:v>
                </c:pt>
                <c:pt idx="2">
                  <c:v>1125368.5714285821</c:v>
                </c:pt>
                <c:pt idx="3">
                  <c:v>1174290.5</c:v>
                </c:pt>
                <c:pt idx="4">
                  <c:v>1223212.4285714328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AE9-4969-85F4-146EC71BB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874287"/>
        <c:axId val="600865967"/>
      </c:scatterChart>
      <c:valAx>
        <c:axId val="6008742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00865967"/>
        <c:crosses val="autoZero"/>
        <c:crossBetween val="midCat"/>
      </c:valAx>
      <c:valAx>
        <c:axId val="600865967"/>
        <c:scaling>
          <c:orientation val="minMax"/>
          <c:min val="6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&quot;$&quot;* #,##0_);_(&quot;$&quot;* \(#,##0\);_(&quot;$&quot;* &quot;-&quot;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0087428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Historicos de incremento </a:t>
            </a:r>
          </a:p>
          <a:p>
            <a:pPr>
              <a:defRPr/>
            </a:pPr>
            <a:r>
              <a:rPr lang="es-CO"/>
              <a:t>de arriendo y proyeccion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General!$A$82:$A$84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xVal>
          <c:yVal>
            <c:numRef>
              <c:f>General!$B$82:$B$84</c:f>
              <c:numCache>
                <c:formatCode>0.00%</c:formatCode>
                <c:ptCount val="3"/>
                <c:pt idx="0">
                  <c:v>3.7999999999999999E-2</c:v>
                </c:pt>
                <c:pt idx="1">
                  <c:v>1.61E-2</c:v>
                </c:pt>
                <c:pt idx="2">
                  <c:v>5.62E-2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B4-482F-90C6-05F7DFC46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5894175"/>
        <c:axId val="845894591"/>
      </c:scatterChart>
      <c:valAx>
        <c:axId val="8458941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5894591"/>
        <c:crosses val="autoZero"/>
        <c:crossBetween val="midCat"/>
      </c:valAx>
      <c:valAx>
        <c:axId val="845894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Incremento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589417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Notas!$B$12</c:f>
              <c:strCache>
                <c:ptCount val="1"/>
                <c:pt idx="0">
                  <c:v>Sí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Notas!$C$5:$G$5</c:f>
              <c:strCache>
                <c:ptCount val="5"/>
                <c:pt idx="0">
                  <c:v>18 o menos</c:v>
                </c:pt>
                <c:pt idx="1">
                  <c:v>entre 18 a 28</c:v>
                </c:pt>
                <c:pt idx="2">
                  <c:v>entre 29 a 39</c:v>
                </c:pt>
                <c:pt idx="3">
                  <c:v>entre 40 a 50</c:v>
                </c:pt>
                <c:pt idx="4">
                  <c:v>51 o más</c:v>
                </c:pt>
              </c:strCache>
            </c:strRef>
          </c:cat>
          <c:val>
            <c:numRef>
              <c:f>Notas!$C$12:$G$12</c:f>
              <c:numCache>
                <c:formatCode>0.00</c:formatCode>
                <c:ptCount val="5"/>
                <c:pt idx="0" formatCode="General">
                  <c:v>0</c:v>
                </c:pt>
                <c:pt idx="1">
                  <c:v>62.711864406779661</c:v>
                </c:pt>
                <c:pt idx="2">
                  <c:v>54.166666666666664</c:v>
                </c:pt>
                <c:pt idx="3">
                  <c:v>47.058823529411768</c:v>
                </c:pt>
                <c:pt idx="4">
                  <c:v>76.92307692307692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75-4958-BF42-0A8C263F1CA1}"/>
            </c:ext>
          </c:extLst>
        </c:ser>
        <c:ser>
          <c:idx val="1"/>
          <c:order val="1"/>
          <c:tx>
            <c:strRef>
              <c:f>Notas!$B$13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Notas!$C$5:$G$5</c:f>
              <c:strCache>
                <c:ptCount val="5"/>
                <c:pt idx="0">
                  <c:v>18 o menos</c:v>
                </c:pt>
                <c:pt idx="1">
                  <c:v>entre 18 a 28</c:v>
                </c:pt>
                <c:pt idx="2">
                  <c:v>entre 29 a 39</c:v>
                </c:pt>
                <c:pt idx="3">
                  <c:v>entre 40 a 50</c:v>
                </c:pt>
                <c:pt idx="4">
                  <c:v>51 o más</c:v>
                </c:pt>
              </c:strCache>
            </c:strRef>
          </c:cat>
          <c:val>
            <c:numRef>
              <c:f>Notas!$C$13:$G$13</c:f>
              <c:numCache>
                <c:formatCode>0.00</c:formatCode>
                <c:ptCount val="5"/>
                <c:pt idx="0" formatCode="General">
                  <c:v>0</c:v>
                </c:pt>
                <c:pt idx="1">
                  <c:v>1.6949152542372881</c:v>
                </c:pt>
                <c:pt idx="2">
                  <c:v>16.666666666666668</c:v>
                </c:pt>
                <c:pt idx="3">
                  <c:v>8.8235294117647065</c:v>
                </c:pt>
                <c:pt idx="4">
                  <c:v>3.8461538461538463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75-4958-BF42-0A8C263F1CA1}"/>
            </c:ext>
          </c:extLst>
        </c:ser>
        <c:ser>
          <c:idx val="2"/>
          <c:order val="2"/>
          <c:tx>
            <c:strRef>
              <c:f>Notas!$B$14</c:f>
              <c:strCache>
                <c:ptCount val="1"/>
                <c:pt idx="0">
                  <c:v>Tal vez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Notas!$C$5:$G$5</c:f>
              <c:strCache>
                <c:ptCount val="5"/>
                <c:pt idx="0">
                  <c:v>18 o menos</c:v>
                </c:pt>
                <c:pt idx="1">
                  <c:v>entre 18 a 28</c:v>
                </c:pt>
                <c:pt idx="2">
                  <c:v>entre 29 a 39</c:v>
                </c:pt>
                <c:pt idx="3">
                  <c:v>entre 40 a 50</c:v>
                </c:pt>
                <c:pt idx="4">
                  <c:v>51 o más</c:v>
                </c:pt>
              </c:strCache>
            </c:strRef>
          </c:cat>
          <c:val>
            <c:numRef>
              <c:f>Notas!$C$14:$G$14</c:f>
              <c:numCache>
                <c:formatCode>0.00</c:formatCode>
                <c:ptCount val="5"/>
                <c:pt idx="0" formatCode="General">
                  <c:v>100</c:v>
                </c:pt>
                <c:pt idx="1">
                  <c:v>35.593220338983052</c:v>
                </c:pt>
                <c:pt idx="2">
                  <c:v>29.166666666666668</c:v>
                </c:pt>
                <c:pt idx="3">
                  <c:v>44.117647058823529</c:v>
                </c:pt>
                <c:pt idx="4">
                  <c:v>19.23076923076923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75-4958-BF42-0A8C263F1CA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442845488"/>
        <c:axId val="1442844240"/>
      </c:barChart>
      <c:catAx>
        <c:axId val="144284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2844240"/>
        <c:crosses val="autoZero"/>
        <c:auto val="1"/>
        <c:lblAlgn val="ctr"/>
        <c:lblOffset val="100"/>
        <c:noMultiLvlLbl val="0"/>
      </c:catAx>
      <c:valAx>
        <c:axId val="14428442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42845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Datos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51A1-40A1-BBD3-ABBCE1667CE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51A1-40A1-BBD3-ABBCE1667CE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51A1-40A1-BBD3-ABBCE1667CE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51A1-40A1-BBD3-ABBCE1667C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Notas!$B$34:$E$34</c:f>
              <c:strCache>
                <c:ptCount val="4"/>
                <c:pt idx="0">
                  <c:v>No lo compraría</c:v>
                </c:pt>
                <c:pt idx="1">
                  <c:v>$20.000 a $30.000</c:v>
                </c:pt>
                <c:pt idx="2">
                  <c:v>$30.000 o $40.000</c:v>
                </c:pt>
                <c:pt idx="3">
                  <c:v>Mas de $40.000</c:v>
                </c:pt>
              </c:strCache>
            </c:strRef>
          </c:cat>
          <c:val>
            <c:numRef>
              <c:f>Notas!$B$36:$E$36</c:f>
              <c:numCache>
                <c:formatCode>#,##0.00</c:formatCode>
                <c:ptCount val="4"/>
                <c:pt idx="0">
                  <c:v>1.162790698</c:v>
                </c:pt>
                <c:pt idx="1">
                  <c:v>33.72093023</c:v>
                </c:pt>
                <c:pt idx="2">
                  <c:v>46.511627910000001</c:v>
                </c:pt>
                <c:pt idx="3">
                  <c:v>18.60465116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1E-411F-B1B2-534E443ED41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19960</xdr:colOff>
      <xdr:row>42</xdr:row>
      <xdr:rowOff>16680</xdr:rowOff>
    </xdr:from>
    <xdr:to>
      <xdr:col>7</xdr:col>
      <xdr:colOff>239407</xdr:colOff>
      <xdr:row>56</xdr:row>
      <xdr:rowOff>170069</xdr:rowOff>
    </xdr:to>
    <xdr:graphicFrame macro="">
      <xdr:nvGraphicFramePr>
        <xdr:cNvPr id="18" name="Gráfico 5">
          <a:extLst>
            <a:ext uri="{FF2B5EF4-FFF2-40B4-BE49-F238E27FC236}">
              <a16:creationId xmlns:a16="http://schemas.microsoft.com/office/drawing/2014/main" id="{D4982772-F4A9-33E9-933F-9003A5CA7D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758738</xdr:colOff>
      <xdr:row>42</xdr:row>
      <xdr:rowOff>11277</xdr:rowOff>
    </xdr:from>
    <xdr:to>
      <xdr:col>13</xdr:col>
      <xdr:colOff>729049</xdr:colOff>
      <xdr:row>56</xdr:row>
      <xdr:rowOff>159713</xdr:rowOff>
    </xdr:to>
    <xdr:graphicFrame macro="">
      <xdr:nvGraphicFramePr>
        <xdr:cNvPr id="16" name="Gráfico 8">
          <a:extLst>
            <a:ext uri="{FF2B5EF4-FFF2-40B4-BE49-F238E27FC236}">
              <a16:creationId xmlns:a16="http://schemas.microsoft.com/office/drawing/2014/main" id="{C45233A9-2213-81B2-00D9-84FD496F39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710533</xdr:colOff>
      <xdr:row>59</xdr:row>
      <xdr:rowOff>110240</xdr:rowOff>
    </xdr:from>
    <xdr:to>
      <xdr:col>10</xdr:col>
      <xdr:colOff>597217</xdr:colOff>
      <xdr:row>74</xdr:row>
      <xdr:rowOff>70161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D6741DBE-1A37-2555-933F-4FEC69BEA0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594122</xdr:colOff>
      <xdr:row>75</xdr:row>
      <xdr:rowOff>59134</xdr:rowOff>
    </xdr:from>
    <xdr:to>
      <xdr:col>15</xdr:col>
      <xdr:colOff>588566</xdr:colOff>
      <xdr:row>90</xdr:row>
      <xdr:rowOff>165100</xdr:rowOff>
    </xdr:to>
    <xdr:graphicFrame macro="">
      <xdr:nvGraphicFramePr>
        <xdr:cNvPr id="47" name="Gráfico 12">
          <a:extLst>
            <a:ext uri="{FF2B5EF4-FFF2-40B4-BE49-F238E27FC236}">
              <a16:creationId xmlns:a16="http://schemas.microsoft.com/office/drawing/2014/main" id="{D4E2B888-FBBA-5576-CA28-F31C6E29E5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152401</xdr:colOff>
      <xdr:row>0</xdr:row>
      <xdr:rowOff>209549</xdr:rowOff>
    </xdr:from>
    <xdr:to>
      <xdr:col>14</xdr:col>
      <xdr:colOff>9525</xdr:colOff>
      <xdr:row>15</xdr:row>
      <xdr:rowOff>19050</xdr:rowOff>
    </xdr:to>
    <xdr:graphicFrame macro="">
      <xdr:nvGraphicFramePr>
        <xdr:cNvPr id="3" name="Gráfico 7">
          <a:extLst>
            <a:ext uri="{FF2B5EF4-FFF2-40B4-BE49-F238E27FC236}">
              <a16:creationId xmlns:a16="http://schemas.microsoft.com/office/drawing/2014/main" id="{D1F004A0-E8E3-4818-9AC9-1D3A325BF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247650</xdr:colOff>
      <xdr:row>0</xdr:row>
      <xdr:rowOff>114300</xdr:rowOff>
    </xdr:from>
    <xdr:to>
      <xdr:col>19</xdr:col>
      <xdr:colOff>542925</xdr:colOff>
      <xdr:row>14</xdr:row>
      <xdr:rowOff>180578</xdr:rowOff>
    </xdr:to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EE2AACB6-F13E-4BF5-811B-B9A89BFB1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638175</xdr:colOff>
      <xdr:row>75</xdr:row>
      <xdr:rowOff>133350</xdr:rowOff>
    </xdr:from>
    <xdr:to>
      <xdr:col>8</xdr:col>
      <xdr:colOff>508794</xdr:colOff>
      <xdr:row>91</xdr:row>
      <xdr:rowOff>48816</xdr:rowOff>
    </xdr:to>
    <xdr:graphicFrame macro="">
      <xdr:nvGraphicFramePr>
        <xdr:cNvPr id="39" name="Gráfico 7">
          <a:extLst>
            <a:ext uri="{FF2B5EF4-FFF2-40B4-BE49-F238E27FC236}">
              <a16:creationId xmlns:a16="http://schemas.microsoft.com/office/drawing/2014/main" id="{3C2948E1-C6FE-4270-8FD0-B5B84FC74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1504950</xdr:colOff>
      <xdr:row>17</xdr:row>
      <xdr:rowOff>42861</xdr:rowOff>
    </xdr:from>
    <xdr:to>
      <xdr:col>5</xdr:col>
      <xdr:colOff>47625</xdr:colOff>
      <xdr:row>31</xdr:row>
      <xdr:rowOff>142874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839F3A4-2E5C-4F64-AA7D-67D13693B1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285750</xdr:colOff>
      <xdr:row>37</xdr:row>
      <xdr:rowOff>71437</xdr:rowOff>
    </xdr:from>
    <xdr:to>
      <xdr:col>3</xdr:col>
      <xdr:colOff>2105025</xdr:colOff>
      <xdr:row>51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7C446F-ABB2-4837-B10E-A8C1461409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ciencuadras.com/inmueble/local-en-arriendo-en-la-porciuncula-bogota-1591331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rticulo.mercadolibre.com.co/MCO-551550492-cautin-110v-60w-regulable-soldadura-200-450c-_JM?matt_tool=70147493&amp;matt_word=&amp;matt_source=google&amp;matt_campaign_id=14633851809&amp;matt_ad_group_id=122277564930&amp;matt_match_type=&amp;matt_network=g&amp;matt_device=c&amp;matt_creative=545410559217&amp;matt_keyword=&amp;matt_ad_position=&amp;matt_ad_type=pla&amp;matt_merchant_id=281818756&amp;matt_product_id=MCO551550492&amp;matt_product_partition_id=1403869200214&amp;matt_target_id=aud-978541508365:pla-1403869200214&amp;gclid=Cj0KCQjwmPSSBhCNARIsAH3cYgZ7k1KthNSp8a1K2d2_R5XZnZQd5Vkprl6nbhr_Bovo-NisFeZzRzUaAjJSEALw_wcB" TargetMode="External"/><Relationship Id="rId2" Type="http://schemas.openxmlformats.org/officeDocument/2006/relationships/hyperlink" Target="https://articulo.mercadolibre.com.co/MCO-613131508-cable-adaptador-usb-tipo-c-macho-a-micro-usb-macho-30cm-_JM?matt_tool=18952288&amp;matt_word=&amp;matt_source=google&amp;matt_campaign_id=14634237782&amp;matt_ad_group_id=122266243850&amp;matt_match_type=&amp;matt_network=g&amp;matt_device=c&amp;matt_creative=545507349329&amp;matt_keyword=&amp;matt_ad_position=&amp;matt_ad_type=pla&amp;matt_merchant_id=266161627&amp;matt_product_id=MCO613131508&amp;matt_product_partition_id=1636560501819&amp;matt_target_id=aud-978541508365:pla-1636560501819&amp;gclid=Cj0KCQjwmPSSBhCNARIsAH3cYgYXayAXE4ems0sOi9kKL96Qe5tHnmu7_rb5RMor5geYMgWZr2aV8cAaAkrGEALw_wcB" TargetMode="External"/><Relationship Id="rId1" Type="http://schemas.openxmlformats.org/officeDocument/2006/relationships/hyperlink" Target="https://www.sigmaelectronica.net/producto/esp-32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rticulo.mercadolibre.com.co/MCO-534819205-soldadura-estano-tech-100gr-1mm-6040-pomada-la-unica-8gr-_J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5995C-779C-46C9-B310-0EDA909750AB}">
  <dimension ref="A1:V95"/>
  <sheetViews>
    <sheetView workbookViewId="0">
      <selection activeCell="C68" sqref="C68"/>
    </sheetView>
  </sheetViews>
  <sheetFormatPr baseColWidth="10" defaultColWidth="11.453125" defaultRowHeight="14.5" x14ac:dyDescent="0.35"/>
  <cols>
    <col min="1" max="1" width="20.1796875" bestFit="1" customWidth="1"/>
    <col min="2" max="2" width="12.1796875" bestFit="1" customWidth="1"/>
    <col min="3" max="3" width="12" bestFit="1" customWidth="1"/>
    <col min="5" max="5" width="12.7265625" bestFit="1" customWidth="1"/>
    <col min="7" max="7" width="11.81640625" bestFit="1" customWidth="1"/>
    <col min="15" max="15" width="11.81640625" bestFit="1" customWidth="1"/>
  </cols>
  <sheetData>
    <row r="1" spans="1:8" ht="28.5" customHeight="1" x14ac:dyDescent="0.35">
      <c r="A1" s="9" t="s">
        <v>0</v>
      </c>
      <c r="B1" s="180">
        <v>1000000</v>
      </c>
      <c r="D1" s="388" t="s">
        <v>1</v>
      </c>
      <c r="E1" s="389"/>
    </row>
    <row r="2" spans="1:8" x14ac:dyDescent="0.35">
      <c r="A2" s="9" t="s">
        <v>2</v>
      </c>
      <c r="B2" s="180">
        <v>117172</v>
      </c>
      <c r="D2" s="12">
        <v>2016</v>
      </c>
      <c r="E2" s="182">
        <v>689455</v>
      </c>
      <c r="G2">
        <v>2022</v>
      </c>
      <c r="H2" s="2">
        <f>B2</f>
        <v>117172</v>
      </c>
    </row>
    <row r="3" spans="1:8" x14ac:dyDescent="0.35">
      <c r="A3" s="9" t="s">
        <v>3</v>
      </c>
      <c r="B3" s="180">
        <v>38004</v>
      </c>
      <c r="D3" s="12">
        <v>2017</v>
      </c>
      <c r="E3" s="182">
        <v>737717</v>
      </c>
      <c r="G3">
        <v>2023</v>
      </c>
      <c r="H3" s="2">
        <f>$H$2*(1+C62%)</f>
        <v>131443.54960000035</v>
      </c>
    </row>
    <row r="4" spans="1:8" x14ac:dyDescent="0.35">
      <c r="D4" s="12">
        <v>2018</v>
      </c>
      <c r="E4" s="182">
        <v>781242</v>
      </c>
      <c r="G4">
        <v>2024</v>
      </c>
      <c r="H4" s="2">
        <f t="shared" ref="H4:H7" si="0">$H$2*(1+C63%)</f>
        <v>135497.70080000037</v>
      </c>
    </row>
    <row r="5" spans="1:8" x14ac:dyDescent="0.35">
      <c r="D5" s="12">
        <v>2019</v>
      </c>
      <c r="E5" s="182">
        <v>828116</v>
      </c>
      <c r="G5">
        <v>2025</v>
      </c>
      <c r="H5" s="2">
        <f t="shared" si="0"/>
        <v>139551.85200000042</v>
      </c>
    </row>
    <row r="6" spans="1:8" x14ac:dyDescent="0.35">
      <c r="D6" s="12">
        <v>2020</v>
      </c>
      <c r="E6" s="182">
        <v>877803</v>
      </c>
      <c r="G6">
        <v>2026</v>
      </c>
      <c r="H6" s="2">
        <f t="shared" si="0"/>
        <v>143606.00320000047</v>
      </c>
    </row>
    <row r="7" spans="1:8" x14ac:dyDescent="0.35">
      <c r="D7" s="12">
        <v>2021</v>
      </c>
      <c r="E7" s="182">
        <v>908526</v>
      </c>
      <c r="G7">
        <v>2027</v>
      </c>
      <c r="H7" s="2">
        <f t="shared" si="0"/>
        <v>147660.15440000052</v>
      </c>
    </row>
    <row r="8" spans="1:8" x14ac:dyDescent="0.35">
      <c r="D8" s="12">
        <v>2022</v>
      </c>
      <c r="E8" s="182">
        <v>1000000</v>
      </c>
    </row>
    <row r="9" spans="1:8" x14ac:dyDescent="0.35">
      <c r="D9" s="393" t="s">
        <v>4</v>
      </c>
      <c r="E9" s="389"/>
    </row>
    <row r="10" spans="1:8" x14ac:dyDescent="0.35">
      <c r="D10" s="15">
        <v>2023</v>
      </c>
      <c r="E10" s="191" cm="1">
        <f t="array" ref="E10:E14">_xlfn.FORECAST.LINEAR(General!D10:D14,General!E2:E8,General!D2:D8)</f>
        <v>1027524.7142857164</v>
      </c>
    </row>
    <row r="11" spans="1:8" x14ac:dyDescent="0.35">
      <c r="D11" s="15">
        <v>2024</v>
      </c>
      <c r="E11" s="191">
        <v>1076446.6428571492</v>
      </c>
    </row>
    <row r="12" spans="1:8" x14ac:dyDescent="0.35">
      <c r="D12" s="15">
        <v>2025</v>
      </c>
      <c r="E12" s="191">
        <v>1125368.5714285821</v>
      </c>
    </row>
    <row r="13" spans="1:8" x14ac:dyDescent="0.35">
      <c r="D13" s="15">
        <v>2026</v>
      </c>
      <c r="E13" s="191">
        <v>1174290.5</v>
      </c>
    </row>
    <row r="14" spans="1:8" x14ac:dyDescent="0.35">
      <c r="D14" s="15">
        <v>2027</v>
      </c>
      <c r="E14" s="191">
        <v>1223212.4285714328</v>
      </c>
    </row>
    <row r="15" spans="1:8" x14ac:dyDescent="0.35">
      <c r="D15" s="1"/>
      <c r="E15" s="84"/>
    </row>
    <row r="17" spans="1:21" s="179" customFormat="1" x14ac:dyDescent="0.35">
      <c r="A17" s="178"/>
    </row>
    <row r="18" spans="1:21" s="1" customFormat="1" x14ac:dyDescent="0.35">
      <c r="A18" s="106"/>
      <c r="B18" s="204"/>
    </row>
    <row r="19" spans="1:21" s="1" customFormat="1" ht="24" customHeight="1" x14ac:dyDescent="0.35">
      <c r="A19" s="106"/>
      <c r="B19" s="384" t="s">
        <v>5</v>
      </c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386"/>
      <c r="O19" s="107"/>
    </row>
    <row r="20" spans="1:21" s="1" customFormat="1" x14ac:dyDescent="0.35">
      <c r="B20" s="177"/>
      <c r="C20" s="384" t="s">
        <v>6</v>
      </c>
      <c r="D20" s="385"/>
      <c r="E20" s="385"/>
      <c r="F20" s="385"/>
      <c r="G20" s="385"/>
      <c r="H20" s="385"/>
      <c r="I20" s="385"/>
      <c r="J20" s="385"/>
      <c r="K20" s="385"/>
      <c r="L20" s="385"/>
      <c r="M20" s="385"/>
      <c r="N20" s="386"/>
      <c r="O20" s="107"/>
      <c r="P20" s="107"/>
    </row>
    <row r="21" spans="1:21" s="1" customFormat="1" x14ac:dyDescent="0.35">
      <c r="B21" s="12"/>
      <c r="C21" s="12">
        <v>12</v>
      </c>
      <c r="D21" s="12">
        <v>11</v>
      </c>
      <c r="E21" s="12">
        <v>10</v>
      </c>
      <c r="F21" s="12">
        <v>9</v>
      </c>
      <c r="G21" s="12">
        <v>8</v>
      </c>
      <c r="H21" s="12">
        <v>7</v>
      </c>
      <c r="I21" s="12">
        <v>6</v>
      </c>
      <c r="J21" s="12">
        <v>5</v>
      </c>
      <c r="K21" s="12">
        <v>4</v>
      </c>
      <c r="L21" s="12">
        <v>3</v>
      </c>
      <c r="M21" s="12">
        <v>2</v>
      </c>
      <c r="N21" s="12">
        <v>1</v>
      </c>
      <c r="O21" s="12" t="s">
        <v>7</v>
      </c>
      <c r="P21" s="107"/>
    </row>
    <row r="22" spans="1:21" s="1" customFormat="1" x14ac:dyDescent="0.35">
      <c r="A22" s="387" t="s">
        <v>8</v>
      </c>
      <c r="B22" s="12">
        <v>2016</v>
      </c>
      <c r="C22" s="205">
        <v>5.75</v>
      </c>
      <c r="D22" s="205">
        <v>5.96</v>
      </c>
      <c r="E22" s="205">
        <v>6.48</v>
      </c>
      <c r="F22" s="205">
        <v>7.27</v>
      </c>
      <c r="G22" s="205">
        <v>8.1</v>
      </c>
      <c r="H22" s="205">
        <v>8.9700000000000006</v>
      </c>
      <c r="I22" s="205">
        <v>8.6</v>
      </c>
      <c r="J22" s="205">
        <v>8.1999999999999993</v>
      </c>
      <c r="K22" s="205">
        <v>7.93</v>
      </c>
      <c r="L22" s="205">
        <v>7.98</v>
      </c>
      <c r="M22" s="205">
        <v>7.59</v>
      </c>
      <c r="N22" s="205">
        <v>7.45</v>
      </c>
      <c r="O22" s="183">
        <f>MAX(C22:N22)</f>
        <v>8.9700000000000006</v>
      </c>
    </row>
    <row r="23" spans="1:21" s="1" customFormat="1" x14ac:dyDescent="0.35">
      <c r="A23" s="387"/>
      <c r="B23" s="12">
        <v>2017</v>
      </c>
      <c r="C23" s="205">
        <v>4.09</v>
      </c>
      <c r="D23" s="205">
        <v>4.12</v>
      </c>
      <c r="E23" s="205">
        <v>4.05</v>
      </c>
      <c r="F23" s="205">
        <v>3.97</v>
      </c>
      <c r="G23" s="205">
        <v>3.87</v>
      </c>
      <c r="H23" s="205">
        <v>3.4</v>
      </c>
      <c r="I23" s="205">
        <v>3.99</v>
      </c>
      <c r="J23" s="205">
        <v>4.37</v>
      </c>
      <c r="K23" s="205">
        <v>4.66</v>
      </c>
      <c r="L23" s="205">
        <v>4.6900000000000004</v>
      </c>
      <c r="M23" s="205">
        <v>5.18</v>
      </c>
      <c r="N23" s="205">
        <v>5.47</v>
      </c>
      <c r="O23" s="183">
        <f t="shared" ref="O23:O28" si="1">MAX(C23:N23)</f>
        <v>5.47</v>
      </c>
    </row>
    <row r="24" spans="1:21" s="1" customFormat="1" x14ac:dyDescent="0.35">
      <c r="A24" s="387"/>
      <c r="B24" s="12">
        <v>2018</v>
      </c>
      <c r="C24" s="205">
        <v>3.18</v>
      </c>
      <c r="D24" s="205">
        <v>3.27</v>
      </c>
      <c r="E24" s="205">
        <v>3.33</v>
      </c>
      <c r="F24" s="205">
        <v>3.23</v>
      </c>
      <c r="G24" s="205">
        <v>3.1</v>
      </c>
      <c r="H24" s="205">
        <v>3.12</v>
      </c>
      <c r="I24" s="205">
        <v>3.2</v>
      </c>
      <c r="J24" s="205">
        <v>3.16</v>
      </c>
      <c r="K24" s="205">
        <v>3.13</v>
      </c>
      <c r="L24" s="205">
        <v>3.14</v>
      </c>
      <c r="M24" s="205">
        <v>3.37</v>
      </c>
      <c r="N24" s="205">
        <v>3.68</v>
      </c>
      <c r="O24" s="183">
        <f t="shared" si="1"/>
        <v>3.68</v>
      </c>
    </row>
    <row r="25" spans="1:21" s="1" customFormat="1" x14ac:dyDescent="0.35">
      <c r="A25" s="387"/>
      <c r="B25" s="12">
        <v>2019</v>
      </c>
      <c r="C25" s="205">
        <v>3.8</v>
      </c>
      <c r="D25" s="205">
        <v>3.84</v>
      </c>
      <c r="E25" s="205">
        <v>3.86</v>
      </c>
      <c r="F25" s="205">
        <v>3.82</v>
      </c>
      <c r="G25" s="205">
        <v>3.75</v>
      </c>
      <c r="H25" s="205">
        <v>3.79</v>
      </c>
      <c r="I25" s="205">
        <v>3.43</v>
      </c>
      <c r="J25" s="205">
        <v>3.31</v>
      </c>
      <c r="K25" s="205">
        <v>3.25</v>
      </c>
      <c r="L25" s="205">
        <v>3.21</v>
      </c>
      <c r="M25" s="205">
        <v>3.01</v>
      </c>
      <c r="N25" s="205">
        <v>3.15</v>
      </c>
      <c r="O25" s="183">
        <f t="shared" si="1"/>
        <v>3.86</v>
      </c>
    </row>
    <row r="26" spans="1:21" s="1" customFormat="1" x14ac:dyDescent="0.35">
      <c r="A26" s="387"/>
      <c r="B26" s="12">
        <v>2020</v>
      </c>
      <c r="C26" s="205">
        <v>1.61</v>
      </c>
      <c r="D26" s="205">
        <v>1.49</v>
      </c>
      <c r="E26" s="205">
        <v>1.75</v>
      </c>
      <c r="F26" s="205">
        <v>1.97</v>
      </c>
      <c r="G26" s="205">
        <v>1.88</v>
      </c>
      <c r="H26" s="205">
        <v>1.97</v>
      </c>
      <c r="I26" s="205">
        <v>2.19</v>
      </c>
      <c r="J26" s="205">
        <v>2.85</v>
      </c>
      <c r="K26" s="205">
        <v>3.51</v>
      </c>
      <c r="L26" s="205">
        <v>3.86</v>
      </c>
      <c r="M26" s="205">
        <v>3.72</v>
      </c>
      <c r="N26" s="205">
        <v>3.62</v>
      </c>
      <c r="O26" s="183">
        <f t="shared" si="1"/>
        <v>3.86</v>
      </c>
    </row>
    <row r="27" spans="1:21" s="1" customFormat="1" x14ac:dyDescent="0.35">
      <c r="A27" s="387"/>
      <c r="B27" s="12">
        <v>2021</v>
      </c>
      <c r="C27" s="205">
        <v>5.62</v>
      </c>
      <c r="D27" s="205">
        <v>5.26</v>
      </c>
      <c r="E27" s="205">
        <v>4.58</v>
      </c>
      <c r="F27" s="205">
        <v>4.51</v>
      </c>
      <c r="G27" s="205">
        <v>4.4400000000000004</v>
      </c>
      <c r="H27" s="205">
        <v>3.97</v>
      </c>
      <c r="I27" s="205">
        <v>3.63</v>
      </c>
      <c r="J27" s="205">
        <v>3.3</v>
      </c>
      <c r="K27" s="205">
        <v>1.95</v>
      </c>
      <c r="L27" s="205">
        <v>1.51</v>
      </c>
      <c r="M27" s="205">
        <v>1.56</v>
      </c>
      <c r="N27" s="205">
        <v>1.6</v>
      </c>
      <c r="O27" s="183">
        <f t="shared" si="1"/>
        <v>5.62</v>
      </c>
    </row>
    <row r="28" spans="1:21" s="1" customFormat="1" x14ac:dyDescent="0.35">
      <c r="A28" s="387"/>
      <c r="B28" s="12">
        <v>2022</v>
      </c>
      <c r="C28" s="202">
        <v>8.5299999999999994</v>
      </c>
      <c r="D28" s="202">
        <v>8.01</v>
      </c>
      <c r="E28" s="202">
        <v>6.94</v>
      </c>
      <c r="F28" s="202">
        <v>8.5299999999999994</v>
      </c>
      <c r="G28" s="202">
        <v>8.01</v>
      </c>
      <c r="H28" s="202">
        <v>6.94</v>
      </c>
      <c r="I28" s="202">
        <v>8.5299999999999994</v>
      </c>
      <c r="J28" s="202">
        <v>8.01</v>
      </c>
      <c r="K28" s="202">
        <v>6.94</v>
      </c>
      <c r="L28" s="205">
        <v>8.5299999999999994</v>
      </c>
      <c r="M28" s="205">
        <v>8.01</v>
      </c>
      <c r="N28" s="205">
        <v>6.94</v>
      </c>
      <c r="O28" s="183">
        <f t="shared" si="1"/>
        <v>8.5299999999999994</v>
      </c>
    </row>
    <row r="30" spans="1:21" x14ac:dyDescent="0.35">
      <c r="A30" s="106"/>
      <c r="B30" s="204"/>
    </row>
    <row r="31" spans="1:21" x14ac:dyDescent="0.35">
      <c r="A31" s="383" t="s">
        <v>9</v>
      </c>
      <c r="B31" s="383"/>
      <c r="C31" s="383"/>
      <c r="D31" s="383"/>
      <c r="E31" s="383"/>
      <c r="Q31" s="382" t="s">
        <v>10</v>
      </c>
      <c r="R31" s="382"/>
      <c r="S31" s="382"/>
      <c r="T31" s="382"/>
      <c r="U31" s="382"/>
    </row>
    <row r="32" spans="1:21" x14ac:dyDescent="0.35">
      <c r="B32" s="119" t="s">
        <v>11</v>
      </c>
      <c r="C32" s="120" t="s">
        <v>12</v>
      </c>
      <c r="D32" s="120" t="s">
        <v>13</v>
      </c>
      <c r="E32" s="120" t="s">
        <v>14</v>
      </c>
      <c r="K32" s="382" t="s">
        <v>15</v>
      </c>
      <c r="L32" s="382"/>
      <c r="M32" s="382"/>
      <c r="N32" s="382"/>
      <c r="R32" s="119" t="s">
        <v>11</v>
      </c>
      <c r="S32" s="119" t="s">
        <v>12</v>
      </c>
      <c r="T32" s="119" t="s">
        <v>13</v>
      </c>
      <c r="U32" s="119" t="s">
        <v>14</v>
      </c>
    </row>
    <row r="33" spans="1:21" x14ac:dyDescent="0.35">
      <c r="A33" s="15">
        <f t="shared" ref="A33:A39" si="2">B22</f>
        <v>2016</v>
      </c>
      <c r="B33" s="108">
        <f t="shared" ref="B33:B39" si="3">N22</f>
        <v>7.45</v>
      </c>
      <c r="C33" s="108">
        <f t="shared" ref="C33:C39" si="4">MAX(C22:N22)</f>
        <v>8.9700000000000006</v>
      </c>
      <c r="D33" s="108">
        <f t="shared" ref="D33:D39" si="5">MIN(C22:N22)</f>
        <v>5.75</v>
      </c>
      <c r="E33" s="108">
        <f t="shared" ref="E33:E39" si="6">C22</f>
        <v>5.75</v>
      </c>
      <c r="K33" s="108">
        <f>K26</f>
        <v>3.51</v>
      </c>
      <c r="L33" s="108">
        <f>L26</f>
        <v>3.86</v>
      </c>
      <c r="M33" s="108">
        <f>M26</f>
        <v>3.72</v>
      </c>
      <c r="N33" s="108">
        <f>N26</f>
        <v>3.62</v>
      </c>
      <c r="Q33" s="109">
        <v>43831</v>
      </c>
      <c r="R33" s="108">
        <f t="shared" ref="R33:R41" si="7">N33</f>
        <v>3.62</v>
      </c>
      <c r="S33" s="108">
        <f t="shared" ref="S33:S41" si="8">MAX(K33:N33)</f>
        <v>3.86</v>
      </c>
      <c r="T33" s="108">
        <f t="shared" ref="T33:T41" si="9">MIN(K33:N33)</f>
        <v>3.51</v>
      </c>
      <c r="U33" s="108">
        <f t="shared" ref="U33:U41" si="10">K33</f>
        <v>3.51</v>
      </c>
    </row>
    <row r="34" spans="1:21" x14ac:dyDescent="0.35">
      <c r="A34" s="15">
        <f t="shared" si="2"/>
        <v>2017</v>
      </c>
      <c r="B34" s="108">
        <f t="shared" si="3"/>
        <v>5.47</v>
      </c>
      <c r="C34" s="108">
        <f t="shared" si="4"/>
        <v>5.47</v>
      </c>
      <c r="D34" s="108">
        <f t="shared" si="5"/>
        <v>3.4</v>
      </c>
      <c r="E34" s="108">
        <f t="shared" si="6"/>
        <v>4.09</v>
      </c>
      <c r="F34" s="1"/>
      <c r="G34" s="1"/>
      <c r="H34" s="1"/>
      <c r="I34" s="1"/>
      <c r="J34" s="1"/>
      <c r="K34" s="108">
        <f>G26</f>
        <v>1.88</v>
      </c>
      <c r="L34" s="108">
        <f>H26</f>
        <v>1.97</v>
      </c>
      <c r="M34" s="108">
        <f>I26</f>
        <v>2.19</v>
      </c>
      <c r="N34" s="108">
        <f>J26</f>
        <v>2.85</v>
      </c>
      <c r="Q34" s="109">
        <v>43952</v>
      </c>
      <c r="R34" s="108">
        <f t="shared" si="7"/>
        <v>2.85</v>
      </c>
      <c r="S34" s="108">
        <f t="shared" si="8"/>
        <v>2.85</v>
      </c>
      <c r="T34" s="108">
        <f t="shared" si="9"/>
        <v>1.88</v>
      </c>
      <c r="U34" s="108">
        <f t="shared" si="10"/>
        <v>1.88</v>
      </c>
    </row>
    <row r="35" spans="1:21" x14ac:dyDescent="0.35">
      <c r="A35" s="15">
        <f t="shared" si="2"/>
        <v>2018</v>
      </c>
      <c r="B35" s="108">
        <f t="shared" si="3"/>
        <v>3.68</v>
      </c>
      <c r="C35" s="108">
        <f t="shared" si="4"/>
        <v>3.68</v>
      </c>
      <c r="D35" s="108">
        <f t="shared" si="5"/>
        <v>3.1</v>
      </c>
      <c r="E35" s="108">
        <f t="shared" si="6"/>
        <v>3.18</v>
      </c>
      <c r="F35" s="204"/>
      <c r="G35" s="204"/>
      <c r="H35" s="204"/>
      <c r="I35" s="204"/>
      <c r="J35" s="204"/>
      <c r="K35" s="108">
        <f>C26</f>
        <v>1.61</v>
      </c>
      <c r="L35" s="108">
        <f>D26</f>
        <v>1.49</v>
      </c>
      <c r="M35" s="108">
        <f>E26</f>
        <v>1.75</v>
      </c>
      <c r="N35" s="108">
        <f>F26</f>
        <v>1.97</v>
      </c>
      <c r="Q35" s="109">
        <v>44075</v>
      </c>
      <c r="R35" s="108">
        <f t="shared" si="7"/>
        <v>1.97</v>
      </c>
      <c r="S35" s="108">
        <f t="shared" si="8"/>
        <v>1.97</v>
      </c>
      <c r="T35" s="108">
        <f t="shared" si="9"/>
        <v>1.49</v>
      </c>
      <c r="U35" s="108">
        <f t="shared" si="10"/>
        <v>1.61</v>
      </c>
    </row>
    <row r="36" spans="1:21" x14ac:dyDescent="0.35">
      <c r="A36" s="15">
        <f t="shared" si="2"/>
        <v>2019</v>
      </c>
      <c r="B36" s="108">
        <f t="shared" si="3"/>
        <v>3.15</v>
      </c>
      <c r="C36" s="108">
        <f t="shared" si="4"/>
        <v>3.86</v>
      </c>
      <c r="D36" s="108">
        <f t="shared" si="5"/>
        <v>3.01</v>
      </c>
      <c r="E36" s="108">
        <f t="shared" si="6"/>
        <v>3.8</v>
      </c>
      <c r="F36" s="204"/>
      <c r="G36" s="204"/>
      <c r="H36" s="204"/>
      <c r="I36" s="204"/>
      <c r="J36" s="204"/>
      <c r="K36" s="108">
        <f>K27</f>
        <v>1.95</v>
      </c>
      <c r="L36" s="108">
        <f>L27</f>
        <v>1.51</v>
      </c>
      <c r="M36" s="108">
        <f>M27</f>
        <v>1.56</v>
      </c>
      <c r="N36" s="108">
        <f>N27</f>
        <v>1.6</v>
      </c>
      <c r="Q36" s="109">
        <v>44197</v>
      </c>
      <c r="R36" s="108">
        <f t="shared" si="7"/>
        <v>1.6</v>
      </c>
      <c r="S36" s="108">
        <f t="shared" si="8"/>
        <v>1.95</v>
      </c>
      <c r="T36" s="108">
        <f t="shared" si="9"/>
        <v>1.51</v>
      </c>
      <c r="U36" s="108">
        <f t="shared" si="10"/>
        <v>1.95</v>
      </c>
    </row>
    <row r="37" spans="1:21" x14ac:dyDescent="0.35">
      <c r="A37" s="15">
        <f t="shared" si="2"/>
        <v>2020</v>
      </c>
      <c r="B37" s="108">
        <f t="shared" si="3"/>
        <v>3.62</v>
      </c>
      <c r="C37" s="108">
        <f t="shared" si="4"/>
        <v>3.86</v>
      </c>
      <c r="D37" s="108">
        <f t="shared" si="5"/>
        <v>1.49</v>
      </c>
      <c r="E37" s="108">
        <f t="shared" si="6"/>
        <v>1.61</v>
      </c>
      <c r="F37" s="204"/>
      <c r="G37" s="204"/>
      <c r="H37" s="204"/>
      <c r="I37" s="204"/>
      <c r="J37" s="204"/>
      <c r="K37" s="108">
        <f>G27</f>
        <v>4.4400000000000004</v>
      </c>
      <c r="L37" s="108">
        <f>H27</f>
        <v>3.97</v>
      </c>
      <c r="M37" s="108">
        <f>I27</f>
        <v>3.63</v>
      </c>
      <c r="N37" s="108">
        <f>J27</f>
        <v>3.3</v>
      </c>
      <c r="Q37" s="109">
        <v>44317</v>
      </c>
      <c r="R37" s="108">
        <f t="shared" si="7"/>
        <v>3.3</v>
      </c>
      <c r="S37" s="108">
        <f t="shared" si="8"/>
        <v>4.4400000000000004</v>
      </c>
      <c r="T37" s="108">
        <f t="shared" si="9"/>
        <v>3.3</v>
      </c>
      <c r="U37" s="108">
        <f t="shared" si="10"/>
        <v>4.4400000000000004</v>
      </c>
    </row>
    <row r="38" spans="1:21" x14ac:dyDescent="0.35">
      <c r="A38" s="15">
        <f t="shared" si="2"/>
        <v>2021</v>
      </c>
      <c r="B38" s="108">
        <f t="shared" si="3"/>
        <v>1.6</v>
      </c>
      <c r="C38" s="108">
        <f t="shared" si="4"/>
        <v>5.62</v>
      </c>
      <c r="D38" s="108">
        <f t="shared" si="5"/>
        <v>1.51</v>
      </c>
      <c r="E38" s="108">
        <f t="shared" si="6"/>
        <v>5.62</v>
      </c>
      <c r="F38" s="204"/>
      <c r="G38" s="204"/>
      <c r="H38" s="204"/>
      <c r="I38" s="204"/>
      <c r="J38" s="204"/>
      <c r="K38" s="108">
        <f>C27</f>
        <v>5.62</v>
      </c>
      <c r="L38" s="108">
        <f>D27</f>
        <v>5.26</v>
      </c>
      <c r="M38" s="108">
        <f>E27</f>
        <v>4.58</v>
      </c>
      <c r="N38" s="108">
        <f>F27</f>
        <v>4.51</v>
      </c>
      <c r="Q38" s="109">
        <v>44440</v>
      </c>
      <c r="R38" s="108">
        <f t="shared" si="7"/>
        <v>4.51</v>
      </c>
      <c r="S38" s="108">
        <f t="shared" si="8"/>
        <v>5.62</v>
      </c>
      <c r="T38" s="108">
        <f t="shared" si="9"/>
        <v>4.51</v>
      </c>
      <c r="U38" s="108">
        <f t="shared" si="10"/>
        <v>5.62</v>
      </c>
    </row>
    <row r="39" spans="1:21" x14ac:dyDescent="0.35">
      <c r="A39" s="15">
        <f t="shared" si="2"/>
        <v>2022</v>
      </c>
      <c r="B39" s="108">
        <f t="shared" si="3"/>
        <v>6.94</v>
      </c>
      <c r="C39" s="108">
        <f t="shared" si="4"/>
        <v>8.5299999999999994</v>
      </c>
      <c r="D39" s="108">
        <f t="shared" si="5"/>
        <v>6.94</v>
      </c>
      <c r="E39" s="108">
        <f t="shared" si="6"/>
        <v>8.5299999999999994</v>
      </c>
      <c r="F39" s="204"/>
      <c r="G39" s="204"/>
      <c r="H39" s="204"/>
      <c r="I39" s="204"/>
      <c r="J39" s="204"/>
      <c r="K39" s="108">
        <f>K28</f>
        <v>6.94</v>
      </c>
      <c r="L39" s="108">
        <f>L28</f>
        <v>8.5299999999999994</v>
      </c>
      <c r="M39" s="108">
        <f>M28</f>
        <v>8.01</v>
      </c>
      <c r="N39" s="108">
        <f>N28</f>
        <v>6.94</v>
      </c>
      <c r="Q39" s="109">
        <v>44562</v>
      </c>
      <c r="R39" s="108">
        <f t="shared" si="7"/>
        <v>6.94</v>
      </c>
      <c r="S39" s="108">
        <f t="shared" si="8"/>
        <v>8.5299999999999994</v>
      </c>
      <c r="T39" s="108">
        <f t="shared" si="9"/>
        <v>6.94</v>
      </c>
      <c r="U39" s="108">
        <f t="shared" si="10"/>
        <v>6.94</v>
      </c>
    </row>
    <row r="40" spans="1:21" x14ac:dyDescent="0.35">
      <c r="A40" s="106"/>
      <c r="B40" s="204"/>
      <c r="C40" s="1"/>
      <c r="D40" s="204"/>
      <c r="E40" s="204"/>
      <c r="F40" s="204"/>
      <c r="G40" s="204"/>
      <c r="H40" s="204"/>
      <c r="I40" s="204"/>
      <c r="J40" s="204"/>
      <c r="K40" s="108">
        <f>G28</f>
        <v>8.01</v>
      </c>
      <c r="L40" s="108">
        <f>H28</f>
        <v>6.94</v>
      </c>
      <c r="M40" s="108">
        <f>I28</f>
        <v>8.5299999999999994</v>
      </c>
      <c r="N40" s="108">
        <f>J28</f>
        <v>8.01</v>
      </c>
      <c r="Q40" s="109">
        <v>44682</v>
      </c>
      <c r="R40" s="108">
        <f t="shared" si="7"/>
        <v>8.01</v>
      </c>
      <c r="S40" s="108">
        <f t="shared" si="8"/>
        <v>8.5299999999999994</v>
      </c>
      <c r="T40" s="108">
        <f t="shared" si="9"/>
        <v>6.94</v>
      </c>
      <c r="U40" s="108">
        <f t="shared" si="10"/>
        <v>8.01</v>
      </c>
    </row>
    <row r="41" spans="1:21" x14ac:dyDescent="0.35">
      <c r="A41" s="106"/>
      <c r="B41" s="204"/>
      <c r="C41" s="1"/>
      <c r="D41" s="204"/>
      <c r="E41" s="204"/>
      <c r="F41" s="204"/>
      <c r="G41" s="204"/>
      <c r="H41" s="204"/>
      <c r="I41" s="204"/>
      <c r="J41" s="204"/>
      <c r="K41" s="108">
        <f>C28</f>
        <v>8.5299999999999994</v>
      </c>
      <c r="L41" s="108">
        <f>D28</f>
        <v>8.01</v>
      </c>
      <c r="M41" s="108">
        <f>E28</f>
        <v>6.94</v>
      </c>
      <c r="N41" s="108">
        <f>F28</f>
        <v>8.5299999999999994</v>
      </c>
      <c r="Q41" s="109">
        <v>44805</v>
      </c>
      <c r="R41" s="108">
        <f t="shared" si="7"/>
        <v>8.5299999999999994</v>
      </c>
      <c r="S41" s="108">
        <f t="shared" si="8"/>
        <v>8.5299999999999994</v>
      </c>
      <c r="T41" s="108">
        <f t="shared" si="9"/>
        <v>6.94</v>
      </c>
      <c r="U41" s="108">
        <f t="shared" si="10"/>
        <v>8.5299999999999994</v>
      </c>
    </row>
    <row r="42" spans="1:21" x14ac:dyDescent="0.35">
      <c r="A42" s="106"/>
      <c r="B42" s="204"/>
      <c r="C42" s="1"/>
      <c r="D42" s="204"/>
      <c r="E42" s="204"/>
      <c r="F42" s="204"/>
      <c r="G42" s="204"/>
      <c r="H42" s="204"/>
      <c r="I42" s="204"/>
      <c r="J42" s="204"/>
    </row>
    <row r="43" spans="1:21" x14ac:dyDescent="0.35">
      <c r="A43" s="106"/>
      <c r="B43" s="204"/>
      <c r="C43" s="1"/>
      <c r="D43" s="204"/>
      <c r="E43" s="204"/>
      <c r="F43" s="204"/>
      <c r="G43" s="204"/>
      <c r="H43" s="204"/>
      <c r="I43" s="204"/>
      <c r="J43" s="204"/>
    </row>
    <row r="44" spans="1:21" x14ac:dyDescent="0.35">
      <c r="A44" s="106"/>
      <c r="B44" s="204"/>
      <c r="C44" s="1"/>
      <c r="D44" s="204"/>
      <c r="E44" s="204"/>
      <c r="F44" s="204"/>
      <c r="G44" s="204"/>
      <c r="H44" s="204"/>
      <c r="I44" s="204"/>
      <c r="J44" s="204"/>
    </row>
    <row r="45" spans="1:21" x14ac:dyDescent="0.35">
      <c r="A45" s="106"/>
      <c r="B45" s="204"/>
      <c r="C45" s="1"/>
      <c r="D45" s="204"/>
      <c r="E45" s="204"/>
      <c r="F45" s="204"/>
      <c r="G45" s="204"/>
      <c r="H45" s="204"/>
      <c r="I45" s="204"/>
      <c r="J45" s="204"/>
    </row>
    <row r="46" spans="1:21" x14ac:dyDescent="0.35">
      <c r="A46" s="106"/>
      <c r="B46" s="204"/>
      <c r="C46" s="1"/>
      <c r="D46" s="204"/>
      <c r="E46" s="204"/>
      <c r="F46" s="204"/>
      <c r="G46" s="204"/>
      <c r="H46" s="204"/>
      <c r="I46" s="204"/>
      <c r="J46" s="204"/>
    </row>
    <row r="47" spans="1:21" x14ac:dyDescent="0.35">
      <c r="A47" s="106"/>
      <c r="B47" s="204"/>
    </row>
    <row r="48" spans="1:21" x14ac:dyDescent="0.35">
      <c r="A48" s="106"/>
      <c r="B48" s="204"/>
    </row>
    <row r="49" spans="1:3" x14ac:dyDescent="0.35">
      <c r="A49" s="106"/>
      <c r="B49" s="204"/>
    </row>
    <row r="50" spans="1:3" x14ac:dyDescent="0.35">
      <c r="A50" s="106"/>
      <c r="B50" s="204"/>
    </row>
    <row r="51" spans="1:3" x14ac:dyDescent="0.35">
      <c r="A51" s="106"/>
      <c r="B51" s="204"/>
    </row>
    <row r="52" spans="1:3" x14ac:dyDescent="0.35">
      <c r="A52" s="106"/>
      <c r="B52" s="204"/>
    </row>
    <row r="53" spans="1:3" x14ac:dyDescent="0.35">
      <c r="A53" s="106"/>
      <c r="B53" s="204"/>
    </row>
    <row r="54" spans="1:3" x14ac:dyDescent="0.35">
      <c r="A54" s="106"/>
      <c r="B54" s="204"/>
    </row>
    <row r="55" spans="1:3" x14ac:dyDescent="0.35">
      <c r="A55" s="106"/>
      <c r="B55" s="204"/>
    </row>
    <row r="56" spans="1:3" x14ac:dyDescent="0.35">
      <c r="A56" s="106"/>
      <c r="B56" s="204"/>
    </row>
    <row r="57" spans="1:3" x14ac:dyDescent="0.35">
      <c r="A57" s="106"/>
      <c r="B57" s="204"/>
    </row>
    <row r="58" spans="1:3" x14ac:dyDescent="0.35">
      <c r="A58" s="106"/>
      <c r="B58" s="204"/>
    </row>
    <row r="59" spans="1:3" x14ac:dyDescent="0.35">
      <c r="A59" s="106"/>
      <c r="B59" s="392" t="s">
        <v>16</v>
      </c>
      <c r="C59" s="392"/>
    </row>
    <row r="60" spans="1:3" x14ac:dyDescent="0.35">
      <c r="A60" s="106"/>
      <c r="B60" s="206">
        <v>2021</v>
      </c>
      <c r="C60" s="184">
        <f>3.46*B60-6987.4</f>
        <v>5.2600000000002183</v>
      </c>
    </row>
    <row r="61" spans="1:3" x14ac:dyDescent="0.35">
      <c r="A61" s="106"/>
      <c r="B61" s="206">
        <v>2022</v>
      </c>
      <c r="C61" s="184">
        <f t="shared" ref="C61:C66" si="11">3.46*B61-6987.4</f>
        <v>8.7200000000002547</v>
      </c>
    </row>
    <row r="62" spans="1:3" x14ac:dyDescent="0.35">
      <c r="A62" s="106"/>
      <c r="B62" s="206">
        <v>2023</v>
      </c>
      <c r="C62" s="184">
        <f t="shared" si="11"/>
        <v>12.180000000000291</v>
      </c>
    </row>
    <row r="63" spans="1:3" x14ac:dyDescent="0.35">
      <c r="A63" s="106" t="s">
        <v>17</v>
      </c>
      <c r="B63" s="206">
        <v>2024</v>
      </c>
      <c r="C63" s="184">
        <f t="shared" si="11"/>
        <v>15.640000000000327</v>
      </c>
    </row>
    <row r="64" spans="1:3" x14ac:dyDescent="0.35">
      <c r="A64" s="106"/>
      <c r="B64" s="206">
        <v>2025</v>
      </c>
      <c r="C64" s="184">
        <f t="shared" si="11"/>
        <v>19.100000000000364</v>
      </c>
    </row>
    <row r="65" spans="1:3" x14ac:dyDescent="0.35">
      <c r="A65" s="106"/>
      <c r="B65" s="206">
        <v>2026</v>
      </c>
      <c r="C65" s="184">
        <f t="shared" si="11"/>
        <v>22.5600000000004</v>
      </c>
    </row>
    <row r="66" spans="1:3" x14ac:dyDescent="0.35">
      <c r="A66" s="106"/>
      <c r="B66" s="206">
        <v>2027</v>
      </c>
      <c r="C66" s="184">
        <f t="shared" si="11"/>
        <v>26.020000000000437</v>
      </c>
    </row>
    <row r="67" spans="1:3" x14ac:dyDescent="0.35">
      <c r="A67" s="106"/>
      <c r="B67" s="204"/>
    </row>
    <row r="68" spans="1:3" x14ac:dyDescent="0.35">
      <c r="A68" s="106"/>
      <c r="B68" t="s">
        <v>18</v>
      </c>
      <c r="C68">
        <f>AVERAGE(C60:C66)</f>
        <v>15.640000000000327</v>
      </c>
    </row>
    <row r="69" spans="1:3" x14ac:dyDescent="0.35">
      <c r="A69" s="106"/>
      <c r="B69" s="204"/>
    </row>
    <row r="70" spans="1:3" x14ac:dyDescent="0.35">
      <c r="A70" s="106"/>
      <c r="B70" s="204"/>
    </row>
    <row r="71" spans="1:3" x14ac:dyDescent="0.35">
      <c r="A71" s="106"/>
      <c r="B71" s="204"/>
    </row>
    <row r="72" spans="1:3" x14ac:dyDescent="0.35">
      <c r="A72" s="106"/>
      <c r="B72" s="204"/>
    </row>
    <row r="73" spans="1:3" x14ac:dyDescent="0.35">
      <c r="A73" s="106"/>
      <c r="B73" s="204"/>
    </row>
    <row r="74" spans="1:3" x14ac:dyDescent="0.35">
      <c r="A74" s="106"/>
      <c r="B74" s="204"/>
    </row>
    <row r="75" spans="1:3" x14ac:dyDescent="0.35">
      <c r="A75" s="106"/>
      <c r="B75" s="204"/>
    </row>
    <row r="76" spans="1:3" x14ac:dyDescent="0.35">
      <c r="A76" s="106"/>
      <c r="B76" s="204"/>
    </row>
    <row r="77" spans="1:3" ht="30.75" customHeight="1" x14ac:dyDescent="0.35">
      <c r="A77" s="390" t="s">
        <v>19</v>
      </c>
      <c r="B77" s="391"/>
    </row>
    <row r="78" spans="1:3" x14ac:dyDescent="0.35">
      <c r="A78" s="12">
        <v>2016</v>
      </c>
      <c r="B78" s="75">
        <v>6.7699999999999996E-2</v>
      </c>
    </row>
    <row r="79" spans="1:3" x14ac:dyDescent="0.35">
      <c r="A79" s="12">
        <v>2017</v>
      </c>
      <c r="B79" s="75">
        <v>5.7500000000000002E-2</v>
      </c>
    </row>
    <row r="80" spans="1:3" x14ac:dyDescent="0.35">
      <c r="A80" s="12">
        <v>2018</v>
      </c>
      <c r="B80" s="75">
        <v>4.0899999999999999E-2</v>
      </c>
    </row>
    <row r="81" spans="1:22" x14ac:dyDescent="0.35">
      <c r="A81" s="12">
        <v>2019</v>
      </c>
      <c r="B81" s="75">
        <v>3.1800000000000002E-2</v>
      </c>
    </row>
    <row r="82" spans="1:22" x14ac:dyDescent="0.35">
      <c r="A82" s="12">
        <v>2020</v>
      </c>
      <c r="B82" s="75">
        <v>3.7999999999999999E-2</v>
      </c>
      <c r="K82" s="204"/>
      <c r="L82" s="204"/>
      <c r="M82" s="204"/>
      <c r="N82" s="204"/>
      <c r="O82" s="204"/>
      <c r="P82" s="204"/>
      <c r="Q82" s="204"/>
      <c r="R82" s="204"/>
      <c r="S82" s="204"/>
      <c r="T82" s="204"/>
      <c r="U82" s="204"/>
      <c r="V82" s="204"/>
    </row>
    <row r="83" spans="1:22" x14ac:dyDescent="0.35">
      <c r="A83" s="12">
        <v>2021</v>
      </c>
      <c r="B83" s="75">
        <v>1.61E-2</v>
      </c>
    </row>
    <row r="84" spans="1:22" x14ac:dyDescent="0.35">
      <c r="A84" s="12">
        <v>2022</v>
      </c>
      <c r="B84" s="75">
        <v>5.62E-2</v>
      </c>
    </row>
    <row r="85" spans="1:22" x14ac:dyDescent="0.35">
      <c r="A85" s="391" t="s">
        <v>20</v>
      </c>
      <c r="B85" s="391"/>
    </row>
    <row r="86" spans="1:22" x14ac:dyDescent="0.35">
      <c r="A86" s="121">
        <v>2022</v>
      </c>
      <c r="B86" s="185">
        <v>5.62E-2</v>
      </c>
    </row>
    <row r="87" spans="1:22" x14ac:dyDescent="0.35">
      <c r="A87" s="12">
        <v>2023</v>
      </c>
      <c r="B87" s="207">
        <f t="shared" ref="B87:B91" si="12">0.0091*A87-18.354</f>
        <v>5.5300000000002569E-2</v>
      </c>
    </row>
    <row r="88" spans="1:22" x14ac:dyDescent="0.35">
      <c r="A88" s="12">
        <v>2024</v>
      </c>
      <c r="B88" s="207">
        <f t="shared" si="12"/>
        <v>6.4400000000002677E-2</v>
      </c>
    </row>
    <row r="89" spans="1:22" x14ac:dyDescent="0.35">
      <c r="A89" s="12">
        <v>2025</v>
      </c>
      <c r="B89" s="207">
        <f t="shared" si="12"/>
        <v>7.3500000000002785E-2</v>
      </c>
    </row>
    <row r="90" spans="1:22" x14ac:dyDescent="0.35">
      <c r="A90" s="12">
        <v>2026</v>
      </c>
      <c r="B90" s="207">
        <f t="shared" si="12"/>
        <v>8.2600000000002893E-2</v>
      </c>
    </row>
    <row r="91" spans="1:22" x14ac:dyDescent="0.35">
      <c r="A91" s="12">
        <v>2027</v>
      </c>
      <c r="B91" s="207">
        <f t="shared" si="12"/>
        <v>9.1700000000003001E-2</v>
      </c>
    </row>
    <row r="92" spans="1:22" x14ac:dyDescent="0.35">
      <c r="A92" s="1"/>
      <c r="B92" s="204"/>
    </row>
    <row r="93" spans="1:22" x14ac:dyDescent="0.35">
      <c r="A93" s="1"/>
      <c r="B93" s="204"/>
    </row>
    <row r="94" spans="1:22" x14ac:dyDescent="0.35">
      <c r="A94" s="1"/>
      <c r="B94" s="204"/>
    </row>
    <row r="95" spans="1:22" x14ac:dyDescent="0.35">
      <c r="A95" s="1"/>
      <c r="B95" s="1"/>
    </row>
  </sheetData>
  <mergeCells count="11">
    <mergeCell ref="D1:E1"/>
    <mergeCell ref="A77:B77"/>
    <mergeCell ref="A85:B85"/>
    <mergeCell ref="B59:C59"/>
    <mergeCell ref="D9:E9"/>
    <mergeCell ref="Q31:U31"/>
    <mergeCell ref="K32:N32"/>
    <mergeCell ref="A31:E31"/>
    <mergeCell ref="B19:N19"/>
    <mergeCell ref="A22:A28"/>
    <mergeCell ref="C20:N20"/>
  </mergeCells>
  <phoneticPr fontId="7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5E2B7-009D-4DB4-B198-176A49DFF96D}">
  <dimension ref="A1:X66"/>
  <sheetViews>
    <sheetView zoomScaleNormal="100" workbookViewId="0">
      <selection activeCell="N8" sqref="N8"/>
    </sheetView>
  </sheetViews>
  <sheetFormatPr baseColWidth="10" defaultColWidth="11.453125" defaultRowHeight="14.5" x14ac:dyDescent="0.35"/>
  <cols>
    <col min="1" max="1" width="3.453125" style="231" customWidth="1"/>
    <col min="2" max="2" width="7.1796875" style="230" bestFit="1" customWidth="1"/>
    <col min="3" max="3" width="13" style="230" bestFit="1" customWidth="1"/>
    <col min="4" max="6" width="13" style="230" customWidth="1"/>
    <col min="7" max="7" width="13" style="340" bestFit="1" customWidth="1"/>
    <col min="8" max="8" width="12.7265625" style="340" bestFit="1" customWidth="1"/>
    <col min="9" max="9" width="8.54296875" style="340" bestFit="1" customWidth="1"/>
    <col min="10" max="10" width="12.7265625" style="340" bestFit="1" customWidth="1"/>
    <col min="11" max="11" width="13" style="230" customWidth="1"/>
    <col min="12" max="12" width="13" style="340" customWidth="1"/>
    <col min="13" max="13" width="13" style="230" customWidth="1"/>
    <col min="14" max="14" width="14.453125" style="340" bestFit="1" customWidth="1"/>
    <col min="15" max="15" width="13" style="340" customWidth="1"/>
    <col min="16" max="16" width="13" style="230" customWidth="1"/>
    <col min="17" max="17" width="13" style="230" bestFit="1" customWidth="1"/>
    <col min="18" max="18" width="13" bestFit="1" customWidth="1"/>
    <col min="19" max="19" width="13.1796875" customWidth="1"/>
    <col min="20" max="20" width="13" bestFit="1" customWidth="1"/>
    <col min="21" max="21" width="13" customWidth="1"/>
    <col min="22" max="22" width="14" bestFit="1" customWidth="1"/>
    <col min="24" max="24" width="14" bestFit="1" customWidth="1"/>
  </cols>
  <sheetData>
    <row r="1" spans="1:24" s="18" customFormat="1" ht="95.5" thickBot="1" x14ac:dyDescent="0.4">
      <c r="A1" s="299"/>
      <c r="B1" s="300"/>
      <c r="C1" s="301" t="s">
        <v>381</v>
      </c>
      <c r="D1" s="301" t="s">
        <v>382</v>
      </c>
      <c r="E1" s="301" t="s">
        <v>383</v>
      </c>
      <c r="F1" s="302"/>
      <c r="G1" s="303" t="s">
        <v>384</v>
      </c>
      <c r="H1" s="304" t="s">
        <v>385</v>
      </c>
      <c r="I1" s="304" t="s">
        <v>386</v>
      </c>
      <c r="J1" s="304" t="s">
        <v>387</v>
      </c>
      <c r="K1" s="305" t="s">
        <v>388</v>
      </c>
      <c r="L1" s="306" t="s">
        <v>389</v>
      </c>
      <c r="M1" s="307" t="s">
        <v>390</v>
      </c>
      <c r="N1" s="306" t="s">
        <v>391</v>
      </c>
      <c r="O1" s="308"/>
      <c r="P1" s="309" t="s">
        <v>392</v>
      </c>
      <c r="Q1" s="302" t="s">
        <v>393</v>
      </c>
      <c r="R1" s="174"/>
      <c r="S1" s="112"/>
      <c r="T1" s="112"/>
      <c r="U1" s="112"/>
      <c r="V1" s="172"/>
    </row>
    <row r="2" spans="1:24" s="18" customFormat="1" ht="14" x14ac:dyDescent="0.3">
      <c r="A2" s="310"/>
      <c r="B2" s="311" t="s">
        <v>942</v>
      </c>
      <c r="C2" s="312">
        <v>0</v>
      </c>
      <c r="D2" s="312">
        <v>0</v>
      </c>
      <c r="E2" s="312">
        <v>0</v>
      </c>
      <c r="F2" s="313">
        <v>0</v>
      </c>
      <c r="G2" s="314">
        <v>0</v>
      </c>
      <c r="H2" s="314">
        <v>0</v>
      </c>
      <c r="I2" s="314">
        <v>0</v>
      </c>
      <c r="J2" s="314">
        <v>0</v>
      </c>
      <c r="K2" s="315">
        <v>0</v>
      </c>
      <c r="L2" s="316">
        <v>0</v>
      </c>
      <c r="M2" s="317">
        <v>0</v>
      </c>
      <c r="N2" s="318">
        <f>Q3</f>
        <v>50078958.096188962</v>
      </c>
      <c r="O2" s="319"/>
      <c r="P2" s="320"/>
      <c r="Q2" s="321"/>
      <c r="R2" s="174"/>
      <c r="S2" s="112"/>
      <c r="T2" s="112"/>
      <c r="U2" s="112"/>
      <c r="V2" s="172"/>
    </row>
    <row r="3" spans="1:24" ht="15" thickBot="1" x14ac:dyDescent="0.4">
      <c r="A3" s="322"/>
      <c r="B3" s="323" t="s">
        <v>246</v>
      </c>
      <c r="C3" s="324">
        <f>ProyeccionEstadoVentas!M5</f>
        <v>0</v>
      </c>
      <c r="D3" s="324">
        <f>'Estado.Gen.Costos.Gastos'!Y4</f>
        <v>21330456.995073434</v>
      </c>
      <c r="E3" s="324">
        <f>'Estado.Gen.Costos.Gastos'!Z4</f>
        <v>6433716.3284067689</v>
      </c>
      <c r="F3" s="324">
        <f>SUM(D3:E3)</f>
        <v>27764173.323480204</v>
      </c>
      <c r="G3" s="325">
        <v>0</v>
      </c>
      <c r="H3" s="325">
        <v>0</v>
      </c>
      <c r="I3" s="325">
        <v>0</v>
      </c>
      <c r="J3" s="325">
        <v>0</v>
      </c>
      <c r="K3" s="325">
        <v>0</v>
      </c>
      <c r="L3" s="325">
        <v>0</v>
      </c>
      <c r="M3" s="325">
        <v>0</v>
      </c>
      <c r="N3" s="326">
        <f>-F3</f>
        <v>-27764173.323480204</v>
      </c>
      <c r="O3" s="327"/>
      <c r="P3" s="328">
        <v>0</v>
      </c>
      <c r="Q3" s="329">
        <f>(F3+F4+F5)+3000000</f>
        <v>50078958.096188962</v>
      </c>
      <c r="R3" s="171"/>
      <c r="S3" s="2"/>
      <c r="T3" s="2"/>
      <c r="U3" s="2"/>
      <c r="V3" s="171"/>
    </row>
    <row r="4" spans="1:24" x14ac:dyDescent="0.35">
      <c r="A4" s="425">
        <v>1</v>
      </c>
      <c r="B4" s="311" t="s">
        <v>394</v>
      </c>
      <c r="C4" s="330">
        <f>ProyeccionEstadoVentas!M6</f>
        <v>0</v>
      </c>
      <c r="D4" s="330">
        <f>'Estado.Gen.Costos.Gastos'!Y5</f>
        <v>6294397.7590280687</v>
      </c>
      <c r="E4" s="330">
        <f>'Estado.Gen.Costos.Gastos'!Z5</f>
        <v>3362994.627326312</v>
      </c>
      <c r="F4" s="330">
        <f t="shared" ref="F4:F6" si="0">SUM(D4:E4)</f>
        <v>9657392.3863543812</v>
      </c>
      <c r="G4" s="331">
        <f>C4-D4</f>
        <v>-6294397.7590280687</v>
      </c>
      <c r="H4" s="331">
        <f>G4-E4</f>
        <v>-9657392.3863543812</v>
      </c>
      <c r="I4" s="331">
        <v>0</v>
      </c>
      <c r="J4" s="331">
        <f>H4-I4</f>
        <v>-9657392.3863543812</v>
      </c>
      <c r="K4" s="332">
        <f>C4*(SUM(Distribución.Gastos!$A$72:$A$75))</f>
        <v>0</v>
      </c>
      <c r="L4" s="331">
        <f>J4-K4</f>
        <v>-9657392.3863543812</v>
      </c>
      <c r="M4" s="332">
        <f>'Estado.Gen.Costos.Gastos'!$I$12+'Estado.Gen.Costos.Gastos'!$I$20+'Estado.Gen.Costos.Gastos'!$I$38</f>
        <v>36234.765973755231</v>
      </c>
      <c r="N4" s="333">
        <f>-F4</f>
        <v>-9657392.3863543812</v>
      </c>
      <c r="O4" s="327"/>
      <c r="P4" s="328">
        <f>Q3-F3</f>
        <v>22314784.772708759</v>
      </c>
      <c r="Q4" s="329">
        <v>0</v>
      </c>
      <c r="R4" s="171"/>
      <c r="S4" s="2"/>
      <c r="T4" s="2">
        <f>SUM(L4:L15)</f>
        <v>13903599.405683242</v>
      </c>
      <c r="U4" s="2"/>
      <c r="V4" s="171"/>
      <c r="W4" s="82"/>
      <c r="X4" s="8"/>
    </row>
    <row r="5" spans="1:24" x14ac:dyDescent="0.35">
      <c r="A5" s="426"/>
      <c r="B5" s="230" t="s">
        <v>395</v>
      </c>
      <c r="C5" s="328">
        <f>ProyeccionEstadoVentas!M7</f>
        <v>0</v>
      </c>
      <c r="D5" s="328">
        <f>'Estado.Gen.Costos.Gastos'!Y6</f>
        <v>6294397.7590280687</v>
      </c>
      <c r="E5" s="328">
        <f>'Estado.Gen.Costos.Gastos'!Z6</f>
        <v>3362994.627326312</v>
      </c>
      <c r="F5" s="328">
        <f t="shared" si="0"/>
        <v>9657392.3863543812</v>
      </c>
      <c r="G5" s="327">
        <f>C5-D5</f>
        <v>-6294397.7590280687</v>
      </c>
      <c r="H5" s="327">
        <f>G5-E5</f>
        <v>-9657392.3863543812</v>
      </c>
      <c r="I5" s="327">
        <v>0</v>
      </c>
      <c r="J5" s="327">
        <f>H5-I5</f>
        <v>-9657392.3863543812</v>
      </c>
      <c r="K5" s="329">
        <f>C5*(SUM(Distribución.Gastos!$A$72:$A$75))</f>
        <v>0</v>
      </c>
      <c r="L5" s="327">
        <f>J5-K5</f>
        <v>-9657392.3863543812</v>
      </c>
      <c r="M5" s="329">
        <f>'Estado.Gen.Costos.Gastos'!$I$12+'Estado.Gen.Costos.Gastos'!$I$20+'Estado.Gen.Costos.Gastos'!$I$38</f>
        <v>36234.765973755231</v>
      </c>
      <c r="N5" s="334">
        <f>-F5</f>
        <v>-9657392.3863543812</v>
      </c>
      <c r="O5" s="327" t="s">
        <v>40</v>
      </c>
      <c r="P5" s="328">
        <f>P4-F4</f>
        <v>12657392.386354377</v>
      </c>
      <c r="Q5" s="329">
        <v>0</v>
      </c>
      <c r="R5" s="171"/>
      <c r="S5" s="2"/>
      <c r="T5" s="2"/>
      <c r="U5" s="2"/>
      <c r="V5" s="171"/>
      <c r="W5" s="82"/>
      <c r="X5" s="8">
        <f>SUM(U:U)</f>
        <v>0</v>
      </c>
    </row>
    <row r="6" spans="1:24" x14ac:dyDescent="0.35">
      <c r="A6" s="426"/>
      <c r="B6" s="230" t="s">
        <v>396</v>
      </c>
      <c r="C6" s="328">
        <f>ProyeccionEstadoVentas!M8</f>
        <v>32190486.746128447</v>
      </c>
      <c r="D6" s="328">
        <f>'Estado.Gen.Costos.Gastos'!Y7</f>
        <v>18253754.298640527</v>
      </c>
      <c r="E6" s="328">
        <f>'Estado.Gen.Costos.Gastos'!Z7</f>
        <v>3362994.627326312</v>
      </c>
      <c r="F6" s="328">
        <f t="shared" si="0"/>
        <v>21616748.92596684</v>
      </c>
      <c r="G6" s="327">
        <f t="shared" ref="G6:G34" si="1">C6-D6</f>
        <v>13936732.447487921</v>
      </c>
      <c r="H6" s="327">
        <f t="shared" ref="H6:H63" si="2">G6-E6</f>
        <v>10573737.820161609</v>
      </c>
      <c r="I6" s="327">
        <v>0</v>
      </c>
      <c r="J6" s="327">
        <f>H6-I6</f>
        <v>10573737.820161609</v>
      </c>
      <c r="K6" s="329">
        <f>C6*(SUM(Distribución.Gastos!$A$72:$A$75))</f>
        <v>13231577.672128636</v>
      </c>
      <c r="L6" s="327">
        <f t="shared" ref="L6:L34" si="3">J6-K6</f>
        <v>-2657839.8519670274</v>
      </c>
      <c r="M6" s="329">
        <f>'Estado.Gen.Costos.Gastos'!$I$12+'Estado.Gen.Costos.Gastos'!$I$20+'Estado.Gen.Costos.Gastos'!$I$38</f>
        <v>36234.765973755231</v>
      </c>
      <c r="N6" s="335">
        <f>L6+M6</f>
        <v>-2621605.0859932723</v>
      </c>
      <c r="O6" s="327"/>
      <c r="P6" s="328">
        <v>0</v>
      </c>
      <c r="Q6" s="329">
        <v>0</v>
      </c>
      <c r="R6" s="171"/>
      <c r="S6" s="2"/>
      <c r="T6" s="2"/>
      <c r="U6" s="2"/>
      <c r="V6" s="171"/>
      <c r="W6" s="173"/>
      <c r="X6" s="139"/>
    </row>
    <row r="7" spans="1:24" x14ac:dyDescent="0.35">
      <c r="A7" s="426"/>
      <c r="B7" s="230" t="s">
        <v>397</v>
      </c>
      <c r="C7" s="328">
        <f>ProyeccionEstadoVentas!M9</f>
        <v>32190486.746128447</v>
      </c>
      <c r="D7" s="328">
        <f>'Estado.Gen.Costos.Gastos'!Y8</f>
        <v>6294397.7590280687</v>
      </c>
      <c r="E7" s="328">
        <f>'Estado.Gen.Costos.Gastos'!Z8</f>
        <v>3362994.627326312</v>
      </c>
      <c r="F7" s="328">
        <f t="shared" ref="F7:F63" si="4">SUM(D7:E7)</f>
        <v>9657392.3863543812</v>
      </c>
      <c r="G7" s="327">
        <f t="shared" si="1"/>
        <v>25896088.987100378</v>
      </c>
      <c r="H7" s="327">
        <f t="shared" si="2"/>
        <v>22533094.359774064</v>
      </c>
      <c r="I7" s="327">
        <v>0</v>
      </c>
      <c r="J7" s="327">
        <f t="shared" ref="J7:J63" si="5">H7-I7</f>
        <v>22533094.359774064</v>
      </c>
      <c r="K7" s="329">
        <f>C7*(SUM(Distribución.Gastos!$A$72:$A$75))</f>
        <v>13231577.672128636</v>
      </c>
      <c r="L7" s="327">
        <f t="shared" si="3"/>
        <v>9301516.6876454279</v>
      </c>
      <c r="M7" s="329">
        <f>'Estado.Gen.Costos.Gastos'!$I$12+'Estado.Gen.Costos.Gastos'!$I$20+'Estado.Gen.Costos.Gastos'!$I$38</f>
        <v>36234.765973755231</v>
      </c>
      <c r="N7" s="335">
        <f t="shared" ref="N7:N34" si="6">L7+M7</f>
        <v>9337751.453619184</v>
      </c>
      <c r="O7" s="327"/>
      <c r="P7" s="336">
        <v>0</v>
      </c>
      <c r="Q7" s="329">
        <v>0</v>
      </c>
      <c r="R7" s="171"/>
      <c r="S7" s="2"/>
      <c r="T7" s="2"/>
      <c r="U7" s="2"/>
      <c r="V7" s="171"/>
      <c r="W7" s="82"/>
      <c r="X7" s="8"/>
    </row>
    <row r="8" spans="1:24" x14ac:dyDescent="0.35">
      <c r="A8" s="426"/>
      <c r="B8" s="230" t="s">
        <v>398</v>
      </c>
      <c r="C8" s="328">
        <f>ProyeccionEstadoVentas!M10</f>
        <v>32190486.746128447</v>
      </c>
      <c r="D8" s="328">
        <f>'Estado.Gen.Costos.Gastos'!Y9</f>
        <v>18253754.298640527</v>
      </c>
      <c r="E8" s="328">
        <f>'Estado.Gen.Costos.Gastos'!Z9</f>
        <v>3362994.627326312</v>
      </c>
      <c r="F8" s="328">
        <f t="shared" si="4"/>
        <v>21616748.92596684</v>
      </c>
      <c r="G8" s="327">
        <f t="shared" si="1"/>
        <v>13936732.447487921</v>
      </c>
      <c r="H8" s="327">
        <f t="shared" si="2"/>
        <v>10573737.820161609</v>
      </c>
      <c r="I8" s="327">
        <v>0</v>
      </c>
      <c r="J8" s="327">
        <f t="shared" si="5"/>
        <v>10573737.820161609</v>
      </c>
      <c r="K8" s="329">
        <f>C8*(SUM(Distribución.Gastos!$A$72:$A$75))</f>
        <v>13231577.672128636</v>
      </c>
      <c r="L8" s="327">
        <f t="shared" si="3"/>
        <v>-2657839.8519670274</v>
      </c>
      <c r="M8" s="329">
        <f>'Estado.Gen.Costos.Gastos'!$I$12+'Estado.Gen.Costos.Gastos'!$I$20+'Estado.Gen.Costos.Gastos'!$I$38</f>
        <v>36234.765973755231</v>
      </c>
      <c r="N8" s="335">
        <f t="shared" si="6"/>
        <v>-2621605.0859932723</v>
      </c>
      <c r="O8" s="327"/>
      <c r="P8" s="336">
        <v>0</v>
      </c>
      <c r="Q8" s="329">
        <v>0</v>
      </c>
      <c r="R8" s="171"/>
      <c r="S8" s="2"/>
      <c r="T8" s="2"/>
      <c r="U8" s="2"/>
      <c r="V8" s="171"/>
      <c r="W8" s="173"/>
      <c r="X8" s="139"/>
    </row>
    <row r="9" spans="1:24" x14ac:dyDescent="0.35">
      <c r="A9" s="426"/>
      <c r="B9" s="230" t="s">
        <v>399</v>
      </c>
      <c r="C9" s="328">
        <f>ProyeccionEstadoVentas!M11</f>
        <v>32190486.746128447</v>
      </c>
      <c r="D9" s="328">
        <f>'Estado.Gen.Costos.Gastos'!Y10</f>
        <v>6294397.7590280687</v>
      </c>
      <c r="E9" s="328">
        <f>'Estado.Gen.Costos.Gastos'!Z10</f>
        <v>3362994.627326312</v>
      </c>
      <c r="F9" s="328">
        <f t="shared" si="4"/>
        <v>9657392.3863543812</v>
      </c>
      <c r="G9" s="327">
        <f t="shared" si="1"/>
        <v>25896088.987100378</v>
      </c>
      <c r="H9" s="327">
        <f t="shared" si="2"/>
        <v>22533094.359774064</v>
      </c>
      <c r="I9" s="327">
        <v>0</v>
      </c>
      <c r="J9" s="327">
        <f t="shared" si="5"/>
        <v>22533094.359774064</v>
      </c>
      <c r="K9" s="329">
        <f>C9*(SUM(Distribución.Gastos!$A$72:$A$75))</f>
        <v>13231577.672128636</v>
      </c>
      <c r="L9" s="327">
        <f t="shared" si="3"/>
        <v>9301516.6876454279</v>
      </c>
      <c r="M9" s="329">
        <f>'Estado.Gen.Costos.Gastos'!$I$12+'Estado.Gen.Costos.Gastos'!$I$20+'Estado.Gen.Costos.Gastos'!$I$38</f>
        <v>36234.765973755231</v>
      </c>
      <c r="N9" s="335">
        <f t="shared" si="6"/>
        <v>9337751.453619184</v>
      </c>
      <c r="O9" s="327"/>
      <c r="P9" s="336">
        <v>0</v>
      </c>
      <c r="Q9" s="329">
        <v>0</v>
      </c>
      <c r="R9" s="171"/>
      <c r="S9" s="2"/>
      <c r="T9" s="2"/>
      <c r="U9" s="2"/>
      <c r="V9" s="171"/>
      <c r="W9" s="173"/>
      <c r="X9" s="139"/>
    </row>
    <row r="10" spans="1:24" x14ac:dyDescent="0.35">
      <c r="A10" s="426"/>
      <c r="B10" s="230" t="s">
        <v>400</v>
      </c>
      <c r="C10" s="328">
        <f>ProyeccionEstadoVentas!M12</f>
        <v>32190486.746128447</v>
      </c>
      <c r="D10" s="328">
        <f>'Estado.Gen.Costos.Gastos'!Y11</f>
        <v>18253754.298640527</v>
      </c>
      <c r="E10" s="328">
        <f>'Estado.Gen.Costos.Gastos'!Z11</f>
        <v>3362994.627326312</v>
      </c>
      <c r="F10" s="328">
        <f t="shared" si="4"/>
        <v>21616748.92596684</v>
      </c>
      <c r="G10" s="327">
        <f t="shared" si="1"/>
        <v>13936732.447487921</v>
      </c>
      <c r="H10" s="327">
        <f t="shared" si="2"/>
        <v>10573737.820161609</v>
      </c>
      <c r="I10" s="327">
        <v>0</v>
      </c>
      <c r="J10" s="327">
        <f t="shared" si="5"/>
        <v>10573737.820161609</v>
      </c>
      <c r="K10" s="329">
        <f>C10*(SUM(Distribución.Gastos!$A$72:$A$75))</f>
        <v>13231577.672128636</v>
      </c>
      <c r="L10" s="327">
        <f t="shared" si="3"/>
        <v>-2657839.8519670274</v>
      </c>
      <c r="M10" s="329">
        <f>'Estado.Gen.Costos.Gastos'!$I$12+'Estado.Gen.Costos.Gastos'!$I$20+'Estado.Gen.Costos.Gastos'!$I$38</f>
        <v>36234.765973755231</v>
      </c>
      <c r="N10" s="335">
        <f t="shared" si="6"/>
        <v>-2621605.0859932723</v>
      </c>
      <c r="O10" s="327"/>
      <c r="P10" s="336">
        <v>0</v>
      </c>
      <c r="Q10" s="329">
        <v>0</v>
      </c>
      <c r="R10" s="171"/>
      <c r="S10" s="2"/>
      <c r="T10" s="2"/>
      <c r="U10" s="2"/>
      <c r="V10" s="171"/>
      <c r="W10" s="173"/>
      <c r="X10" s="139"/>
    </row>
    <row r="11" spans="1:24" x14ac:dyDescent="0.35">
      <c r="A11" s="426"/>
      <c r="B11" s="230" t="s">
        <v>401</v>
      </c>
      <c r="C11" s="328">
        <f>ProyeccionEstadoVentas!M13</f>
        <v>32190486.746128447</v>
      </c>
      <c r="D11" s="328">
        <f>'Estado.Gen.Costos.Gastos'!Y12</f>
        <v>6294397.7590280687</v>
      </c>
      <c r="E11" s="328">
        <f>'Estado.Gen.Costos.Gastos'!Z12</f>
        <v>3362994.627326312</v>
      </c>
      <c r="F11" s="328">
        <f t="shared" si="4"/>
        <v>9657392.3863543812</v>
      </c>
      <c r="G11" s="327">
        <f t="shared" si="1"/>
        <v>25896088.987100378</v>
      </c>
      <c r="H11" s="327">
        <f t="shared" si="2"/>
        <v>22533094.359774064</v>
      </c>
      <c r="I11" s="327">
        <v>0</v>
      </c>
      <c r="J11" s="327">
        <f t="shared" si="5"/>
        <v>22533094.359774064</v>
      </c>
      <c r="K11" s="329">
        <f>C11*(SUM(Distribución.Gastos!$A$72:$A$75))</f>
        <v>13231577.672128636</v>
      </c>
      <c r="L11" s="327">
        <f t="shared" si="3"/>
        <v>9301516.6876454279</v>
      </c>
      <c r="M11" s="329">
        <f>'Estado.Gen.Costos.Gastos'!$I$12+'Estado.Gen.Costos.Gastos'!$I$20+'Estado.Gen.Costos.Gastos'!$I$38</f>
        <v>36234.765973755231</v>
      </c>
      <c r="N11" s="335">
        <f t="shared" si="6"/>
        <v>9337751.453619184</v>
      </c>
      <c r="O11" s="327"/>
      <c r="P11" s="336">
        <v>0</v>
      </c>
      <c r="Q11" s="329">
        <v>0</v>
      </c>
      <c r="R11" s="171"/>
      <c r="S11" s="2"/>
      <c r="T11" s="2"/>
      <c r="U11" s="2"/>
      <c r="V11" s="171"/>
    </row>
    <row r="12" spans="1:24" x14ac:dyDescent="0.35">
      <c r="A12" s="426"/>
      <c r="B12" s="230" t="s">
        <v>402</v>
      </c>
      <c r="C12" s="328">
        <f>ProyeccionEstadoVentas!M14</f>
        <v>32190486.746128447</v>
      </c>
      <c r="D12" s="328">
        <f>'Estado.Gen.Costos.Gastos'!Y13</f>
        <v>18253754.298640527</v>
      </c>
      <c r="E12" s="328">
        <f>'Estado.Gen.Costos.Gastos'!Z13</f>
        <v>3362994.627326312</v>
      </c>
      <c r="F12" s="328">
        <f t="shared" si="4"/>
        <v>21616748.92596684</v>
      </c>
      <c r="G12" s="327">
        <f t="shared" si="1"/>
        <v>13936732.447487921</v>
      </c>
      <c r="H12" s="327">
        <f t="shared" si="2"/>
        <v>10573737.820161609</v>
      </c>
      <c r="I12" s="327">
        <v>0</v>
      </c>
      <c r="J12" s="327">
        <f t="shared" si="5"/>
        <v>10573737.820161609</v>
      </c>
      <c r="K12" s="329">
        <f>C12*(SUM(Distribución.Gastos!$A$72:$A$75))</f>
        <v>13231577.672128636</v>
      </c>
      <c r="L12" s="327">
        <f t="shared" si="3"/>
        <v>-2657839.8519670274</v>
      </c>
      <c r="M12" s="329">
        <f>'Estado.Gen.Costos.Gastos'!$I$12+'Estado.Gen.Costos.Gastos'!$I$20+'Estado.Gen.Costos.Gastos'!$I$38</f>
        <v>36234.765973755231</v>
      </c>
      <c r="N12" s="335">
        <f t="shared" si="6"/>
        <v>-2621605.0859932723</v>
      </c>
      <c r="O12" s="327"/>
      <c r="P12" s="336">
        <v>0</v>
      </c>
      <c r="Q12" s="329">
        <v>0</v>
      </c>
      <c r="R12" s="171"/>
      <c r="S12" s="2"/>
      <c r="T12" s="2"/>
      <c r="U12" s="2"/>
      <c r="V12" s="171"/>
    </row>
    <row r="13" spans="1:24" x14ac:dyDescent="0.35">
      <c r="A13" s="426"/>
      <c r="B13" s="230" t="s">
        <v>403</v>
      </c>
      <c r="C13" s="328">
        <f>ProyeccionEstadoVentas!M15</f>
        <v>32190486.746128447</v>
      </c>
      <c r="D13" s="328">
        <f>'Estado.Gen.Costos.Gastos'!Y14</f>
        <v>6294397.7590280687</v>
      </c>
      <c r="E13" s="328">
        <f>'Estado.Gen.Costos.Gastos'!Z14</f>
        <v>3362994.627326312</v>
      </c>
      <c r="F13" s="328">
        <f t="shared" si="4"/>
        <v>9657392.3863543812</v>
      </c>
      <c r="G13" s="327">
        <f t="shared" si="1"/>
        <v>25896088.987100378</v>
      </c>
      <c r="H13" s="327">
        <f t="shared" si="2"/>
        <v>22533094.359774064</v>
      </c>
      <c r="I13" s="327">
        <v>0</v>
      </c>
      <c r="J13" s="327">
        <f t="shared" si="5"/>
        <v>22533094.359774064</v>
      </c>
      <c r="K13" s="329">
        <f>C13*(SUM(Distribución.Gastos!$A$72:$A$75))</f>
        <v>13231577.672128636</v>
      </c>
      <c r="L13" s="327">
        <f t="shared" si="3"/>
        <v>9301516.6876454279</v>
      </c>
      <c r="M13" s="329">
        <f>'Estado.Gen.Costos.Gastos'!$I$12+'Estado.Gen.Costos.Gastos'!$I$20+'Estado.Gen.Costos.Gastos'!$I$38</f>
        <v>36234.765973755231</v>
      </c>
      <c r="N13" s="335">
        <f t="shared" si="6"/>
        <v>9337751.453619184</v>
      </c>
      <c r="O13" s="327"/>
      <c r="P13" s="336">
        <v>0</v>
      </c>
      <c r="Q13" s="329">
        <v>0</v>
      </c>
      <c r="R13" s="171"/>
      <c r="S13" s="2"/>
      <c r="T13" s="2"/>
      <c r="U13" s="2"/>
      <c r="V13" s="171"/>
    </row>
    <row r="14" spans="1:24" x14ac:dyDescent="0.35">
      <c r="A14" s="426"/>
      <c r="B14" s="230" t="s">
        <v>404</v>
      </c>
      <c r="C14" s="328">
        <f>ProyeccionEstadoVentas!M16</f>
        <v>32190486.746128447</v>
      </c>
      <c r="D14" s="328">
        <f>'Estado.Gen.Costos.Gastos'!Y15</f>
        <v>18253754.298640527</v>
      </c>
      <c r="E14" s="328">
        <f>'Estado.Gen.Costos.Gastos'!Z15</f>
        <v>3362994.627326312</v>
      </c>
      <c r="F14" s="328">
        <f t="shared" si="4"/>
        <v>21616748.92596684</v>
      </c>
      <c r="G14" s="327">
        <f t="shared" si="1"/>
        <v>13936732.447487921</v>
      </c>
      <c r="H14" s="327">
        <f t="shared" si="2"/>
        <v>10573737.820161609</v>
      </c>
      <c r="I14" s="327">
        <v>0</v>
      </c>
      <c r="J14" s="327">
        <f t="shared" si="5"/>
        <v>10573737.820161609</v>
      </c>
      <c r="K14" s="329">
        <f>C14*(SUM(Distribución.Gastos!$A$72:$A$75))</f>
        <v>13231577.672128636</v>
      </c>
      <c r="L14" s="327">
        <f t="shared" si="3"/>
        <v>-2657839.8519670274</v>
      </c>
      <c r="M14" s="329">
        <f>'Estado.Gen.Costos.Gastos'!$I$12+'Estado.Gen.Costos.Gastos'!$I$20+'Estado.Gen.Costos.Gastos'!$I$38</f>
        <v>36234.765973755231</v>
      </c>
      <c r="N14" s="335">
        <f t="shared" si="6"/>
        <v>-2621605.0859932723</v>
      </c>
      <c r="O14" s="327"/>
      <c r="P14" s="329">
        <v>0</v>
      </c>
      <c r="Q14" s="329">
        <v>0</v>
      </c>
      <c r="R14" s="171"/>
      <c r="S14" s="2"/>
      <c r="T14" s="2"/>
      <c r="U14" s="2"/>
      <c r="V14" s="171"/>
    </row>
    <row r="15" spans="1:24" ht="15" thickBot="1" x14ac:dyDescent="0.4">
      <c r="A15" s="427"/>
      <c r="B15" s="323" t="s">
        <v>405</v>
      </c>
      <c r="C15" s="324">
        <f>ProyeccionEstadoVentas!M17</f>
        <v>32190486.746128447</v>
      </c>
      <c r="D15" s="324">
        <f>'Estado.Gen.Costos.Gastos'!Y16</f>
        <v>6294397.7590280687</v>
      </c>
      <c r="E15" s="324">
        <f>'Estado.Gen.Costos.Gastos'!Z16</f>
        <v>3362994.627326312</v>
      </c>
      <c r="F15" s="324">
        <f t="shared" si="4"/>
        <v>9657392.3863543812</v>
      </c>
      <c r="G15" s="325">
        <f t="shared" si="1"/>
        <v>25896088.987100378</v>
      </c>
      <c r="H15" s="325">
        <f t="shared" si="2"/>
        <v>22533094.359774064</v>
      </c>
      <c r="I15" s="325">
        <v>0</v>
      </c>
      <c r="J15" s="325">
        <f t="shared" si="5"/>
        <v>22533094.359774064</v>
      </c>
      <c r="K15" s="337">
        <f>C15*(SUM(Distribución.Gastos!$A$72:$A$75))</f>
        <v>13231577.672128636</v>
      </c>
      <c r="L15" s="325">
        <f t="shared" si="3"/>
        <v>9301516.6876454279</v>
      </c>
      <c r="M15" s="337">
        <f>'Estado.Gen.Costos.Gastos'!$I$12+'Estado.Gen.Costos.Gastos'!$I$20+'Estado.Gen.Costos.Gastos'!$I$38</f>
        <v>36234.765973755231</v>
      </c>
      <c r="N15" s="338">
        <f t="shared" si="6"/>
        <v>9337751.453619184</v>
      </c>
      <c r="O15" s="327"/>
      <c r="P15" s="329">
        <v>0</v>
      </c>
      <c r="Q15" s="329">
        <v>0</v>
      </c>
      <c r="R15" s="171"/>
      <c r="S15" s="2"/>
      <c r="T15" s="2"/>
      <c r="U15" s="2"/>
      <c r="V15" s="171"/>
    </row>
    <row r="16" spans="1:24" x14ac:dyDescent="0.35">
      <c r="A16" s="425">
        <v>2</v>
      </c>
      <c r="B16" s="311" t="s">
        <v>406</v>
      </c>
      <c r="C16" s="330">
        <f>ProyeccionEstadoVentas!M18</f>
        <v>33183347.185971603</v>
      </c>
      <c r="D16" s="330">
        <f>'Estado.Gen.Costos.Gastos'!Y17</f>
        <v>18816760.091770288</v>
      </c>
      <c r="E16" s="330">
        <f>'Estado.Gen.Costos.Gastos'!Z17</f>
        <v>3466720.4377252162</v>
      </c>
      <c r="F16" s="330">
        <f t="shared" si="4"/>
        <v>22283480.529495504</v>
      </c>
      <c r="G16" s="331">
        <f t="shared" si="1"/>
        <v>14366587.094201315</v>
      </c>
      <c r="H16" s="331">
        <f t="shared" si="2"/>
        <v>10899866.656476099</v>
      </c>
      <c r="I16" s="331">
        <v>0</v>
      </c>
      <c r="J16" s="331">
        <f t="shared" si="5"/>
        <v>10899866.656476099</v>
      </c>
      <c r="K16" s="332">
        <f>C16*(SUM(Distribución.Gastos!$A$72:$A$75))</f>
        <v>13639683.027321767</v>
      </c>
      <c r="L16" s="331">
        <f t="shared" si="3"/>
        <v>-2739816.370845668</v>
      </c>
      <c r="M16" s="332">
        <f>'Estado.Gen.Costos.Gastos'!$J$12+'Estado.Gen.Costos.Gastos'!$J$20+'Estado.Gen.Costos.Gastos'!$J$38</f>
        <v>37352.365280843776</v>
      </c>
      <c r="N16" s="339">
        <f t="shared" si="6"/>
        <v>-2702464.0055648242</v>
      </c>
      <c r="O16" s="327"/>
      <c r="P16" s="329">
        <v>0</v>
      </c>
      <c r="Q16" s="329">
        <v>0</v>
      </c>
      <c r="R16" s="171"/>
      <c r="S16" s="2"/>
      <c r="T16" s="2"/>
      <c r="U16" s="2"/>
      <c r="V16" s="171"/>
    </row>
    <row r="17" spans="1:22" x14ac:dyDescent="0.35">
      <c r="A17" s="426"/>
      <c r="B17" s="230" t="s">
        <v>407</v>
      </c>
      <c r="C17" s="328">
        <f>ProyeccionEstadoVentas!M19</f>
        <v>33183347.185971603</v>
      </c>
      <c r="D17" s="328">
        <f>'Estado.Gen.Costos.Gastos'!Y18</f>
        <v>6488537.6792120337</v>
      </c>
      <c r="E17" s="328">
        <f>'Estado.Gen.Costos.Gastos'!Z18</f>
        <v>3466720.4377252162</v>
      </c>
      <c r="F17" s="328">
        <f t="shared" si="4"/>
        <v>9955258.1169372499</v>
      </c>
      <c r="G17" s="327">
        <f t="shared" si="1"/>
        <v>26694809.506759569</v>
      </c>
      <c r="H17" s="327">
        <f t="shared" si="2"/>
        <v>23228089.069034353</v>
      </c>
      <c r="I17" s="327">
        <v>0</v>
      </c>
      <c r="J17" s="327">
        <f t="shared" si="5"/>
        <v>23228089.069034353</v>
      </c>
      <c r="K17" s="329">
        <f>C17*(SUM(Distribución.Gastos!$A$72:$A$75))</f>
        <v>13639683.027321767</v>
      </c>
      <c r="L17" s="327">
        <f t="shared" si="3"/>
        <v>9588406.0417125858</v>
      </c>
      <c r="M17" s="329">
        <f>'Estado.Gen.Costos.Gastos'!$J$12+'Estado.Gen.Costos.Gastos'!$J$20+'Estado.Gen.Costos.Gastos'!$J$38</f>
        <v>37352.365280843776</v>
      </c>
      <c r="N17" s="335">
        <f t="shared" si="6"/>
        <v>9625758.4069934301</v>
      </c>
      <c r="O17" s="327"/>
      <c r="P17" s="329">
        <v>0</v>
      </c>
      <c r="Q17" s="329">
        <v>0</v>
      </c>
      <c r="R17" s="171"/>
      <c r="S17" s="2"/>
      <c r="T17" s="2"/>
      <c r="U17" s="2"/>
      <c r="V17" s="171"/>
    </row>
    <row r="18" spans="1:22" x14ac:dyDescent="0.35">
      <c r="A18" s="426"/>
      <c r="B18" s="230" t="s">
        <v>408</v>
      </c>
      <c r="C18" s="328">
        <f>ProyeccionEstadoVentas!M20</f>
        <v>33183347.185971603</v>
      </c>
      <c r="D18" s="328">
        <f>'Estado.Gen.Costos.Gastos'!Y19</f>
        <v>18816760.091770288</v>
      </c>
      <c r="E18" s="328">
        <f>'Estado.Gen.Costos.Gastos'!Z19</f>
        <v>3466720.4377252162</v>
      </c>
      <c r="F18" s="328">
        <f t="shared" si="4"/>
        <v>22283480.529495504</v>
      </c>
      <c r="G18" s="327">
        <f t="shared" si="1"/>
        <v>14366587.094201315</v>
      </c>
      <c r="H18" s="327">
        <f t="shared" si="2"/>
        <v>10899866.656476099</v>
      </c>
      <c r="I18" s="327">
        <v>0</v>
      </c>
      <c r="J18" s="327">
        <f t="shared" si="5"/>
        <v>10899866.656476099</v>
      </c>
      <c r="K18" s="329">
        <f>C18*(SUM(Distribución.Gastos!$A$72:$A$75))</f>
        <v>13639683.027321767</v>
      </c>
      <c r="L18" s="327">
        <f t="shared" si="3"/>
        <v>-2739816.370845668</v>
      </c>
      <c r="M18" s="329">
        <f>'Estado.Gen.Costos.Gastos'!$J$12+'Estado.Gen.Costos.Gastos'!$J$20+'Estado.Gen.Costos.Gastos'!$J$38</f>
        <v>37352.365280843776</v>
      </c>
      <c r="N18" s="335">
        <f t="shared" si="6"/>
        <v>-2702464.0055648242</v>
      </c>
      <c r="O18" s="327"/>
      <c r="P18" s="329">
        <v>0</v>
      </c>
      <c r="Q18" s="329">
        <v>0</v>
      </c>
      <c r="R18" s="171"/>
      <c r="S18" s="2"/>
      <c r="T18" s="2"/>
      <c r="U18" s="2"/>
      <c r="V18" s="171"/>
    </row>
    <row r="19" spans="1:22" x14ac:dyDescent="0.35">
      <c r="A19" s="426"/>
      <c r="B19" s="230" t="s">
        <v>409</v>
      </c>
      <c r="C19" s="328">
        <f>ProyeccionEstadoVentas!M21</f>
        <v>33183347.185971603</v>
      </c>
      <c r="D19" s="328">
        <f>'Estado.Gen.Costos.Gastos'!Y20</f>
        <v>6488537.6792120337</v>
      </c>
      <c r="E19" s="328">
        <f>'Estado.Gen.Costos.Gastos'!Z20</f>
        <v>3466720.4377252162</v>
      </c>
      <c r="F19" s="328">
        <f t="shared" si="4"/>
        <v>9955258.1169372499</v>
      </c>
      <c r="G19" s="327">
        <f t="shared" si="1"/>
        <v>26694809.506759569</v>
      </c>
      <c r="H19" s="327">
        <f t="shared" si="2"/>
        <v>23228089.069034353</v>
      </c>
      <c r="I19" s="327">
        <v>0</v>
      </c>
      <c r="J19" s="327">
        <f t="shared" si="5"/>
        <v>23228089.069034353</v>
      </c>
      <c r="K19" s="329">
        <f>C19*(SUM(Distribución.Gastos!$A$72:$A$75))</f>
        <v>13639683.027321767</v>
      </c>
      <c r="L19" s="327">
        <f t="shared" si="3"/>
        <v>9588406.0417125858</v>
      </c>
      <c r="M19" s="329">
        <f>'Estado.Gen.Costos.Gastos'!$J$12+'Estado.Gen.Costos.Gastos'!$J$20+'Estado.Gen.Costos.Gastos'!$J$38</f>
        <v>37352.365280843776</v>
      </c>
      <c r="N19" s="335">
        <f t="shared" si="6"/>
        <v>9625758.4069934301</v>
      </c>
      <c r="O19" s="327"/>
      <c r="P19" s="329">
        <v>0</v>
      </c>
      <c r="Q19" s="329">
        <v>0</v>
      </c>
      <c r="R19" s="171"/>
      <c r="S19" s="2"/>
      <c r="T19" s="2"/>
      <c r="U19" s="2"/>
      <c r="V19" s="171"/>
    </row>
    <row r="20" spans="1:22" x14ac:dyDescent="0.35">
      <c r="A20" s="426"/>
      <c r="B20" s="230" t="s">
        <v>410</v>
      </c>
      <c r="C20" s="328">
        <f>ProyeccionEstadoVentas!M22</f>
        <v>33183347.185971603</v>
      </c>
      <c r="D20" s="328">
        <f>'Estado.Gen.Costos.Gastos'!Y21</f>
        <v>18816760.091770288</v>
      </c>
      <c r="E20" s="328">
        <f>'Estado.Gen.Costos.Gastos'!Z21</f>
        <v>3466720.4377252162</v>
      </c>
      <c r="F20" s="328">
        <f t="shared" si="4"/>
        <v>22283480.529495504</v>
      </c>
      <c r="G20" s="327">
        <f t="shared" si="1"/>
        <v>14366587.094201315</v>
      </c>
      <c r="H20" s="327">
        <f t="shared" si="2"/>
        <v>10899866.656476099</v>
      </c>
      <c r="I20" s="327">
        <v>0</v>
      </c>
      <c r="J20" s="327">
        <f t="shared" si="5"/>
        <v>10899866.656476099</v>
      </c>
      <c r="K20" s="329">
        <f>C20*(SUM(Distribución.Gastos!$A$72:$A$75))</f>
        <v>13639683.027321767</v>
      </c>
      <c r="L20" s="327">
        <f t="shared" si="3"/>
        <v>-2739816.370845668</v>
      </c>
      <c r="M20" s="329">
        <f>'Estado.Gen.Costos.Gastos'!$J$12+'Estado.Gen.Costos.Gastos'!$J$20+'Estado.Gen.Costos.Gastos'!$J$38</f>
        <v>37352.365280843776</v>
      </c>
      <c r="N20" s="335">
        <f t="shared" si="6"/>
        <v>-2702464.0055648242</v>
      </c>
      <c r="O20" s="327"/>
      <c r="P20" s="329">
        <v>0</v>
      </c>
      <c r="Q20" s="329">
        <v>0</v>
      </c>
      <c r="R20" s="171"/>
      <c r="S20" s="2"/>
      <c r="T20" s="2"/>
      <c r="U20" s="2"/>
      <c r="V20" s="171"/>
    </row>
    <row r="21" spans="1:22" x14ac:dyDescent="0.35">
      <c r="A21" s="426"/>
      <c r="B21" s="230" t="s">
        <v>411</v>
      </c>
      <c r="C21" s="328">
        <f>ProyeccionEstadoVentas!M23</f>
        <v>33183347.185971603</v>
      </c>
      <c r="D21" s="328">
        <f>'Estado.Gen.Costos.Gastos'!Y22</f>
        <v>6488537.6792120337</v>
      </c>
      <c r="E21" s="328">
        <f>'Estado.Gen.Costos.Gastos'!Z22</f>
        <v>3466720.4377252162</v>
      </c>
      <c r="F21" s="328">
        <f t="shared" si="4"/>
        <v>9955258.1169372499</v>
      </c>
      <c r="G21" s="327">
        <f t="shared" si="1"/>
        <v>26694809.506759569</v>
      </c>
      <c r="H21" s="327">
        <f t="shared" si="2"/>
        <v>23228089.069034353</v>
      </c>
      <c r="I21" s="327">
        <v>0</v>
      </c>
      <c r="J21" s="327">
        <f t="shared" si="5"/>
        <v>23228089.069034353</v>
      </c>
      <c r="K21" s="329">
        <f>C21*(SUM(Distribución.Gastos!$A$72:$A$75))</f>
        <v>13639683.027321767</v>
      </c>
      <c r="L21" s="327">
        <f t="shared" si="3"/>
        <v>9588406.0417125858</v>
      </c>
      <c r="M21" s="329">
        <f>'Estado.Gen.Costos.Gastos'!$J$12+'Estado.Gen.Costos.Gastos'!$J$20+'Estado.Gen.Costos.Gastos'!$J$38</f>
        <v>37352.365280843776</v>
      </c>
      <c r="N21" s="335">
        <f t="shared" si="6"/>
        <v>9625758.4069934301</v>
      </c>
      <c r="O21" s="327"/>
      <c r="P21" s="329">
        <v>0</v>
      </c>
      <c r="Q21" s="329">
        <v>0</v>
      </c>
      <c r="R21" s="171"/>
      <c r="S21" s="2"/>
      <c r="T21" s="2"/>
      <c r="U21" s="2"/>
      <c r="V21" s="171"/>
    </row>
    <row r="22" spans="1:22" x14ac:dyDescent="0.35">
      <c r="A22" s="426"/>
      <c r="B22" s="230" t="s">
        <v>412</v>
      </c>
      <c r="C22" s="328">
        <f>ProyeccionEstadoVentas!M24</f>
        <v>33183347.185971603</v>
      </c>
      <c r="D22" s="328">
        <f>'Estado.Gen.Costos.Gastos'!Y23</f>
        <v>18816760.091770288</v>
      </c>
      <c r="E22" s="328">
        <f>'Estado.Gen.Costos.Gastos'!Z23</f>
        <v>3466720.4377252162</v>
      </c>
      <c r="F22" s="328">
        <f t="shared" si="4"/>
        <v>22283480.529495504</v>
      </c>
      <c r="G22" s="327">
        <f t="shared" si="1"/>
        <v>14366587.094201315</v>
      </c>
      <c r="H22" s="327">
        <f t="shared" si="2"/>
        <v>10899866.656476099</v>
      </c>
      <c r="I22" s="327">
        <v>0</v>
      </c>
      <c r="J22" s="327">
        <f t="shared" si="5"/>
        <v>10899866.656476099</v>
      </c>
      <c r="K22" s="329">
        <f>C22*(SUM(Distribución.Gastos!$A$72:$A$75))</f>
        <v>13639683.027321767</v>
      </c>
      <c r="L22" s="327">
        <f t="shared" si="3"/>
        <v>-2739816.370845668</v>
      </c>
      <c r="M22" s="329">
        <f>'Estado.Gen.Costos.Gastos'!$J$12+'Estado.Gen.Costos.Gastos'!$J$20+'Estado.Gen.Costos.Gastos'!$J$38</f>
        <v>37352.365280843776</v>
      </c>
      <c r="N22" s="335">
        <f t="shared" si="6"/>
        <v>-2702464.0055648242</v>
      </c>
      <c r="O22" s="327"/>
      <c r="P22" s="329">
        <v>0</v>
      </c>
      <c r="Q22" s="329">
        <v>0</v>
      </c>
      <c r="R22" s="171"/>
      <c r="S22" s="2"/>
      <c r="T22" s="2"/>
      <c r="U22" s="2"/>
      <c r="V22" s="171"/>
    </row>
    <row r="23" spans="1:22" x14ac:dyDescent="0.35">
      <c r="A23" s="426"/>
      <c r="B23" s="230" t="s">
        <v>413</v>
      </c>
      <c r="C23" s="328">
        <f>ProyeccionEstadoVentas!M25</f>
        <v>33183347.185971603</v>
      </c>
      <c r="D23" s="328">
        <f>'Estado.Gen.Costos.Gastos'!Y24</f>
        <v>6488537.6792120337</v>
      </c>
      <c r="E23" s="328">
        <f>'Estado.Gen.Costos.Gastos'!Z24</f>
        <v>3466720.4377252162</v>
      </c>
      <c r="F23" s="328">
        <f t="shared" si="4"/>
        <v>9955258.1169372499</v>
      </c>
      <c r="G23" s="327">
        <f t="shared" si="1"/>
        <v>26694809.506759569</v>
      </c>
      <c r="H23" s="327">
        <f t="shared" si="2"/>
        <v>23228089.069034353</v>
      </c>
      <c r="I23" s="327">
        <v>0</v>
      </c>
      <c r="J23" s="327">
        <f t="shared" si="5"/>
        <v>23228089.069034353</v>
      </c>
      <c r="K23" s="329">
        <f>C23*(SUM(Distribución.Gastos!$A$72:$A$75))</f>
        <v>13639683.027321767</v>
      </c>
      <c r="L23" s="327">
        <f t="shared" si="3"/>
        <v>9588406.0417125858</v>
      </c>
      <c r="M23" s="329">
        <f>'Estado.Gen.Costos.Gastos'!$J$12+'Estado.Gen.Costos.Gastos'!$J$20+'Estado.Gen.Costos.Gastos'!$J$38</f>
        <v>37352.365280843776</v>
      </c>
      <c r="N23" s="335">
        <f t="shared" si="6"/>
        <v>9625758.4069934301</v>
      </c>
      <c r="O23" s="327"/>
      <c r="P23" s="329">
        <v>0</v>
      </c>
      <c r="Q23" s="329">
        <v>0</v>
      </c>
      <c r="R23" s="171"/>
      <c r="S23" s="2"/>
      <c r="T23" s="2"/>
      <c r="U23" s="2"/>
      <c r="V23" s="171"/>
    </row>
    <row r="24" spans="1:22" x14ac:dyDescent="0.35">
      <c r="A24" s="426"/>
      <c r="B24" s="230" t="s">
        <v>414</v>
      </c>
      <c r="C24" s="328">
        <f>ProyeccionEstadoVentas!M26</f>
        <v>33183347.185971603</v>
      </c>
      <c r="D24" s="328">
        <f>'Estado.Gen.Costos.Gastos'!Y25</f>
        <v>18816760.091770288</v>
      </c>
      <c r="E24" s="328">
        <f>'Estado.Gen.Costos.Gastos'!Z25</f>
        <v>3466720.4377252162</v>
      </c>
      <c r="F24" s="328">
        <f t="shared" si="4"/>
        <v>22283480.529495504</v>
      </c>
      <c r="G24" s="327">
        <f t="shared" si="1"/>
        <v>14366587.094201315</v>
      </c>
      <c r="H24" s="327">
        <f t="shared" si="2"/>
        <v>10899866.656476099</v>
      </c>
      <c r="I24" s="327">
        <v>0</v>
      </c>
      <c r="J24" s="327">
        <f t="shared" si="5"/>
        <v>10899866.656476099</v>
      </c>
      <c r="K24" s="329">
        <f>C24*(SUM(Distribución.Gastos!$A$72:$A$75))</f>
        <v>13639683.027321767</v>
      </c>
      <c r="L24" s="327">
        <f t="shared" si="3"/>
        <v>-2739816.370845668</v>
      </c>
      <c r="M24" s="329">
        <f>'Estado.Gen.Costos.Gastos'!$J$12+'Estado.Gen.Costos.Gastos'!$J$20+'Estado.Gen.Costos.Gastos'!$J$38</f>
        <v>37352.365280843776</v>
      </c>
      <c r="N24" s="335">
        <f t="shared" si="6"/>
        <v>-2702464.0055648242</v>
      </c>
      <c r="O24" s="327"/>
      <c r="P24" s="329">
        <v>0</v>
      </c>
      <c r="Q24" s="329">
        <v>0</v>
      </c>
      <c r="R24" s="171"/>
      <c r="S24" s="2"/>
      <c r="T24" s="2"/>
      <c r="U24" s="2"/>
      <c r="V24" s="171"/>
    </row>
    <row r="25" spans="1:22" x14ac:dyDescent="0.35">
      <c r="A25" s="426"/>
      <c r="B25" s="230" t="s">
        <v>415</v>
      </c>
      <c r="C25" s="328">
        <f>ProyeccionEstadoVentas!M27</f>
        <v>33183347.185971603</v>
      </c>
      <c r="D25" s="328">
        <f>'Estado.Gen.Costos.Gastos'!Y26</f>
        <v>6488537.6792120337</v>
      </c>
      <c r="E25" s="328">
        <f>'Estado.Gen.Costos.Gastos'!Z26</f>
        <v>3466720.4377252162</v>
      </c>
      <c r="F25" s="328">
        <f t="shared" si="4"/>
        <v>9955258.1169372499</v>
      </c>
      <c r="G25" s="327">
        <f t="shared" si="1"/>
        <v>26694809.506759569</v>
      </c>
      <c r="H25" s="327">
        <f t="shared" si="2"/>
        <v>23228089.069034353</v>
      </c>
      <c r="I25" s="327">
        <v>0</v>
      </c>
      <c r="J25" s="327">
        <f t="shared" si="5"/>
        <v>23228089.069034353</v>
      </c>
      <c r="K25" s="329">
        <f>C25*(SUM(Distribución.Gastos!$A$72:$A$75))</f>
        <v>13639683.027321767</v>
      </c>
      <c r="L25" s="327">
        <f t="shared" si="3"/>
        <v>9588406.0417125858</v>
      </c>
      <c r="M25" s="329">
        <f>'Estado.Gen.Costos.Gastos'!$J$12+'Estado.Gen.Costos.Gastos'!$J$20+'Estado.Gen.Costos.Gastos'!$J$38</f>
        <v>37352.365280843776</v>
      </c>
      <c r="N25" s="335">
        <f t="shared" si="6"/>
        <v>9625758.4069934301</v>
      </c>
      <c r="O25" s="327"/>
      <c r="P25" s="329">
        <v>0</v>
      </c>
      <c r="Q25" s="329">
        <v>0</v>
      </c>
      <c r="R25" s="171"/>
      <c r="S25" s="2"/>
      <c r="T25" s="2"/>
      <c r="U25" s="2"/>
      <c r="V25" s="171"/>
    </row>
    <row r="26" spans="1:22" x14ac:dyDescent="0.35">
      <c r="A26" s="426"/>
      <c r="B26" s="230" t="s">
        <v>416</v>
      </c>
      <c r="C26" s="328">
        <f>ProyeccionEstadoVentas!M28</f>
        <v>33183347.185971603</v>
      </c>
      <c r="D26" s="328">
        <f>'Estado.Gen.Costos.Gastos'!Y27</f>
        <v>18816760.091770288</v>
      </c>
      <c r="E26" s="328">
        <f>'Estado.Gen.Costos.Gastos'!Z27</f>
        <v>3466720.4377252162</v>
      </c>
      <c r="F26" s="328">
        <f t="shared" si="4"/>
        <v>22283480.529495504</v>
      </c>
      <c r="G26" s="327">
        <f t="shared" si="1"/>
        <v>14366587.094201315</v>
      </c>
      <c r="H26" s="327">
        <f t="shared" si="2"/>
        <v>10899866.656476099</v>
      </c>
      <c r="I26" s="327">
        <v>0</v>
      </c>
      <c r="J26" s="327">
        <f t="shared" si="5"/>
        <v>10899866.656476099</v>
      </c>
      <c r="K26" s="329">
        <f>C26*(SUM(Distribución.Gastos!$A$72:$A$75))</f>
        <v>13639683.027321767</v>
      </c>
      <c r="L26" s="327">
        <f t="shared" si="3"/>
        <v>-2739816.370845668</v>
      </c>
      <c r="M26" s="329">
        <f>'Estado.Gen.Costos.Gastos'!$J$12+'Estado.Gen.Costos.Gastos'!$J$20+'Estado.Gen.Costos.Gastos'!$J$38</f>
        <v>37352.365280843776</v>
      </c>
      <c r="N26" s="335">
        <f t="shared" si="6"/>
        <v>-2702464.0055648242</v>
      </c>
      <c r="O26" s="327"/>
      <c r="P26" s="329">
        <v>0</v>
      </c>
      <c r="Q26" s="329">
        <v>0</v>
      </c>
      <c r="R26" s="171"/>
      <c r="S26" s="2"/>
      <c r="T26" s="2"/>
      <c r="U26" s="2"/>
      <c r="V26" s="171"/>
    </row>
    <row r="27" spans="1:22" ht="15" thickBot="1" x14ac:dyDescent="0.4">
      <c r="A27" s="427"/>
      <c r="B27" s="323" t="s">
        <v>417</v>
      </c>
      <c r="C27" s="324">
        <f>ProyeccionEstadoVentas!M29</f>
        <v>33183347.185971603</v>
      </c>
      <c r="D27" s="324">
        <f>'Estado.Gen.Costos.Gastos'!Y28</f>
        <v>6488537.6792120337</v>
      </c>
      <c r="E27" s="324">
        <f>'Estado.Gen.Costos.Gastos'!Z28</f>
        <v>3466720.4377252162</v>
      </c>
      <c r="F27" s="324">
        <f t="shared" si="4"/>
        <v>9955258.1169372499</v>
      </c>
      <c r="G27" s="325">
        <f t="shared" si="1"/>
        <v>26694809.506759569</v>
      </c>
      <c r="H27" s="325">
        <f t="shared" si="2"/>
        <v>23228089.069034353</v>
      </c>
      <c r="I27" s="325">
        <v>0</v>
      </c>
      <c r="J27" s="325">
        <f t="shared" si="5"/>
        <v>23228089.069034353</v>
      </c>
      <c r="K27" s="337">
        <f>C27*(SUM(Distribución.Gastos!$A$72:$A$75))</f>
        <v>13639683.027321767</v>
      </c>
      <c r="L27" s="325">
        <f t="shared" si="3"/>
        <v>9588406.0417125858</v>
      </c>
      <c r="M27" s="337">
        <f>'Estado.Gen.Costos.Gastos'!$J$12+'Estado.Gen.Costos.Gastos'!$J$20+'Estado.Gen.Costos.Gastos'!$J$38</f>
        <v>37352.365280843776</v>
      </c>
      <c r="N27" s="338">
        <f t="shared" si="6"/>
        <v>9625758.4069934301</v>
      </c>
      <c r="O27" s="327"/>
      <c r="P27" s="329">
        <v>0</v>
      </c>
      <c r="Q27" s="329">
        <v>0</v>
      </c>
      <c r="R27" s="171"/>
      <c r="S27" s="2"/>
      <c r="T27" s="2"/>
      <c r="U27" s="2"/>
      <c r="V27" s="171"/>
    </row>
    <row r="28" spans="1:22" x14ac:dyDescent="0.35">
      <c r="A28" s="425">
        <v>3</v>
      </c>
      <c r="B28" s="311" t="s">
        <v>418</v>
      </c>
      <c r="C28" s="330">
        <f>ProyeccionEstadoVentas!M30</f>
        <v>34176207.625814758</v>
      </c>
      <c r="D28" s="330">
        <f>'Estado.Gen.Costos.Gastos'!Y29</f>
        <v>19379765.884900052</v>
      </c>
      <c r="E28" s="330">
        <f>'Estado.Gen.Costos.Gastos'!Z29</f>
        <v>3570446.2481241212</v>
      </c>
      <c r="F28" s="330">
        <f t="shared" si="4"/>
        <v>22950212.133024175</v>
      </c>
      <c r="G28" s="331">
        <f t="shared" si="1"/>
        <v>14796441.740914706</v>
      </c>
      <c r="H28" s="331">
        <f t="shared" si="2"/>
        <v>11225995.492790585</v>
      </c>
      <c r="I28" s="331">
        <v>0</v>
      </c>
      <c r="J28" s="331">
        <f t="shared" si="5"/>
        <v>11225995.492790585</v>
      </c>
      <c r="K28" s="332">
        <f>C28*(SUM(Distribución.Gastos!$A$72:$A$75))</f>
        <v>14047788.382514898</v>
      </c>
      <c r="L28" s="331">
        <f t="shared" si="3"/>
        <v>-2821792.8897243124</v>
      </c>
      <c r="M28" s="332">
        <f>'Estado.Gen.Costos.Gastos'!$L$12+'Estado.Gen.Costos.Gastos'!$L$20+'Estado.Gen.Costos.Gastos'!$L$38</f>
        <v>38469.964587932336</v>
      </c>
      <c r="N28" s="339">
        <f t="shared" si="6"/>
        <v>-2783322.9251363799</v>
      </c>
      <c r="O28" s="327"/>
      <c r="P28" s="329">
        <v>0</v>
      </c>
      <c r="Q28" s="329">
        <v>0</v>
      </c>
      <c r="R28" s="171"/>
      <c r="S28" s="2"/>
      <c r="T28" s="2"/>
      <c r="U28" s="2"/>
      <c r="V28" s="171"/>
    </row>
    <row r="29" spans="1:22" x14ac:dyDescent="0.35">
      <c r="A29" s="426"/>
      <c r="B29" s="230" t="s">
        <v>419</v>
      </c>
      <c r="C29" s="328">
        <f>ProyeccionEstadoVentas!M31</f>
        <v>34176207.625814758</v>
      </c>
      <c r="D29" s="328">
        <f>'Estado.Gen.Costos.Gastos'!Y30</f>
        <v>6682677.5993959997</v>
      </c>
      <c r="E29" s="328">
        <f>'Estado.Gen.Costos.Gastos'!Z30</f>
        <v>3570446.2481241212</v>
      </c>
      <c r="F29" s="328">
        <f t="shared" si="4"/>
        <v>10253123.84752012</v>
      </c>
      <c r="G29" s="327">
        <f t="shared" si="1"/>
        <v>27493530.02641876</v>
      </c>
      <c r="H29" s="327">
        <f t="shared" si="2"/>
        <v>23923083.778294638</v>
      </c>
      <c r="I29" s="327">
        <v>0</v>
      </c>
      <c r="J29" s="327">
        <f t="shared" si="5"/>
        <v>23923083.778294638</v>
      </c>
      <c r="K29" s="329">
        <f>C29*(SUM(Distribución.Gastos!$A$72:$A$75))</f>
        <v>14047788.382514898</v>
      </c>
      <c r="L29" s="327">
        <f t="shared" si="3"/>
        <v>9875295.3957797401</v>
      </c>
      <c r="M29" s="329">
        <f>'Estado.Gen.Costos.Gastos'!$L$12+'Estado.Gen.Costos.Gastos'!$L$20+'Estado.Gen.Costos.Gastos'!$L$38</f>
        <v>38469.964587932336</v>
      </c>
      <c r="N29" s="335">
        <f t="shared" si="6"/>
        <v>9913765.3603676725</v>
      </c>
      <c r="O29" s="327"/>
      <c r="P29" s="329">
        <v>0</v>
      </c>
      <c r="Q29" s="329">
        <v>0</v>
      </c>
      <c r="R29" s="171"/>
      <c r="S29" s="2"/>
      <c r="T29" s="2"/>
      <c r="U29" s="2"/>
      <c r="V29" s="171"/>
    </row>
    <row r="30" spans="1:22" x14ac:dyDescent="0.35">
      <c r="A30" s="426"/>
      <c r="B30" s="230" t="s">
        <v>420</v>
      </c>
      <c r="C30" s="328">
        <f>ProyeccionEstadoVentas!M32</f>
        <v>34176207.625814758</v>
      </c>
      <c r="D30" s="328">
        <f>'Estado.Gen.Costos.Gastos'!Y31</f>
        <v>19379765.884900052</v>
      </c>
      <c r="E30" s="328">
        <f>'Estado.Gen.Costos.Gastos'!Z31</f>
        <v>3570446.2481241212</v>
      </c>
      <c r="F30" s="328">
        <f t="shared" si="4"/>
        <v>22950212.133024175</v>
      </c>
      <c r="G30" s="327">
        <f t="shared" si="1"/>
        <v>14796441.740914706</v>
      </c>
      <c r="H30" s="327">
        <f t="shared" si="2"/>
        <v>11225995.492790585</v>
      </c>
      <c r="I30" s="327">
        <v>0</v>
      </c>
      <c r="J30" s="327">
        <f t="shared" si="5"/>
        <v>11225995.492790585</v>
      </c>
      <c r="K30" s="329">
        <f>C30*(SUM(Distribución.Gastos!$A$72:$A$75))</f>
        <v>14047788.382514898</v>
      </c>
      <c r="L30" s="327">
        <f t="shared" si="3"/>
        <v>-2821792.8897243124</v>
      </c>
      <c r="M30" s="329">
        <f>'Estado.Gen.Costos.Gastos'!$L$12+'Estado.Gen.Costos.Gastos'!$L$20+'Estado.Gen.Costos.Gastos'!$L$38</f>
        <v>38469.964587932336</v>
      </c>
      <c r="N30" s="335">
        <f t="shared" si="6"/>
        <v>-2783322.9251363799</v>
      </c>
      <c r="O30" s="327"/>
      <c r="P30" s="329">
        <v>0</v>
      </c>
      <c r="Q30" s="329">
        <v>0</v>
      </c>
      <c r="R30" s="171"/>
      <c r="S30" s="2"/>
      <c r="T30" s="2"/>
      <c r="U30" s="2"/>
      <c r="V30" s="171"/>
    </row>
    <row r="31" spans="1:22" x14ac:dyDescent="0.35">
      <c r="A31" s="426"/>
      <c r="B31" s="230" t="s">
        <v>421</v>
      </c>
      <c r="C31" s="328">
        <f>ProyeccionEstadoVentas!M33</f>
        <v>34176207.625814758</v>
      </c>
      <c r="D31" s="328">
        <f>'Estado.Gen.Costos.Gastos'!Y32</f>
        <v>6682677.5993959997</v>
      </c>
      <c r="E31" s="328">
        <f>'Estado.Gen.Costos.Gastos'!Z32</f>
        <v>3570446.2481241212</v>
      </c>
      <c r="F31" s="328">
        <f t="shared" si="4"/>
        <v>10253123.84752012</v>
      </c>
      <c r="G31" s="327">
        <f t="shared" si="1"/>
        <v>27493530.02641876</v>
      </c>
      <c r="H31" s="327">
        <f t="shared" si="2"/>
        <v>23923083.778294638</v>
      </c>
      <c r="I31" s="327">
        <v>0</v>
      </c>
      <c r="J31" s="327">
        <f t="shared" si="5"/>
        <v>23923083.778294638</v>
      </c>
      <c r="K31" s="329">
        <f>C31*(SUM(Distribución.Gastos!$A$72:$A$75))</f>
        <v>14047788.382514898</v>
      </c>
      <c r="L31" s="327">
        <f t="shared" si="3"/>
        <v>9875295.3957797401</v>
      </c>
      <c r="M31" s="329">
        <f>'Estado.Gen.Costos.Gastos'!$L$12+'Estado.Gen.Costos.Gastos'!$L$20+'Estado.Gen.Costos.Gastos'!$L$38</f>
        <v>38469.964587932336</v>
      </c>
      <c r="N31" s="335">
        <f t="shared" si="6"/>
        <v>9913765.3603676725</v>
      </c>
      <c r="O31" s="327"/>
      <c r="P31" s="329">
        <v>0</v>
      </c>
      <c r="Q31" s="329">
        <v>0</v>
      </c>
      <c r="R31" s="171"/>
      <c r="S31" s="2"/>
      <c r="T31" s="2"/>
      <c r="U31" s="2"/>
      <c r="V31" s="171"/>
    </row>
    <row r="32" spans="1:22" x14ac:dyDescent="0.35">
      <c r="A32" s="426"/>
      <c r="B32" s="230" t="s">
        <v>422</v>
      </c>
      <c r="C32" s="328">
        <f>ProyeccionEstadoVentas!M34</f>
        <v>34176207.625814758</v>
      </c>
      <c r="D32" s="328">
        <f>'Estado.Gen.Costos.Gastos'!Y33</f>
        <v>19379765.884900052</v>
      </c>
      <c r="E32" s="328">
        <f>'Estado.Gen.Costos.Gastos'!Z33</f>
        <v>3570446.2481241212</v>
      </c>
      <c r="F32" s="328">
        <f t="shared" si="4"/>
        <v>22950212.133024175</v>
      </c>
      <c r="G32" s="327">
        <f t="shared" si="1"/>
        <v>14796441.740914706</v>
      </c>
      <c r="H32" s="327">
        <f t="shared" si="2"/>
        <v>11225995.492790585</v>
      </c>
      <c r="I32" s="327">
        <v>0</v>
      </c>
      <c r="J32" s="327">
        <f t="shared" si="5"/>
        <v>11225995.492790585</v>
      </c>
      <c r="K32" s="329">
        <f>C32*(SUM(Distribución.Gastos!$A$72:$A$75))</f>
        <v>14047788.382514898</v>
      </c>
      <c r="L32" s="327">
        <f t="shared" si="3"/>
        <v>-2821792.8897243124</v>
      </c>
      <c r="M32" s="329">
        <f>'Estado.Gen.Costos.Gastos'!$L$12+'Estado.Gen.Costos.Gastos'!$L$20+'Estado.Gen.Costos.Gastos'!$L$38</f>
        <v>38469.964587932336</v>
      </c>
      <c r="N32" s="335">
        <f t="shared" si="6"/>
        <v>-2783322.9251363799</v>
      </c>
      <c r="O32" s="327"/>
      <c r="P32" s="329">
        <v>0</v>
      </c>
      <c r="Q32" s="329">
        <v>0</v>
      </c>
      <c r="R32" s="171"/>
      <c r="S32" s="2"/>
      <c r="T32" s="2"/>
      <c r="U32" s="2"/>
      <c r="V32" s="171"/>
    </row>
    <row r="33" spans="1:22" x14ac:dyDescent="0.35">
      <c r="A33" s="426"/>
      <c r="B33" s="230" t="s">
        <v>423</v>
      </c>
      <c r="C33" s="328">
        <f>ProyeccionEstadoVentas!M35</f>
        <v>34176207.625814758</v>
      </c>
      <c r="D33" s="328">
        <f>'Estado.Gen.Costos.Gastos'!Y34</f>
        <v>6682677.5993959997</v>
      </c>
      <c r="E33" s="328">
        <f>'Estado.Gen.Costos.Gastos'!Z34</f>
        <v>3570446.2481241212</v>
      </c>
      <c r="F33" s="328">
        <f t="shared" si="4"/>
        <v>10253123.84752012</v>
      </c>
      <c r="G33" s="327">
        <f t="shared" si="1"/>
        <v>27493530.02641876</v>
      </c>
      <c r="H33" s="327">
        <f t="shared" si="2"/>
        <v>23923083.778294638</v>
      </c>
      <c r="I33" s="327">
        <v>0</v>
      </c>
      <c r="J33" s="327">
        <f t="shared" si="5"/>
        <v>23923083.778294638</v>
      </c>
      <c r="K33" s="329">
        <f>C33*(SUM(Distribución.Gastos!$A$72:$A$75))</f>
        <v>14047788.382514898</v>
      </c>
      <c r="L33" s="327">
        <f t="shared" si="3"/>
        <v>9875295.3957797401</v>
      </c>
      <c r="M33" s="329">
        <f>'Estado.Gen.Costos.Gastos'!$L$12+'Estado.Gen.Costos.Gastos'!$L$20+'Estado.Gen.Costos.Gastos'!$L$38</f>
        <v>38469.964587932336</v>
      </c>
      <c r="N33" s="335">
        <f t="shared" si="6"/>
        <v>9913765.3603676725</v>
      </c>
      <c r="O33" s="327"/>
      <c r="P33" s="329">
        <v>0</v>
      </c>
      <c r="Q33" s="329">
        <v>0</v>
      </c>
      <c r="R33" s="171"/>
      <c r="S33" s="2"/>
      <c r="T33" s="2"/>
      <c r="U33" s="2"/>
      <c r="V33" s="171"/>
    </row>
    <row r="34" spans="1:22" x14ac:dyDescent="0.35">
      <c r="A34" s="426"/>
      <c r="B34" s="230" t="s">
        <v>424</v>
      </c>
      <c r="C34" s="328">
        <f>ProyeccionEstadoVentas!M36</f>
        <v>34176207.625814758</v>
      </c>
      <c r="D34" s="328">
        <f>'Estado.Gen.Costos.Gastos'!Y35</f>
        <v>19379765.884900052</v>
      </c>
      <c r="E34" s="328">
        <f>'Estado.Gen.Costos.Gastos'!Z35</f>
        <v>3570446.2481241212</v>
      </c>
      <c r="F34" s="328">
        <f t="shared" si="4"/>
        <v>22950212.133024175</v>
      </c>
      <c r="G34" s="327">
        <f t="shared" si="1"/>
        <v>14796441.740914706</v>
      </c>
      <c r="H34" s="327">
        <f t="shared" si="2"/>
        <v>11225995.492790585</v>
      </c>
      <c r="I34" s="327">
        <v>0</v>
      </c>
      <c r="J34" s="327">
        <f t="shared" si="5"/>
        <v>11225995.492790585</v>
      </c>
      <c r="K34" s="329">
        <f>C34*(SUM(Distribución.Gastos!$A$72:$A$75))</f>
        <v>14047788.382514898</v>
      </c>
      <c r="L34" s="327">
        <f t="shared" si="3"/>
        <v>-2821792.8897243124</v>
      </c>
      <c r="M34" s="329">
        <f>'Estado.Gen.Costos.Gastos'!$L$12+'Estado.Gen.Costos.Gastos'!$L$20+'Estado.Gen.Costos.Gastos'!$L$38</f>
        <v>38469.964587932336</v>
      </c>
      <c r="N34" s="335">
        <f t="shared" si="6"/>
        <v>-2783322.9251363799</v>
      </c>
      <c r="O34" s="327"/>
      <c r="P34" s="329">
        <v>0</v>
      </c>
      <c r="Q34" s="329">
        <v>0</v>
      </c>
      <c r="R34" s="171"/>
      <c r="S34" s="2"/>
      <c r="T34" s="2"/>
      <c r="U34" s="2"/>
      <c r="V34" s="171"/>
    </row>
    <row r="35" spans="1:22" x14ac:dyDescent="0.35">
      <c r="A35" s="426"/>
      <c r="B35" s="230" t="s">
        <v>425</v>
      </c>
      <c r="C35" s="328">
        <f>ProyeccionEstadoVentas!M37</f>
        <v>34176207.625814758</v>
      </c>
      <c r="D35" s="328">
        <f>'Estado.Gen.Costos.Gastos'!Y36</f>
        <v>6682677.5993959997</v>
      </c>
      <c r="E35" s="328">
        <f>'Estado.Gen.Costos.Gastos'!Z36</f>
        <v>3570446.2481241212</v>
      </c>
      <c r="F35" s="328">
        <f t="shared" si="4"/>
        <v>10253123.84752012</v>
      </c>
      <c r="G35" s="327">
        <f t="shared" ref="G35:G63" si="7">C35-D35</f>
        <v>27493530.02641876</v>
      </c>
      <c r="H35" s="327">
        <f t="shared" si="2"/>
        <v>23923083.778294638</v>
      </c>
      <c r="I35" s="327">
        <v>0</v>
      </c>
      <c r="J35" s="327">
        <f t="shared" si="5"/>
        <v>23923083.778294638</v>
      </c>
      <c r="K35" s="329">
        <f>C35*(SUM(Distribución.Gastos!$A$72:$A$75))</f>
        <v>14047788.382514898</v>
      </c>
      <c r="L35" s="327">
        <f t="shared" ref="L35:L63" si="8">J35-K35</f>
        <v>9875295.3957797401</v>
      </c>
      <c r="M35" s="329">
        <f>'Estado.Gen.Costos.Gastos'!$L$12+'Estado.Gen.Costos.Gastos'!$L$20+'Estado.Gen.Costos.Gastos'!$L$38</f>
        <v>38469.964587932336</v>
      </c>
      <c r="N35" s="335">
        <f t="shared" ref="N35:N63" si="9">L35+M35</f>
        <v>9913765.3603676725</v>
      </c>
      <c r="O35" s="327"/>
      <c r="P35" s="329">
        <v>0</v>
      </c>
      <c r="Q35" s="329">
        <v>0</v>
      </c>
      <c r="R35" s="171"/>
      <c r="S35" s="2"/>
      <c r="T35" s="2"/>
      <c r="U35" s="2"/>
      <c r="V35" s="171"/>
    </row>
    <row r="36" spans="1:22" x14ac:dyDescent="0.35">
      <c r="A36" s="426"/>
      <c r="B36" s="230" t="s">
        <v>426</v>
      </c>
      <c r="C36" s="328">
        <f>ProyeccionEstadoVentas!M38</f>
        <v>34176207.625814758</v>
      </c>
      <c r="D36" s="328">
        <f>'Estado.Gen.Costos.Gastos'!Y37</f>
        <v>19379765.884900052</v>
      </c>
      <c r="E36" s="328">
        <f>'Estado.Gen.Costos.Gastos'!Z37</f>
        <v>3570446.2481241212</v>
      </c>
      <c r="F36" s="328">
        <f t="shared" si="4"/>
        <v>22950212.133024175</v>
      </c>
      <c r="G36" s="327">
        <f t="shared" si="7"/>
        <v>14796441.740914706</v>
      </c>
      <c r="H36" s="327">
        <f t="shared" si="2"/>
        <v>11225995.492790585</v>
      </c>
      <c r="I36" s="327">
        <v>0</v>
      </c>
      <c r="J36" s="327">
        <f t="shared" si="5"/>
        <v>11225995.492790585</v>
      </c>
      <c r="K36" s="329">
        <f>C36*(SUM(Distribución.Gastos!$A$72:$A$75))</f>
        <v>14047788.382514898</v>
      </c>
      <c r="L36" s="327">
        <f t="shared" si="8"/>
        <v>-2821792.8897243124</v>
      </c>
      <c r="M36" s="329">
        <f>'Estado.Gen.Costos.Gastos'!$L$12+'Estado.Gen.Costos.Gastos'!$L$20+'Estado.Gen.Costos.Gastos'!$L$38</f>
        <v>38469.964587932336</v>
      </c>
      <c r="N36" s="335">
        <f t="shared" si="9"/>
        <v>-2783322.9251363799</v>
      </c>
      <c r="O36" s="327"/>
      <c r="P36" s="329">
        <v>0</v>
      </c>
      <c r="Q36" s="329">
        <v>0</v>
      </c>
      <c r="R36" s="171"/>
      <c r="S36" s="2"/>
      <c r="T36" s="2"/>
      <c r="U36" s="2"/>
      <c r="V36" s="171"/>
    </row>
    <row r="37" spans="1:22" x14ac:dyDescent="0.35">
      <c r="A37" s="426"/>
      <c r="B37" s="230" t="s">
        <v>427</v>
      </c>
      <c r="C37" s="328">
        <f>ProyeccionEstadoVentas!M39</f>
        <v>34176207.625814758</v>
      </c>
      <c r="D37" s="328">
        <f>'Estado.Gen.Costos.Gastos'!Y38</f>
        <v>6682677.5993959997</v>
      </c>
      <c r="E37" s="328">
        <f>'Estado.Gen.Costos.Gastos'!Z38</f>
        <v>3570446.2481241212</v>
      </c>
      <c r="F37" s="328">
        <f t="shared" si="4"/>
        <v>10253123.84752012</v>
      </c>
      <c r="G37" s="327">
        <f t="shared" si="7"/>
        <v>27493530.02641876</v>
      </c>
      <c r="H37" s="327">
        <f t="shared" si="2"/>
        <v>23923083.778294638</v>
      </c>
      <c r="I37" s="327">
        <v>0</v>
      </c>
      <c r="J37" s="327">
        <f t="shared" si="5"/>
        <v>23923083.778294638</v>
      </c>
      <c r="K37" s="329">
        <f>C37*(SUM(Distribución.Gastos!$A$72:$A$75))</f>
        <v>14047788.382514898</v>
      </c>
      <c r="L37" s="327">
        <f t="shared" si="8"/>
        <v>9875295.3957797401</v>
      </c>
      <c r="M37" s="329">
        <f>'Estado.Gen.Costos.Gastos'!$L$12+'Estado.Gen.Costos.Gastos'!$L$20+'Estado.Gen.Costos.Gastos'!$L$38</f>
        <v>38469.964587932336</v>
      </c>
      <c r="N37" s="335">
        <f t="shared" si="9"/>
        <v>9913765.3603676725</v>
      </c>
      <c r="O37" s="327"/>
      <c r="P37" s="329">
        <v>0</v>
      </c>
      <c r="Q37" s="329">
        <v>0</v>
      </c>
      <c r="R37" s="171"/>
      <c r="S37" s="2"/>
      <c r="T37" s="2"/>
      <c r="U37" s="2"/>
      <c r="V37" s="171"/>
    </row>
    <row r="38" spans="1:22" x14ac:dyDescent="0.35">
      <c r="A38" s="426"/>
      <c r="B38" s="230" t="s">
        <v>428</v>
      </c>
      <c r="C38" s="328">
        <f>ProyeccionEstadoVentas!M40</f>
        <v>34176207.625814758</v>
      </c>
      <c r="D38" s="328">
        <f>'Estado.Gen.Costos.Gastos'!Y39</f>
        <v>19379765.884900052</v>
      </c>
      <c r="E38" s="328">
        <f>'Estado.Gen.Costos.Gastos'!Z39</f>
        <v>3570446.2481241212</v>
      </c>
      <c r="F38" s="328">
        <f t="shared" si="4"/>
        <v>22950212.133024175</v>
      </c>
      <c r="G38" s="327">
        <f t="shared" si="7"/>
        <v>14796441.740914706</v>
      </c>
      <c r="H38" s="327">
        <f t="shared" si="2"/>
        <v>11225995.492790585</v>
      </c>
      <c r="I38" s="327">
        <v>0</v>
      </c>
      <c r="J38" s="327">
        <f t="shared" si="5"/>
        <v>11225995.492790585</v>
      </c>
      <c r="K38" s="329">
        <f>C38*(SUM(Distribución.Gastos!$A$72:$A$75))</f>
        <v>14047788.382514898</v>
      </c>
      <c r="L38" s="327">
        <f t="shared" si="8"/>
        <v>-2821792.8897243124</v>
      </c>
      <c r="M38" s="329">
        <f>'Estado.Gen.Costos.Gastos'!$L$12+'Estado.Gen.Costos.Gastos'!$L$20+'Estado.Gen.Costos.Gastos'!$L$38</f>
        <v>38469.964587932336</v>
      </c>
      <c r="N38" s="335">
        <f t="shared" si="9"/>
        <v>-2783322.9251363799</v>
      </c>
      <c r="O38" s="327"/>
      <c r="P38" s="329">
        <v>0</v>
      </c>
      <c r="Q38" s="329">
        <v>0</v>
      </c>
      <c r="R38" s="171"/>
      <c r="S38" s="2"/>
      <c r="T38" s="2"/>
      <c r="U38" s="2"/>
      <c r="V38" s="171"/>
    </row>
    <row r="39" spans="1:22" ht="15" thickBot="1" x14ac:dyDescent="0.4">
      <c r="A39" s="427"/>
      <c r="B39" s="323" t="s">
        <v>429</v>
      </c>
      <c r="C39" s="324">
        <f>ProyeccionEstadoVentas!M41</f>
        <v>34176207.625814758</v>
      </c>
      <c r="D39" s="324">
        <f>'Estado.Gen.Costos.Gastos'!Y40</f>
        <v>6682677.5993959997</v>
      </c>
      <c r="E39" s="324">
        <f>'Estado.Gen.Costos.Gastos'!Z40</f>
        <v>3570446.2481241212</v>
      </c>
      <c r="F39" s="324">
        <f t="shared" si="4"/>
        <v>10253123.84752012</v>
      </c>
      <c r="G39" s="325">
        <f t="shared" si="7"/>
        <v>27493530.02641876</v>
      </c>
      <c r="H39" s="325">
        <f t="shared" si="2"/>
        <v>23923083.778294638</v>
      </c>
      <c r="I39" s="325">
        <v>0</v>
      </c>
      <c r="J39" s="325">
        <f t="shared" si="5"/>
        <v>23923083.778294638</v>
      </c>
      <c r="K39" s="337">
        <f>C39*(SUM(Distribución.Gastos!$A$72:$A$75))</f>
        <v>14047788.382514898</v>
      </c>
      <c r="L39" s="325">
        <f t="shared" si="8"/>
        <v>9875295.3957797401</v>
      </c>
      <c r="M39" s="337">
        <f>'Estado.Gen.Costos.Gastos'!$L$12+'Estado.Gen.Costos.Gastos'!$L$20+'Estado.Gen.Costos.Gastos'!$L$38</f>
        <v>38469.964587932336</v>
      </c>
      <c r="N39" s="338">
        <f t="shared" si="9"/>
        <v>9913765.3603676725</v>
      </c>
      <c r="O39" s="327"/>
      <c r="P39" s="329">
        <v>0</v>
      </c>
      <c r="Q39" s="329">
        <v>0</v>
      </c>
      <c r="R39" s="171"/>
      <c r="S39" s="2"/>
      <c r="T39" s="2"/>
      <c r="U39" s="2"/>
      <c r="V39" s="171"/>
    </row>
    <row r="40" spans="1:22" x14ac:dyDescent="0.35">
      <c r="A40" s="425">
        <v>4</v>
      </c>
      <c r="B40" s="311" t="s">
        <v>430</v>
      </c>
      <c r="C40" s="330">
        <f>ProyeccionEstadoVentas!M42</f>
        <v>35169068.065657914</v>
      </c>
      <c r="D40" s="330">
        <f>'Estado.Gen.Costos.Gastos'!Y41</f>
        <v>19942771.678029813</v>
      </c>
      <c r="E40" s="330">
        <f>'Estado.Gen.Costos.Gastos'!Z41</f>
        <v>3674172.0585230258</v>
      </c>
      <c r="F40" s="330">
        <f t="shared" si="4"/>
        <v>23616943.736552838</v>
      </c>
      <c r="G40" s="331">
        <f t="shared" si="7"/>
        <v>15226296.387628101</v>
      </c>
      <c r="H40" s="331">
        <f t="shared" si="2"/>
        <v>11552124.329105075</v>
      </c>
      <c r="I40" s="331">
        <v>0</v>
      </c>
      <c r="J40" s="331">
        <f t="shared" si="5"/>
        <v>11552124.329105075</v>
      </c>
      <c r="K40" s="332">
        <f>C40*(SUM(Distribución.Gastos!$A$72:$A$75))</f>
        <v>14455893.737708027</v>
      </c>
      <c r="L40" s="331">
        <f t="shared" si="8"/>
        <v>-2903769.4086029511</v>
      </c>
      <c r="M40" s="332">
        <f>'Estado.Gen.Costos.Gastos'!$O$12+'Estado.Gen.Costos.Gastos'!$O$38</f>
        <v>39587.563895020896</v>
      </c>
      <c r="N40" s="339">
        <f t="shared" si="9"/>
        <v>-2864181.84470793</v>
      </c>
      <c r="O40" s="327"/>
      <c r="P40" s="329">
        <v>0</v>
      </c>
      <c r="Q40" s="329">
        <v>0</v>
      </c>
      <c r="R40" s="171"/>
      <c r="S40" s="2"/>
      <c r="T40" s="2"/>
      <c r="U40" s="2"/>
      <c r="V40" s="171"/>
    </row>
    <row r="41" spans="1:22" x14ac:dyDescent="0.35">
      <c r="A41" s="426"/>
      <c r="B41" s="230" t="s">
        <v>431</v>
      </c>
      <c r="C41" s="328">
        <f>ProyeccionEstadoVentas!M43</f>
        <v>35169068.065657914</v>
      </c>
      <c r="D41" s="328">
        <f>'Estado.Gen.Costos.Gastos'!Y42</f>
        <v>6876817.5195799656</v>
      </c>
      <c r="E41" s="328">
        <f>'Estado.Gen.Costos.Gastos'!Z42</f>
        <v>3674172.0585230258</v>
      </c>
      <c r="F41" s="328">
        <f t="shared" si="4"/>
        <v>10550989.578102991</v>
      </c>
      <c r="G41" s="327">
        <f t="shared" si="7"/>
        <v>28292250.546077948</v>
      </c>
      <c r="H41" s="327">
        <f t="shared" si="2"/>
        <v>24618078.487554923</v>
      </c>
      <c r="I41" s="327">
        <v>0</v>
      </c>
      <c r="J41" s="327">
        <f t="shared" si="5"/>
        <v>24618078.487554923</v>
      </c>
      <c r="K41" s="329">
        <f>C41*(SUM(Distribución.Gastos!$A$72:$A$75))</f>
        <v>14455893.737708027</v>
      </c>
      <c r="L41" s="327">
        <f t="shared" si="8"/>
        <v>10162184.749846896</v>
      </c>
      <c r="M41" s="329">
        <f>'Estado.Gen.Costos.Gastos'!$O$12+'Estado.Gen.Costos.Gastos'!$O$38</f>
        <v>39587.563895020896</v>
      </c>
      <c r="N41" s="335">
        <f t="shared" si="9"/>
        <v>10201772.313741917</v>
      </c>
      <c r="O41" s="327"/>
      <c r="P41" s="329">
        <v>0</v>
      </c>
      <c r="Q41" s="329">
        <v>0</v>
      </c>
      <c r="R41" s="171"/>
      <c r="S41" s="2"/>
      <c r="T41" s="2"/>
      <c r="U41" s="2"/>
      <c r="V41" s="171"/>
    </row>
    <row r="42" spans="1:22" x14ac:dyDescent="0.35">
      <c r="A42" s="426"/>
      <c r="B42" s="230" t="s">
        <v>432</v>
      </c>
      <c r="C42" s="328">
        <f>ProyeccionEstadoVentas!M44</f>
        <v>35169068.065657914</v>
      </c>
      <c r="D42" s="328">
        <f>'Estado.Gen.Costos.Gastos'!Y43</f>
        <v>19942771.678029813</v>
      </c>
      <c r="E42" s="328">
        <f>'Estado.Gen.Costos.Gastos'!Z43</f>
        <v>3674172.0585230258</v>
      </c>
      <c r="F42" s="328">
        <f t="shared" si="4"/>
        <v>23616943.736552838</v>
      </c>
      <c r="G42" s="327">
        <f t="shared" si="7"/>
        <v>15226296.387628101</v>
      </c>
      <c r="H42" s="327">
        <f t="shared" si="2"/>
        <v>11552124.329105075</v>
      </c>
      <c r="I42" s="327">
        <v>0</v>
      </c>
      <c r="J42" s="327">
        <f t="shared" si="5"/>
        <v>11552124.329105075</v>
      </c>
      <c r="K42" s="329">
        <f>C42*(SUM(Distribución.Gastos!$A$72:$A$75))</f>
        <v>14455893.737708027</v>
      </c>
      <c r="L42" s="327">
        <f t="shared" si="8"/>
        <v>-2903769.4086029511</v>
      </c>
      <c r="M42" s="329">
        <f>'Estado.Gen.Costos.Gastos'!$O$12+'Estado.Gen.Costos.Gastos'!$O$38</f>
        <v>39587.563895020896</v>
      </c>
      <c r="N42" s="335">
        <f t="shared" si="9"/>
        <v>-2864181.84470793</v>
      </c>
      <c r="O42" s="327"/>
      <c r="P42" s="329">
        <v>0</v>
      </c>
      <c r="Q42" s="329">
        <v>0</v>
      </c>
      <c r="R42" s="171"/>
      <c r="S42" s="2"/>
      <c r="T42" s="2"/>
      <c r="U42" s="2"/>
      <c r="V42" s="171"/>
    </row>
    <row r="43" spans="1:22" x14ac:dyDescent="0.35">
      <c r="A43" s="426"/>
      <c r="B43" s="230" t="s">
        <v>433</v>
      </c>
      <c r="C43" s="328">
        <f>ProyeccionEstadoVentas!M45</f>
        <v>35169068.065657914</v>
      </c>
      <c r="D43" s="328">
        <f>'Estado.Gen.Costos.Gastos'!Y44</f>
        <v>6876817.5195799656</v>
      </c>
      <c r="E43" s="328">
        <f>'Estado.Gen.Costos.Gastos'!Z44</f>
        <v>3674172.0585230258</v>
      </c>
      <c r="F43" s="328">
        <f t="shared" si="4"/>
        <v>10550989.578102991</v>
      </c>
      <c r="G43" s="327">
        <f t="shared" si="7"/>
        <v>28292250.546077948</v>
      </c>
      <c r="H43" s="327">
        <f t="shared" si="2"/>
        <v>24618078.487554923</v>
      </c>
      <c r="I43" s="327">
        <v>0</v>
      </c>
      <c r="J43" s="327">
        <f t="shared" si="5"/>
        <v>24618078.487554923</v>
      </c>
      <c r="K43" s="329">
        <f>C43*(SUM(Distribución.Gastos!$A$72:$A$75))</f>
        <v>14455893.737708027</v>
      </c>
      <c r="L43" s="327">
        <f t="shared" si="8"/>
        <v>10162184.749846896</v>
      </c>
      <c r="M43" s="329">
        <f>'Estado.Gen.Costos.Gastos'!$O$12+'Estado.Gen.Costos.Gastos'!$O$38</f>
        <v>39587.563895020896</v>
      </c>
      <c r="N43" s="335">
        <f t="shared" si="9"/>
        <v>10201772.313741917</v>
      </c>
      <c r="O43" s="327"/>
      <c r="P43" s="329">
        <v>0</v>
      </c>
      <c r="Q43" s="329">
        <v>0</v>
      </c>
      <c r="R43" s="171"/>
      <c r="S43" s="2"/>
      <c r="T43" s="2"/>
      <c r="U43" s="2"/>
      <c r="V43" s="171"/>
    </row>
    <row r="44" spans="1:22" x14ac:dyDescent="0.35">
      <c r="A44" s="426"/>
      <c r="B44" s="230" t="s">
        <v>434</v>
      </c>
      <c r="C44" s="328">
        <f>ProyeccionEstadoVentas!M46</f>
        <v>35169068.065657914</v>
      </c>
      <c r="D44" s="328">
        <f>'Estado.Gen.Costos.Gastos'!Y45</f>
        <v>19942771.678029813</v>
      </c>
      <c r="E44" s="328">
        <f>'Estado.Gen.Costos.Gastos'!Z45</f>
        <v>3674172.0585230258</v>
      </c>
      <c r="F44" s="328">
        <f t="shared" si="4"/>
        <v>23616943.736552838</v>
      </c>
      <c r="G44" s="327">
        <f t="shared" si="7"/>
        <v>15226296.387628101</v>
      </c>
      <c r="H44" s="327">
        <f t="shared" si="2"/>
        <v>11552124.329105075</v>
      </c>
      <c r="I44" s="327">
        <v>0</v>
      </c>
      <c r="J44" s="327">
        <f t="shared" si="5"/>
        <v>11552124.329105075</v>
      </c>
      <c r="K44" s="329">
        <f>C44*(SUM(Distribución.Gastos!$A$72:$A$75))</f>
        <v>14455893.737708027</v>
      </c>
      <c r="L44" s="327">
        <f t="shared" si="8"/>
        <v>-2903769.4086029511</v>
      </c>
      <c r="M44" s="329">
        <f>'Estado.Gen.Costos.Gastos'!$O$12+'Estado.Gen.Costos.Gastos'!$O$38</f>
        <v>39587.563895020896</v>
      </c>
      <c r="N44" s="335">
        <f t="shared" si="9"/>
        <v>-2864181.84470793</v>
      </c>
      <c r="O44" s="327"/>
      <c r="P44" s="329">
        <v>0</v>
      </c>
      <c r="Q44" s="329">
        <v>0</v>
      </c>
      <c r="R44" s="171"/>
      <c r="S44" s="2"/>
      <c r="T44" s="2"/>
      <c r="U44" s="2"/>
      <c r="V44" s="171"/>
    </row>
    <row r="45" spans="1:22" x14ac:dyDescent="0.35">
      <c r="A45" s="426"/>
      <c r="B45" s="230" t="s">
        <v>435</v>
      </c>
      <c r="C45" s="328">
        <f>ProyeccionEstadoVentas!M47</f>
        <v>35169068.065657914</v>
      </c>
      <c r="D45" s="328">
        <f>'Estado.Gen.Costos.Gastos'!Y46</f>
        <v>6876817.5195799656</v>
      </c>
      <c r="E45" s="328">
        <f>'Estado.Gen.Costos.Gastos'!Z46</f>
        <v>3674172.0585230258</v>
      </c>
      <c r="F45" s="328">
        <f t="shared" si="4"/>
        <v>10550989.578102991</v>
      </c>
      <c r="G45" s="327">
        <f t="shared" si="7"/>
        <v>28292250.546077948</v>
      </c>
      <c r="H45" s="327">
        <f t="shared" si="2"/>
        <v>24618078.487554923</v>
      </c>
      <c r="I45" s="327">
        <v>0</v>
      </c>
      <c r="J45" s="327">
        <f t="shared" si="5"/>
        <v>24618078.487554923</v>
      </c>
      <c r="K45" s="329">
        <f>C45*(SUM(Distribución.Gastos!$A$72:$A$75))</f>
        <v>14455893.737708027</v>
      </c>
      <c r="L45" s="327">
        <f t="shared" si="8"/>
        <v>10162184.749846896</v>
      </c>
      <c r="M45" s="329">
        <f>'Estado.Gen.Costos.Gastos'!$O$12+'Estado.Gen.Costos.Gastos'!$O$38</f>
        <v>39587.563895020896</v>
      </c>
      <c r="N45" s="335">
        <f t="shared" si="9"/>
        <v>10201772.313741917</v>
      </c>
      <c r="O45" s="327"/>
      <c r="P45" s="329">
        <v>0</v>
      </c>
      <c r="Q45" s="329">
        <v>0</v>
      </c>
      <c r="R45" s="171"/>
      <c r="S45" s="2"/>
      <c r="T45" s="2"/>
      <c r="U45" s="2"/>
      <c r="V45" s="171"/>
    </row>
    <row r="46" spans="1:22" x14ac:dyDescent="0.35">
      <c r="A46" s="426"/>
      <c r="B46" s="230" t="s">
        <v>436</v>
      </c>
      <c r="C46" s="328">
        <f>ProyeccionEstadoVentas!M48</f>
        <v>35169068.065657914</v>
      </c>
      <c r="D46" s="328">
        <f>'Estado.Gen.Costos.Gastos'!Y47</f>
        <v>19942771.678029813</v>
      </c>
      <c r="E46" s="328">
        <f>'Estado.Gen.Costos.Gastos'!Z47</f>
        <v>3674172.0585230258</v>
      </c>
      <c r="F46" s="328">
        <f t="shared" si="4"/>
        <v>23616943.736552838</v>
      </c>
      <c r="G46" s="327">
        <f t="shared" si="7"/>
        <v>15226296.387628101</v>
      </c>
      <c r="H46" s="327">
        <f t="shared" si="2"/>
        <v>11552124.329105075</v>
      </c>
      <c r="I46" s="327">
        <v>0</v>
      </c>
      <c r="J46" s="327">
        <f t="shared" si="5"/>
        <v>11552124.329105075</v>
      </c>
      <c r="K46" s="329">
        <f>C46*(SUM(Distribución.Gastos!$A$72:$A$75))</f>
        <v>14455893.737708027</v>
      </c>
      <c r="L46" s="327">
        <f t="shared" si="8"/>
        <v>-2903769.4086029511</v>
      </c>
      <c r="M46" s="329">
        <f>'Estado.Gen.Costos.Gastos'!$O$12+'Estado.Gen.Costos.Gastos'!$O$38</f>
        <v>39587.563895020896</v>
      </c>
      <c r="N46" s="335">
        <f t="shared" si="9"/>
        <v>-2864181.84470793</v>
      </c>
      <c r="O46" s="327"/>
      <c r="P46" s="329">
        <v>0</v>
      </c>
      <c r="Q46" s="329">
        <v>0</v>
      </c>
      <c r="R46" s="171"/>
      <c r="S46" s="2"/>
      <c r="T46" s="2"/>
      <c r="U46" s="2"/>
      <c r="V46" s="171"/>
    </row>
    <row r="47" spans="1:22" x14ac:dyDescent="0.35">
      <c r="A47" s="426"/>
      <c r="B47" s="230" t="s">
        <v>437</v>
      </c>
      <c r="C47" s="328">
        <f>ProyeccionEstadoVentas!M49</f>
        <v>35169068.065657914</v>
      </c>
      <c r="D47" s="328">
        <f>'Estado.Gen.Costos.Gastos'!Y48</f>
        <v>6876817.5195799656</v>
      </c>
      <c r="E47" s="328">
        <f>'Estado.Gen.Costos.Gastos'!Z48</f>
        <v>3674172.0585230258</v>
      </c>
      <c r="F47" s="328">
        <f t="shared" si="4"/>
        <v>10550989.578102991</v>
      </c>
      <c r="G47" s="327">
        <f t="shared" si="7"/>
        <v>28292250.546077948</v>
      </c>
      <c r="H47" s="327">
        <f t="shared" si="2"/>
        <v>24618078.487554923</v>
      </c>
      <c r="I47" s="327">
        <v>0</v>
      </c>
      <c r="J47" s="327">
        <f t="shared" si="5"/>
        <v>24618078.487554923</v>
      </c>
      <c r="K47" s="329">
        <f>C47*(SUM(Distribución.Gastos!$A$72:$A$75))</f>
        <v>14455893.737708027</v>
      </c>
      <c r="L47" s="327">
        <f t="shared" si="8"/>
        <v>10162184.749846896</v>
      </c>
      <c r="M47" s="329">
        <f>'Estado.Gen.Costos.Gastos'!$O$12+'Estado.Gen.Costos.Gastos'!$O$38</f>
        <v>39587.563895020896</v>
      </c>
      <c r="N47" s="335">
        <f t="shared" si="9"/>
        <v>10201772.313741917</v>
      </c>
      <c r="O47" s="327"/>
      <c r="P47" s="329">
        <v>0</v>
      </c>
      <c r="Q47" s="329">
        <v>0</v>
      </c>
      <c r="R47" s="171"/>
      <c r="S47" s="2"/>
      <c r="T47" s="2"/>
      <c r="U47" s="2"/>
      <c r="V47" s="171"/>
    </row>
    <row r="48" spans="1:22" x14ac:dyDescent="0.35">
      <c r="A48" s="426"/>
      <c r="B48" s="230" t="s">
        <v>438</v>
      </c>
      <c r="C48" s="328">
        <f>ProyeccionEstadoVentas!M50</f>
        <v>35169068.065657914</v>
      </c>
      <c r="D48" s="328">
        <f>'Estado.Gen.Costos.Gastos'!Y49</f>
        <v>19942771.678029813</v>
      </c>
      <c r="E48" s="328">
        <f>'Estado.Gen.Costos.Gastos'!Z49</f>
        <v>3674172.0585230258</v>
      </c>
      <c r="F48" s="328">
        <f t="shared" si="4"/>
        <v>23616943.736552838</v>
      </c>
      <c r="G48" s="327">
        <f t="shared" si="7"/>
        <v>15226296.387628101</v>
      </c>
      <c r="H48" s="327">
        <f t="shared" si="2"/>
        <v>11552124.329105075</v>
      </c>
      <c r="I48" s="327">
        <v>0</v>
      </c>
      <c r="J48" s="327">
        <f t="shared" si="5"/>
        <v>11552124.329105075</v>
      </c>
      <c r="K48" s="329">
        <f>C48*(SUM(Distribución.Gastos!$A$72:$A$75))</f>
        <v>14455893.737708027</v>
      </c>
      <c r="L48" s="327">
        <f t="shared" si="8"/>
        <v>-2903769.4086029511</v>
      </c>
      <c r="M48" s="329">
        <f>'Estado.Gen.Costos.Gastos'!$O$12+'Estado.Gen.Costos.Gastos'!$O$38</f>
        <v>39587.563895020896</v>
      </c>
      <c r="N48" s="335">
        <f t="shared" si="9"/>
        <v>-2864181.84470793</v>
      </c>
      <c r="O48" s="327"/>
      <c r="P48" s="329">
        <v>0</v>
      </c>
      <c r="Q48" s="329">
        <v>0</v>
      </c>
      <c r="R48" s="171"/>
      <c r="S48" s="2"/>
      <c r="T48" s="2"/>
      <c r="U48" s="2"/>
      <c r="V48" s="171"/>
    </row>
    <row r="49" spans="1:22" x14ac:dyDescent="0.35">
      <c r="A49" s="426"/>
      <c r="B49" s="230" t="s">
        <v>439</v>
      </c>
      <c r="C49" s="328">
        <f>ProyeccionEstadoVentas!M51</f>
        <v>35169068.065657914</v>
      </c>
      <c r="D49" s="328">
        <f>'Estado.Gen.Costos.Gastos'!Y50</f>
        <v>6876817.5195799656</v>
      </c>
      <c r="E49" s="328">
        <f>'Estado.Gen.Costos.Gastos'!Z50</f>
        <v>3674172.0585230258</v>
      </c>
      <c r="F49" s="328">
        <f t="shared" si="4"/>
        <v>10550989.578102991</v>
      </c>
      <c r="G49" s="327">
        <f t="shared" si="7"/>
        <v>28292250.546077948</v>
      </c>
      <c r="H49" s="327">
        <f t="shared" si="2"/>
        <v>24618078.487554923</v>
      </c>
      <c r="I49" s="327">
        <v>0</v>
      </c>
      <c r="J49" s="327">
        <f t="shared" si="5"/>
        <v>24618078.487554923</v>
      </c>
      <c r="K49" s="329">
        <f>C49*(SUM(Distribución.Gastos!$A$72:$A$75))</f>
        <v>14455893.737708027</v>
      </c>
      <c r="L49" s="327">
        <f t="shared" si="8"/>
        <v>10162184.749846896</v>
      </c>
      <c r="M49" s="329">
        <f>'Estado.Gen.Costos.Gastos'!$N$12+'Estado.Gen.Costos.Gastos'!$N$20+'Estado.Gen.Costos.Gastos'!$N$38</f>
        <v>39587.563895020896</v>
      </c>
      <c r="N49" s="335">
        <f t="shared" si="9"/>
        <v>10201772.313741917</v>
      </c>
      <c r="O49" s="327"/>
      <c r="P49" s="329">
        <v>0</v>
      </c>
      <c r="Q49" s="329">
        <v>0</v>
      </c>
      <c r="R49" s="171"/>
      <c r="S49" s="2"/>
      <c r="T49" s="2"/>
      <c r="U49" s="2"/>
      <c r="V49" s="171"/>
    </row>
    <row r="50" spans="1:22" x14ac:dyDescent="0.35">
      <c r="A50" s="426"/>
      <c r="B50" s="230" t="s">
        <v>440</v>
      </c>
      <c r="C50" s="328">
        <f>ProyeccionEstadoVentas!M52</f>
        <v>35169068.065657914</v>
      </c>
      <c r="D50" s="328">
        <f>'Estado.Gen.Costos.Gastos'!Y51</f>
        <v>19942771.678029813</v>
      </c>
      <c r="E50" s="328">
        <f>'Estado.Gen.Costos.Gastos'!Z51</f>
        <v>3674172.0585230258</v>
      </c>
      <c r="F50" s="328">
        <f t="shared" si="4"/>
        <v>23616943.736552838</v>
      </c>
      <c r="G50" s="327">
        <f t="shared" si="7"/>
        <v>15226296.387628101</v>
      </c>
      <c r="H50" s="327">
        <f t="shared" si="2"/>
        <v>11552124.329105075</v>
      </c>
      <c r="I50" s="327">
        <v>0</v>
      </c>
      <c r="J50" s="327">
        <f t="shared" si="5"/>
        <v>11552124.329105075</v>
      </c>
      <c r="K50" s="329">
        <f>C50*(SUM(Distribución.Gastos!$A$72:$A$75))</f>
        <v>14455893.737708027</v>
      </c>
      <c r="L50" s="327">
        <f t="shared" si="8"/>
        <v>-2903769.4086029511</v>
      </c>
      <c r="M50" s="329">
        <f>'Estado.Gen.Costos.Gastos'!$N$12+'Estado.Gen.Costos.Gastos'!$N$20+'Estado.Gen.Costos.Gastos'!$N$38</f>
        <v>39587.563895020896</v>
      </c>
      <c r="N50" s="335">
        <f t="shared" si="9"/>
        <v>-2864181.84470793</v>
      </c>
      <c r="O50" s="327"/>
      <c r="P50" s="329">
        <v>0</v>
      </c>
      <c r="Q50" s="329">
        <v>0</v>
      </c>
      <c r="R50" s="171"/>
      <c r="S50" s="2"/>
      <c r="T50" s="2"/>
      <c r="U50" s="2"/>
      <c r="V50" s="171"/>
    </row>
    <row r="51" spans="1:22" ht="15" thickBot="1" x14ac:dyDescent="0.4">
      <c r="A51" s="426"/>
      <c r="B51" s="230" t="s">
        <v>441</v>
      </c>
      <c r="C51" s="328">
        <f>ProyeccionEstadoVentas!M53</f>
        <v>35169068.065657914</v>
      </c>
      <c r="D51" s="328">
        <f>'Estado.Gen.Costos.Gastos'!Y52</f>
        <v>6876817.5195799656</v>
      </c>
      <c r="E51" s="328">
        <f>'Estado.Gen.Costos.Gastos'!Z52</f>
        <v>3674172.0585230258</v>
      </c>
      <c r="F51" s="328">
        <f t="shared" si="4"/>
        <v>10550989.578102991</v>
      </c>
      <c r="G51" s="327">
        <f t="shared" si="7"/>
        <v>28292250.546077948</v>
      </c>
      <c r="H51" s="327">
        <f t="shared" si="2"/>
        <v>24618078.487554923</v>
      </c>
      <c r="I51" s="327">
        <v>0</v>
      </c>
      <c r="J51" s="327">
        <f t="shared" si="5"/>
        <v>24618078.487554923</v>
      </c>
      <c r="K51" s="329">
        <f>C51*(SUM(Distribución.Gastos!$A$72:$A$75))</f>
        <v>14455893.737708027</v>
      </c>
      <c r="L51" s="327">
        <f t="shared" si="8"/>
        <v>10162184.749846896</v>
      </c>
      <c r="M51" s="329">
        <f>'Estado.Gen.Costos.Gastos'!$N$12+'Estado.Gen.Costos.Gastos'!$N$20+'Estado.Gen.Costos.Gastos'!$N$38</f>
        <v>39587.563895020896</v>
      </c>
      <c r="N51" s="335">
        <f t="shared" si="9"/>
        <v>10201772.313741917</v>
      </c>
      <c r="O51" s="327"/>
      <c r="P51" s="329">
        <v>0</v>
      </c>
      <c r="Q51" s="329">
        <v>0</v>
      </c>
      <c r="R51" s="171"/>
      <c r="S51" s="2"/>
      <c r="T51" s="2"/>
      <c r="U51" s="2"/>
      <c r="V51" s="171"/>
    </row>
    <row r="52" spans="1:22" x14ac:dyDescent="0.35">
      <c r="A52" s="425">
        <v>5</v>
      </c>
      <c r="B52" s="311" t="s">
        <v>442</v>
      </c>
      <c r="C52" s="330">
        <f>ProyeccionEstadoVentas!M54</f>
        <v>36161928.505501077</v>
      </c>
      <c r="D52" s="330">
        <f>'Estado.Gen.Costos.Gastos'!Y53</f>
        <v>20505777.471159577</v>
      </c>
      <c r="E52" s="330">
        <f>'Estado.Gen.Costos.Gastos'!Z53</f>
        <v>3777897.8689219304</v>
      </c>
      <c r="F52" s="330">
        <f t="shared" si="4"/>
        <v>24283675.340081509</v>
      </c>
      <c r="G52" s="331">
        <f t="shared" si="7"/>
        <v>15656151.034341499</v>
      </c>
      <c r="H52" s="331">
        <f t="shared" si="2"/>
        <v>11878253.165419569</v>
      </c>
      <c r="I52" s="331">
        <v>0</v>
      </c>
      <c r="J52" s="331">
        <f t="shared" si="5"/>
        <v>11878253.165419569</v>
      </c>
      <c r="K52" s="332">
        <f>C52*(SUM(Distribución.Gastos!$A$72:$A$75))</f>
        <v>14863999.092901161</v>
      </c>
      <c r="L52" s="331">
        <f t="shared" si="8"/>
        <v>-2985745.9274815917</v>
      </c>
      <c r="M52" s="332">
        <f>'Estado.Gen.Costos.Gastos'!$Q$38+'Estado.Gen.Costos.Gastos'!$Q$12</f>
        <v>40705.163202109448</v>
      </c>
      <c r="N52" s="339">
        <f t="shared" si="9"/>
        <v>-2945040.7642794824</v>
      </c>
      <c r="O52" s="327"/>
      <c r="P52" s="329">
        <v>0</v>
      </c>
      <c r="Q52" s="329">
        <v>0</v>
      </c>
      <c r="R52" s="171"/>
      <c r="S52" s="2"/>
      <c r="T52" s="2"/>
      <c r="U52" s="2"/>
      <c r="V52" s="171"/>
    </row>
    <row r="53" spans="1:22" x14ac:dyDescent="0.35">
      <c r="A53" s="426"/>
      <c r="B53" s="230" t="s">
        <v>443</v>
      </c>
      <c r="C53" s="328">
        <f>ProyeccionEstadoVentas!M55</f>
        <v>36161928.505501077</v>
      </c>
      <c r="D53" s="328">
        <f>'Estado.Gen.Costos.Gastos'!Y54</f>
        <v>7070957.4397639316</v>
      </c>
      <c r="E53" s="328">
        <f>'Estado.Gen.Costos.Gastos'!Z54</f>
        <v>3777897.8689219304</v>
      </c>
      <c r="F53" s="328">
        <f t="shared" si="4"/>
        <v>10848855.308685862</v>
      </c>
      <c r="G53" s="327">
        <f t="shared" si="7"/>
        <v>29090971.065737143</v>
      </c>
      <c r="H53" s="327">
        <f t="shared" si="2"/>
        <v>25313073.196815211</v>
      </c>
      <c r="I53" s="327">
        <v>0</v>
      </c>
      <c r="J53" s="327">
        <f t="shared" si="5"/>
        <v>25313073.196815211</v>
      </c>
      <c r="K53" s="329">
        <f>C53*(SUM(Distribución.Gastos!$A$72:$A$75))</f>
        <v>14863999.092901161</v>
      </c>
      <c r="L53" s="327">
        <f t="shared" si="8"/>
        <v>10449074.10391405</v>
      </c>
      <c r="M53" s="329">
        <f>'Estado.Gen.Costos.Gastos'!$Q$38+'Estado.Gen.Costos.Gastos'!$Q$12</f>
        <v>40705.163202109448</v>
      </c>
      <c r="N53" s="335">
        <f t="shared" si="9"/>
        <v>10489779.267116159</v>
      </c>
      <c r="O53" s="327"/>
      <c r="P53" s="329">
        <v>0</v>
      </c>
      <c r="Q53" s="329">
        <v>0</v>
      </c>
      <c r="R53" s="171"/>
      <c r="S53" s="2"/>
      <c r="T53" s="2"/>
      <c r="U53" s="2"/>
      <c r="V53" s="171"/>
    </row>
    <row r="54" spans="1:22" x14ac:dyDescent="0.35">
      <c r="A54" s="426"/>
      <c r="B54" s="230" t="s">
        <v>444</v>
      </c>
      <c r="C54" s="328">
        <f>ProyeccionEstadoVentas!M56</f>
        <v>36161928.505501077</v>
      </c>
      <c r="D54" s="328">
        <f>'Estado.Gen.Costos.Gastos'!Y55</f>
        <v>20505777.471159577</v>
      </c>
      <c r="E54" s="328">
        <f>'Estado.Gen.Costos.Gastos'!Z55</f>
        <v>3777897.8689219304</v>
      </c>
      <c r="F54" s="328">
        <f t="shared" si="4"/>
        <v>24283675.340081509</v>
      </c>
      <c r="G54" s="327">
        <f t="shared" si="7"/>
        <v>15656151.034341499</v>
      </c>
      <c r="H54" s="327">
        <f t="shared" si="2"/>
        <v>11878253.165419569</v>
      </c>
      <c r="I54" s="327">
        <v>0</v>
      </c>
      <c r="J54" s="327">
        <f t="shared" si="5"/>
        <v>11878253.165419569</v>
      </c>
      <c r="K54" s="329">
        <f>C54*(SUM(Distribución.Gastos!$A$72:$A$75))</f>
        <v>14863999.092901161</v>
      </c>
      <c r="L54" s="327">
        <f t="shared" si="8"/>
        <v>-2985745.9274815917</v>
      </c>
      <c r="M54" s="329">
        <f>'Estado.Gen.Costos.Gastos'!$Q$38+'Estado.Gen.Costos.Gastos'!$Q$12</f>
        <v>40705.163202109448</v>
      </c>
      <c r="N54" s="335">
        <f t="shared" si="9"/>
        <v>-2945040.7642794824</v>
      </c>
      <c r="O54" s="327"/>
      <c r="P54" s="329">
        <v>0</v>
      </c>
      <c r="Q54" s="329">
        <v>0</v>
      </c>
      <c r="R54" s="171"/>
      <c r="S54" s="2"/>
      <c r="T54" s="2"/>
      <c r="U54" s="2"/>
      <c r="V54" s="171"/>
    </row>
    <row r="55" spans="1:22" x14ac:dyDescent="0.35">
      <c r="A55" s="426"/>
      <c r="B55" s="230" t="s">
        <v>445</v>
      </c>
      <c r="C55" s="328">
        <f>ProyeccionEstadoVentas!M57</f>
        <v>36161928.505501077</v>
      </c>
      <c r="D55" s="328">
        <f>'Estado.Gen.Costos.Gastos'!Y56</f>
        <v>7070957.4397639316</v>
      </c>
      <c r="E55" s="328">
        <f>'Estado.Gen.Costos.Gastos'!Z56</f>
        <v>3777897.8689219304</v>
      </c>
      <c r="F55" s="328">
        <f t="shared" si="4"/>
        <v>10848855.308685862</v>
      </c>
      <c r="G55" s="327">
        <f t="shared" si="7"/>
        <v>29090971.065737143</v>
      </c>
      <c r="H55" s="327">
        <f t="shared" si="2"/>
        <v>25313073.196815211</v>
      </c>
      <c r="I55" s="327">
        <v>0</v>
      </c>
      <c r="J55" s="327">
        <f t="shared" si="5"/>
        <v>25313073.196815211</v>
      </c>
      <c r="K55" s="329">
        <f>C55*(SUM(Distribución.Gastos!$A$72:$A$75))</f>
        <v>14863999.092901161</v>
      </c>
      <c r="L55" s="327">
        <f t="shared" si="8"/>
        <v>10449074.10391405</v>
      </c>
      <c r="M55" s="329">
        <f>'Estado.Gen.Costos.Gastos'!$Q$38+'Estado.Gen.Costos.Gastos'!$Q$12</f>
        <v>40705.163202109448</v>
      </c>
      <c r="N55" s="335">
        <f t="shared" si="9"/>
        <v>10489779.267116159</v>
      </c>
      <c r="O55" s="327"/>
      <c r="P55" s="329">
        <v>0</v>
      </c>
      <c r="Q55" s="329">
        <v>0</v>
      </c>
      <c r="R55" s="171"/>
      <c r="S55" s="2"/>
      <c r="T55" s="2"/>
      <c r="U55" s="2"/>
      <c r="V55" s="171"/>
    </row>
    <row r="56" spans="1:22" x14ac:dyDescent="0.35">
      <c r="A56" s="426"/>
      <c r="B56" s="230" t="s">
        <v>446</v>
      </c>
      <c r="C56" s="328">
        <f>ProyeccionEstadoVentas!M58</f>
        <v>36161928.505501077</v>
      </c>
      <c r="D56" s="328">
        <f>'Estado.Gen.Costos.Gastos'!Y57</f>
        <v>20505777.471159577</v>
      </c>
      <c r="E56" s="328">
        <f>'Estado.Gen.Costos.Gastos'!Z57</f>
        <v>3777897.8689219304</v>
      </c>
      <c r="F56" s="328">
        <f t="shared" si="4"/>
        <v>24283675.340081509</v>
      </c>
      <c r="G56" s="327">
        <f t="shared" si="7"/>
        <v>15656151.034341499</v>
      </c>
      <c r="H56" s="327">
        <f t="shared" si="2"/>
        <v>11878253.165419569</v>
      </c>
      <c r="I56" s="327">
        <v>0</v>
      </c>
      <c r="J56" s="327">
        <f t="shared" si="5"/>
        <v>11878253.165419569</v>
      </c>
      <c r="K56" s="329">
        <f>C56*(SUM(Distribución.Gastos!$A$72:$A$75))</f>
        <v>14863999.092901161</v>
      </c>
      <c r="L56" s="327">
        <f t="shared" si="8"/>
        <v>-2985745.9274815917</v>
      </c>
      <c r="M56" s="329">
        <f>'Estado.Gen.Costos.Gastos'!$Q$38+'Estado.Gen.Costos.Gastos'!$Q$12</f>
        <v>40705.163202109448</v>
      </c>
      <c r="N56" s="335">
        <f t="shared" si="9"/>
        <v>-2945040.7642794824</v>
      </c>
      <c r="O56" s="327"/>
      <c r="P56" s="329">
        <v>0</v>
      </c>
      <c r="Q56" s="329">
        <v>0</v>
      </c>
      <c r="R56" s="171"/>
      <c r="S56" s="2"/>
      <c r="T56" s="2"/>
      <c r="U56" s="2"/>
      <c r="V56" s="171"/>
    </row>
    <row r="57" spans="1:22" x14ac:dyDescent="0.35">
      <c r="A57" s="426"/>
      <c r="B57" s="230" t="s">
        <v>447</v>
      </c>
      <c r="C57" s="328">
        <f>ProyeccionEstadoVentas!M59</f>
        <v>36161928.505501077</v>
      </c>
      <c r="D57" s="328">
        <f>'Estado.Gen.Costos.Gastos'!Y58</f>
        <v>7070957.4397639316</v>
      </c>
      <c r="E57" s="328">
        <f>'Estado.Gen.Costos.Gastos'!Z58</f>
        <v>3777897.8689219304</v>
      </c>
      <c r="F57" s="328">
        <f t="shared" si="4"/>
        <v>10848855.308685862</v>
      </c>
      <c r="G57" s="327">
        <f t="shared" si="7"/>
        <v>29090971.065737143</v>
      </c>
      <c r="H57" s="327">
        <f t="shared" si="2"/>
        <v>25313073.196815211</v>
      </c>
      <c r="I57" s="327">
        <v>0</v>
      </c>
      <c r="J57" s="327">
        <f t="shared" si="5"/>
        <v>25313073.196815211</v>
      </c>
      <c r="K57" s="329">
        <f>C57*(SUM(Distribución.Gastos!$A$72:$A$75))</f>
        <v>14863999.092901161</v>
      </c>
      <c r="L57" s="327">
        <f t="shared" si="8"/>
        <v>10449074.10391405</v>
      </c>
      <c r="M57" s="329">
        <f>'Estado.Gen.Costos.Gastos'!$Q$38+'Estado.Gen.Costos.Gastos'!$Q$12</f>
        <v>40705.163202109448</v>
      </c>
      <c r="N57" s="335">
        <f t="shared" si="9"/>
        <v>10489779.267116159</v>
      </c>
      <c r="O57" s="327"/>
      <c r="P57" s="329">
        <v>0</v>
      </c>
      <c r="Q57" s="329">
        <v>0</v>
      </c>
      <c r="R57" s="171"/>
      <c r="S57" s="2"/>
      <c r="T57" s="2"/>
      <c r="U57" s="2"/>
      <c r="V57" s="171"/>
    </row>
    <row r="58" spans="1:22" x14ac:dyDescent="0.35">
      <c r="A58" s="426"/>
      <c r="B58" s="230" t="s">
        <v>448</v>
      </c>
      <c r="C58" s="328">
        <f>ProyeccionEstadoVentas!M60</f>
        <v>36161928.505501077</v>
      </c>
      <c r="D58" s="328">
        <f>'Estado.Gen.Costos.Gastos'!Y59</f>
        <v>20505777.471159577</v>
      </c>
      <c r="E58" s="328">
        <f>'Estado.Gen.Costos.Gastos'!Z59</f>
        <v>3777897.8689219304</v>
      </c>
      <c r="F58" s="328">
        <f t="shared" si="4"/>
        <v>24283675.340081509</v>
      </c>
      <c r="G58" s="327">
        <f t="shared" si="7"/>
        <v>15656151.034341499</v>
      </c>
      <c r="H58" s="327">
        <f t="shared" si="2"/>
        <v>11878253.165419569</v>
      </c>
      <c r="I58" s="327">
        <v>0</v>
      </c>
      <c r="J58" s="327">
        <f t="shared" si="5"/>
        <v>11878253.165419569</v>
      </c>
      <c r="K58" s="329">
        <f>C58*(SUM(Distribución.Gastos!$A$72:$A$75))</f>
        <v>14863999.092901161</v>
      </c>
      <c r="L58" s="327">
        <f t="shared" si="8"/>
        <v>-2985745.9274815917</v>
      </c>
      <c r="M58" s="329">
        <f>'Estado.Gen.Costos.Gastos'!$Q$38+'Estado.Gen.Costos.Gastos'!$Q$12</f>
        <v>40705.163202109448</v>
      </c>
      <c r="N58" s="335">
        <f t="shared" si="9"/>
        <v>-2945040.7642794824</v>
      </c>
      <c r="O58" s="327"/>
      <c r="P58" s="329">
        <v>0</v>
      </c>
      <c r="Q58" s="329">
        <v>0</v>
      </c>
      <c r="R58" s="171"/>
      <c r="S58" s="2"/>
      <c r="T58" s="2"/>
      <c r="U58" s="2"/>
      <c r="V58" s="171"/>
    </row>
    <row r="59" spans="1:22" x14ac:dyDescent="0.35">
      <c r="A59" s="426"/>
      <c r="B59" s="230" t="s">
        <v>449</v>
      </c>
      <c r="C59" s="328">
        <f>ProyeccionEstadoVentas!M61</f>
        <v>36161928.505501077</v>
      </c>
      <c r="D59" s="328">
        <f>'Estado.Gen.Costos.Gastos'!Y60</f>
        <v>7070957.4397639316</v>
      </c>
      <c r="E59" s="328">
        <f>'Estado.Gen.Costos.Gastos'!Z60</f>
        <v>3777897.8689219304</v>
      </c>
      <c r="F59" s="328">
        <f t="shared" si="4"/>
        <v>10848855.308685862</v>
      </c>
      <c r="G59" s="327">
        <f t="shared" si="7"/>
        <v>29090971.065737143</v>
      </c>
      <c r="H59" s="327">
        <f t="shared" si="2"/>
        <v>25313073.196815211</v>
      </c>
      <c r="I59" s="327">
        <v>0</v>
      </c>
      <c r="J59" s="327">
        <f t="shared" si="5"/>
        <v>25313073.196815211</v>
      </c>
      <c r="K59" s="329">
        <f>C59*(SUM(Distribución.Gastos!$A$72:$A$75))</f>
        <v>14863999.092901161</v>
      </c>
      <c r="L59" s="327">
        <f t="shared" si="8"/>
        <v>10449074.10391405</v>
      </c>
      <c r="M59" s="329">
        <f>'Estado.Gen.Costos.Gastos'!$Q$38+'Estado.Gen.Costos.Gastos'!$Q$12</f>
        <v>40705.163202109448</v>
      </c>
      <c r="N59" s="335">
        <f t="shared" si="9"/>
        <v>10489779.267116159</v>
      </c>
      <c r="O59" s="327"/>
      <c r="P59" s="329">
        <v>0</v>
      </c>
      <c r="Q59" s="329">
        <v>0</v>
      </c>
      <c r="R59" s="171"/>
      <c r="S59" s="2"/>
      <c r="T59" s="2"/>
      <c r="U59" s="2"/>
      <c r="V59" s="171"/>
    </row>
    <row r="60" spans="1:22" x14ac:dyDescent="0.35">
      <c r="A60" s="426"/>
      <c r="B60" s="230" t="s">
        <v>450</v>
      </c>
      <c r="C60" s="328">
        <f>ProyeccionEstadoVentas!M62</f>
        <v>36161928.505501077</v>
      </c>
      <c r="D60" s="328">
        <f>'Estado.Gen.Costos.Gastos'!Y61</f>
        <v>20505777.471159577</v>
      </c>
      <c r="E60" s="328">
        <f>'Estado.Gen.Costos.Gastos'!Z61</f>
        <v>3777897.8689219304</v>
      </c>
      <c r="F60" s="328">
        <f t="shared" si="4"/>
        <v>24283675.340081509</v>
      </c>
      <c r="G60" s="327">
        <f t="shared" si="7"/>
        <v>15656151.034341499</v>
      </c>
      <c r="H60" s="327">
        <f t="shared" si="2"/>
        <v>11878253.165419569</v>
      </c>
      <c r="I60" s="327">
        <v>0</v>
      </c>
      <c r="J60" s="327">
        <f t="shared" si="5"/>
        <v>11878253.165419569</v>
      </c>
      <c r="K60" s="329">
        <f>C60*(SUM(Distribución.Gastos!$A$72:$A$75))</f>
        <v>14863999.092901161</v>
      </c>
      <c r="L60" s="327">
        <f t="shared" si="8"/>
        <v>-2985745.9274815917</v>
      </c>
      <c r="M60" s="329">
        <f>'Estado.Gen.Costos.Gastos'!$Q$38+'Estado.Gen.Costos.Gastos'!$Q$12</f>
        <v>40705.163202109448</v>
      </c>
      <c r="N60" s="335">
        <f t="shared" si="9"/>
        <v>-2945040.7642794824</v>
      </c>
      <c r="O60" s="327"/>
      <c r="P60" s="329">
        <v>0</v>
      </c>
      <c r="Q60" s="329">
        <v>0</v>
      </c>
      <c r="R60" s="171"/>
      <c r="S60" s="2"/>
      <c r="T60" s="2"/>
      <c r="U60" s="2"/>
      <c r="V60" s="171"/>
    </row>
    <row r="61" spans="1:22" x14ac:dyDescent="0.35">
      <c r="A61" s="426"/>
      <c r="B61" s="230" t="s">
        <v>451</v>
      </c>
      <c r="C61" s="328">
        <f>ProyeccionEstadoVentas!M63</f>
        <v>36161928.505501077</v>
      </c>
      <c r="D61" s="328">
        <f>'Estado.Gen.Costos.Gastos'!Y62</f>
        <v>7070957.4397639316</v>
      </c>
      <c r="E61" s="328">
        <f>'Estado.Gen.Costos.Gastos'!Z62</f>
        <v>3777897.8689219304</v>
      </c>
      <c r="F61" s="328">
        <f t="shared" si="4"/>
        <v>10848855.308685862</v>
      </c>
      <c r="G61" s="327">
        <f t="shared" si="7"/>
        <v>29090971.065737143</v>
      </c>
      <c r="H61" s="327">
        <f t="shared" si="2"/>
        <v>25313073.196815211</v>
      </c>
      <c r="I61" s="327">
        <v>0</v>
      </c>
      <c r="J61" s="327">
        <f t="shared" si="5"/>
        <v>25313073.196815211</v>
      </c>
      <c r="K61" s="329">
        <f>C61*(SUM(Distribución.Gastos!$A$72:$A$75))</f>
        <v>14863999.092901161</v>
      </c>
      <c r="L61" s="327">
        <f t="shared" si="8"/>
        <v>10449074.10391405</v>
      </c>
      <c r="M61" s="329">
        <f>'Estado.Gen.Costos.Gastos'!$Q$38+'Estado.Gen.Costos.Gastos'!$Q$12</f>
        <v>40705.163202109448</v>
      </c>
      <c r="N61" s="335">
        <f t="shared" si="9"/>
        <v>10489779.267116159</v>
      </c>
      <c r="O61" s="327"/>
      <c r="P61" s="329">
        <v>0</v>
      </c>
      <c r="Q61" s="329">
        <v>0</v>
      </c>
      <c r="R61" s="171"/>
      <c r="S61" s="2"/>
      <c r="T61" s="2"/>
      <c r="U61" s="2"/>
      <c r="V61" s="171"/>
    </row>
    <row r="62" spans="1:22" x14ac:dyDescent="0.35">
      <c r="A62" s="426"/>
      <c r="B62" s="230" t="s">
        <v>452</v>
      </c>
      <c r="C62" s="328">
        <f>ProyeccionEstadoVentas!M64</f>
        <v>36161928.505501077</v>
      </c>
      <c r="D62" s="328">
        <f>'Estado.Gen.Costos.Gastos'!Y63</f>
        <v>20505777.471159577</v>
      </c>
      <c r="E62" s="328">
        <f>'Estado.Gen.Costos.Gastos'!Z63</f>
        <v>3777897.8689219304</v>
      </c>
      <c r="F62" s="328">
        <f t="shared" si="4"/>
        <v>24283675.340081509</v>
      </c>
      <c r="G62" s="327">
        <f t="shared" si="7"/>
        <v>15656151.034341499</v>
      </c>
      <c r="H62" s="327">
        <f t="shared" si="2"/>
        <v>11878253.165419569</v>
      </c>
      <c r="I62" s="327">
        <v>0</v>
      </c>
      <c r="J62" s="327">
        <f t="shared" si="5"/>
        <v>11878253.165419569</v>
      </c>
      <c r="K62" s="329">
        <f>C62*(SUM(Distribución.Gastos!$A$72:$A$75))</f>
        <v>14863999.092901161</v>
      </c>
      <c r="L62" s="327">
        <f t="shared" si="8"/>
        <v>-2985745.9274815917</v>
      </c>
      <c r="M62" s="329">
        <f>'Estado.Gen.Costos.Gastos'!$Q$38+'Estado.Gen.Costos.Gastos'!$Q$12</f>
        <v>40705.163202109448</v>
      </c>
      <c r="N62" s="335">
        <f t="shared" si="9"/>
        <v>-2945040.7642794824</v>
      </c>
      <c r="O62" s="327"/>
      <c r="P62" s="329">
        <v>0</v>
      </c>
      <c r="Q62" s="329">
        <v>0</v>
      </c>
      <c r="R62" s="171"/>
      <c r="S62" s="2"/>
      <c r="T62" s="2"/>
      <c r="U62" s="2"/>
      <c r="V62" s="171"/>
    </row>
    <row r="63" spans="1:22" ht="15" thickBot="1" x14ac:dyDescent="0.4">
      <c r="A63" s="427"/>
      <c r="B63" s="323" t="s">
        <v>453</v>
      </c>
      <c r="C63" s="324">
        <f>ProyeccionEstadoVentas!M65</f>
        <v>36161928.505501077</v>
      </c>
      <c r="D63" s="324">
        <f>'Estado.Gen.Costos.Gastos'!Y64</f>
        <v>7070957.4397639316</v>
      </c>
      <c r="E63" s="324">
        <f>'Estado.Gen.Costos.Gastos'!Z64</f>
        <v>3777897.8689219304</v>
      </c>
      <c r="F63" s="324">
        <f t="shared" si="4"/>
        <v>10848855.308685862</v>
      </c>
      <c r="G63" s="325">
        <f t="shared" si="7"/>
        <v>29090971.065737143</v>
      </c>
      <c r="H63" s="325">
        <f t="shared" si="2"/>
        <v>25313073.196815211</v>
      </c>
      <c r="I63" s="325">
        <v>0</v>
      </c>
      <c r="J63" s="325">
        <f t="shared" si="5"/>
        <v>25313073.196815211</v>
      </c>
      <c r="K63" s="337">
        <f>C63*(SUM(Distribución.Gastos!$A$72:$A$75))</f>
        <v>14863999.092901161</v>
      </c>
      <c r="L63" s="325">
        <f t="shared" si="8"/>
        <v>10449074.10391405</v>
      </c>
      <c r="M63" s="337">
        <f>'Estado.Gen.Costos.Gastos'!$Q$38+'Estado.Gen.Costos.Gastos'!$Q$12</f>
        <v>40705.163202109448</v>
      </c>
      <c r="N63" s="338">
        <f t="shared" si="9"/>
        <v>10489779.267116159</v>
      </c>
      <c r="O63" s="327"/>
      <c r="P63" s="329">
        <v>0</v>
      </c>
      <c r="Q63" s="329">
        <v>0</v>
      </c>
      <c r="R63" s="171"/>
      <c r="S63" s="2"/>
      <c r="T63" s="2"/>
      <c r="U63" s="2"/>
      <c r="V63" s="171"/>
    </row>
    <row r="64" spans="1:22" x14ac:dyDescent="0.35">
      <c r="C64" s="328"/>
      <c r="D64" s="328"/>
      <c r="E64" s="328"/>
      <c r="F64" s="328"/>
      <c r="G64" s="327"/>
      <c r="H64" s="327"/>
      <c r="I64" s="327"/>
      <c r="J64" s="327"/>
      <c r="K64" s="329"/>
      <c r="L64" s="327"/>
      <c r="M64" s="329"/>
      <c r="N64" s="327"/>
      <c r="O64" s="327"/>
      <c r="P64" s="329"/>
      <c r="Q64" s="329"/>
      <c r="R64" s="171"/>
      <c r="S64" s="2"/>
      <c r="T64" s="2"/>
      <c r="U64" s="2"/>
      <c r="V64" s="171"/>
    </row>
    <row r="65" spans="3:22" x14ac:dyDescent="0.35">
      <c r="C65" s="328"/>
      <c r="D65" s="328"/>
      <c r="E65" s="328"/>
      <c r="F65" s="328"/>
      <c r="G65" s="327"/>
      <c r="H65" s="327"/>
      <c r="I65" s="327"/>
      <c r="J65" s="327"/>
      <c r="K65" s="329"/>
      <c r="L65" s="327"/>
      <c r="M65" s="329"/>
      <c r="N65" s="327"/>
      <c r="O65" s="327"/>
      <c r="P65" s="329"/>
      <c r="Q65" s="329"/>
      <c r="R65" s="171"/>
      <c r="S65" s="2"/>
      <c r="T65" s="2"/>
      <c r="U65" s="2"/>
      <c r="V65" s="171"/>
    </row>
    <row r="66" spans="3:22" x14ac:dyDescent="0.35">
      <c r="C66" s="328"/>
      <c r="D66" s="328"/>
      <c r="E66" s="328"/>
      <c r="F66" s="328"/>
      <c r="G66" s="327"/>
      <c r="H66" s="327"/>
      <c r="I66" s="327"/>
      <c r="J66" s="327"/>
      <c r="K66" s="329"/>
      <c r="L66" s="327"/>
      <c r="M66" s="329"/>
      <c r="N66" s="327"/>
      <c r="O66" s="327"/>
      <c r="P66" s="329"/>
      <c r="Q66" s="329"/>
      <c r="R66" s="171"/>
      <c r="S66" s="2"/>
      <c r="T66" s="2"/>
      <c r="U66" s="2"/>
      <c r="V66" s="171"/>
    </row>
  </sheetData>
  <mergeCells count="5">
    <mergeCell ref="A4:A15"/>
    <mergeCell ref="A16:A27"/>
    <mergeCell ref="A28:A39"/>
    <mergeCell ref="A40:A51"/>
    <mergeCell ref="A52:A63"/>
  </mergeCells>
  <phoneticPr fontId="7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66BB-2784-4682-BE9A-8950A94D21AC}">
  <dimension ref="A3:J35"/>
  <sheetViews>
    <sheetView workbookViewId="0">
      <selection activeCell="I5" activeCellId="1" sqref="B5 I5"/>
    </sheetView>
  </sheetViews>
  <sheetFormatPr baseColWidth="10" defaultColWidth="11.453125" defaultRowHeight="14" x14ac:dyDescent="0.3"/>
  <cols>
    <col min="1" max="1" width="11.453125" style="230"/>
    <col min="2" max="2" width="23.7265625" style="230" bestFit="1" customWidth="1"/>
    <col min="3" max="3" width="14.54296875" style="230" bestFit="1" customWidth="1"/>
    <col min="4" max="4" width="14.81640625" style="230" bestFit="1" customWidth="1"/>
    <col min="5" max="5" width="14.54296875" style="230" customWidth="1"/>
    <col min="6" max="6" width="17" style="230" customWidth="1"/>
    <col min="7" max="7" width="14.1796875" style="230" bestFit="1" customWidth="1"/>
    <col min="8" max="8" width="16" style="230" customWidth="1"/>
    <col min="9" max="10" width="14.81640625" style="230" customWidth="1"/>
    <col min="11" max="11" width="14.1796875" style="230" customWidth="1"/>
    <col min="12" max="12" width="14.453125" style="230" customWidth="1"/>
    <col min="13" max="13" width="11.54296875" style="230" bestFit="1" customWidth="1"/>
    <col min="14" max="16384" width="11.453125" style="230"/>
  </cols>
  <sheetData>
    <row r="3" spans="1:10" x14ac:dyDescent="0.3">
      <c r="B3" s="455" t="s">
        <v>474</v>
      </c>
      <c r="C3" s="454" t="s">
        <v>475</v>
      </c>
      <c r="D3" s="454"/>
      <c r="E3" s="455" t="s">
        <v>476</v>
      </c>
      <c r="F3" s="455" t="s">
        <v>477</v>
      </c>
      <c r="G3" s="454" t="s">
        <v>282</v>
      </c>
      <c r="H3" s="454"/>
      <c r="I3" s="274"/>
    </row>
    <row r="4" spans="1:10" ht="28" x14ac:dyDescent="0.3">
      <c r="B4" s="456"/>
      <c r="C4" s="241" t="s">
        <v>478</v>
      </c>
      <c r="D4" s="241" t="s">
        <v>489</v>
      </c>
      <c r="E4" s="456"/>
      <c r="F4" s="456"/>
      <c r="G4" s="275" t="s">
        <v>479</v>
      </c>
      <c r="H4" s="275" t="s">
        <v>480</v>
      </c>
      <c r="I4" s="274" t="s">
        <v>481</v>
      </c>
    </row>
    <row r="5" spans="1:10" ht="14.5" x14ac:dyDescent="0.35">
      <c r="B5" s="276" t="s">
        <v>980</v>
      </c>
      <c r="C5" s="277">
        <v>1100000</v>
      </c>
      <c r="D5" s="277">
        <v>39000</v>
      </c>
      <c r="E5" s="276">
        <v>24</v>
      </c>
      <c r="F5" s="276">
        <v>3</v>
      </c>
      <c r="G5" s="278">
        <v>4287.5600000000004</v>
      </c>
      <c r="H5" s="278">
        <f>'Costo.Herr.Serv.'!$C$43</f>
        <v>731.10839999999996</v>
      </c>
      <c r="I5" s="378" t="s">
        <v>482</v>
      </c>
      <c r="J5" s="230" t="s">
        <v>40</v>
      </c>
    </row>
    <row r="6" spans="1:10" x14ac:dyDescent="0.3">
      <c r="B6" s="276" t="s">
        <v>483</v>
      </c>
      <c r="C6" s="277">
        <v>750000</v>
      </c>
      <c r="D6" s="279" t="s">
        <v>484</v>
      </c>
      <c r="E6" s="276">
        <v>30</v>
      </c>
      <c r="F6" s="276">
        <v>3</v>
      </c>
      <c r="G6" s="278">
        <v>4287.5600000000004</v>
      </c>
      <c r="H6" s="278">
        <f>'Costo.Herr.Serv.'!$C$43</f>
        <v>731.10839999999996</v>
      </c>
      <c r="I6" s="236" t="s">
        <v>485</v>
      </c>
      <c r="J6" s="230" t="s">
        <v>40</v>
      </c>
    </row>
    <row r="7" spans="1:10" x14ac:dyDescent="0.3">
      <c r="B7" s="276" t="s">
        <v>486</v>
      </c>
      <c r="C7" s="277">
        <v>1650000</v>
      </c>
      <c r="D7" s="279" t="s">
        <v>484</v>
      </c>
      <c r="E7" s="276">
        <v>21.5</v>
      </c>
      <c r="F7" s="276">
        <v>3</v>
      </c>
      <c r="G7" s="278">
        <v>4287.5600000000004</v>
      </c>
      <c r="H7" s="278">
        <f>'Costo.Herr.Serv.'!$C$43</f>
        <v>731.10839999999996</v>
      </c>
      <c r="I7" s="236" t="s">
        <v>487</v>
      </c>
      <c r="J7" s="230" t="s">
        <v>40</v>
      </c>
    </row>
    <row r="11" spans="1:10" x14ac:dyDescent="0.3">
      <c r="B11" s="428" t="s">
        <v>488</v>
      </c>
      <c r="C11" s="428"/>
      <c r="D11" s="428"/>
      <c r="E11" s="428"/>
    </row>
    <row r="12" spans="1:10" ht="28" x14ac:dyDescent="0.3">
      <c r="B12" s="241" t="s">
        <v>478</v>
      </c>
      <c r="C12" s="241" t="s">
        <v>489</v>
      </c>
      <c r="D12" s="275" t="s">
        <v>479</v>
      </c>
      <c r="E12" s="275" t="s">
        <v>480</v>
      </c>
      <c r="F12" s="280"/>
    </row>
    <row r="13" spans="1:10" x14ac:dyDescent="0.3">
      <c r="B13" s="277">
        <v>1100000</v>
      </c>
      <c r="C13" s="277">
        <v>39000</v>
      </c>
      <c r="D13" s="278">
        <f>G5*4.054</f>
        <v>17381.768240000001</v>
      </c>
      <c r="E13" s="278">
        <f>'Costo.Herr.Serv.'!$C$43*28+'Costo.Herr.Serv.'!L43</f>
        <v>43281.617279999991</v>
      </c>
      <c r="F13" s="281"/>
    </row>
    <row r="15" spans="1:10" x14ac:dyDescent="0.3">
      <c r="A15" s="282">
        <v>0.2</v>
      </c>
      <c r="B15" s="428" t="s">
        <v>976</v>
      </c>
      <c r="C15" s="428"/>
      <c r="D15" s="428"/>
      <c r="E15" s="428"/>
    </row>
    <row r="16" spans="1:10" ht="28" x14ac:dyDescent="0.3">
      <c r="B16" s="241" t="s">
        <v>478</v>
      </c>
      <c r="C16" s="241" t="s">
        <v>489</v>
      </c>
      <c r="D16" s="275" t="s">
        <v>479</v>
      </c>
      <c r="E16" s="275" t="s">
        <v>480</v>
      </c>
      <c r="I16" s="283" t="s">
        <v>977</v>
      </c>
      <c r="J16" s="284">
        <f>SUM(B13:E13)</f>
        <v>1199663.3855199998</v>
      </c>
    </row>
    <row r="17" spans="1:10" x14ac:dyDescent="0.3">
      <c r="B17" s="277">
        <f>B13*$A$15</f>
        <v>220000</v>
      </c>
      <c r="C17" s="277">
        <f>C13*$A$15</f>
        <v>7800</v>
      </c>
      <c r="D17" s="277">
        <f>D13*$A$15</f>
        <v>3476.3536480000002</v>
      </c>
      <c r="E17" s="277">
        <f>E13*$A$15</f>
        <v>8656.3234559999983</v>
      </c>
      <c r="I17" s="236" t="s">
        <v>490</v>
      </c>
      <c r="J17" s="284">
        <f>SUM(D13:E13)</f>
        <v>60663.385519999996</v>
      </c>
    </row>
    <row r="18" spans="1:10" x14ac:dyDescent="0.3">
      <c r="I18" s="236" t="s">
        <v>491</v>
      </c>
      <c r="J18" s="284">
        <f>B13+C13</f>
        <v>1139000</v>
      </c>
    </row>
    <row r="19" spans="1:10" x14ac:dyDescent="0.3">
      <c r="A19" s="282">
        <v>0.8</v>
      </c>
      <c r="B19" s="428" t="s">
        <v>978</v>
      </c>
      <c r="C19" s="428"/>
      <c r="D19" s="428"/>
      <c r="E19" s="428"/>
    </row>
    <row r="20" spans="1:10" ht="28" x14ac:dyDescent="0.3">
      <c r="B20" s="241" t="s">
        <v>478</v>
      </c>
      <c r="C20" s="241" t="s">
        <v>489</v>
      </c>
      <c r="D20" s="275" t="s">
        <v>479</v>
      </c>
      <c r="E20" s="275" t="s">
        <v>480</v>
      </c>
    </row>
    <row r="21" spans="1:10" x14ac:dyDescent="0.3">
      <c r="B21" s="277">
        <f>B13*$A$19</f>
        <v>880000</v>
      </c>
      <c r="C21" s="277">
        <f>C13*$A$19</f>
        <v>31200</v>
      </c>
      <c r="D21" s="277">
        <f>D13*$A$19</f>
        <v>13905.414592000001</v>
      </c>
      <c r="E21" s="277">
        <f>E13*$A$19</f>
        <v>34625.293823999993</v>
      </c>
    </row>
    <row r="24" spans="1:10" ht="30" customHeight="1" x14ac:dyDescent="0.3"/>
    <row r="26" spans="1:10" x14ac:dyDescent="0.3">
      <c r="B26" s="285">
        <f>B29*(1-A29)</f>
        <v>1038180</v>
      </c>
    </row>
    <row r="27" spans="1:10" x14ac:dyDescent="0.3">
      <c r="A27" s="453" t="s">
        <v>979</v>
      </c>
      <c r="B27" s="453"/>
    </row>
    <row r="28" spans="1:10" x14ac:dyDescent="0.3">
      <c r="A28" s="286" t="s">
        <v>492</v>
      </c>
      <c r="B28" s="286" t="s">
        <v>123</v>
      </c>
      <c r="C28" s="274" t="s">
        <v>493</v>
      </c>
    </row>
    <row r="29" spans="1:10" x14ac:dyDescent="0.3">
      <c r="A29" s="287">
        <f>General!B86</f>
        <v>5.62E-2</v>
      </c>
      <c r="B29" s="288">
        <f>B13</f>
        <v>1100000</v>
      </c>
      <c r="C29" s="236">
        <f>General!A86</f>
        <v>2022</v>
      </c>
    </row>
    <row r="30" spans="1:10" x14ac:dyDescent="0.3">
      <c r="A30" s="287">
        <f>General!B87</f>
        <v>5.5300000000002569E-2</v>
      </c>
      <c r="B30" s="288">
        <f>$B$26*(1+A30)</f>
        <v>1095591.3540000026</v>
      </c>
      <c r="C30" s="236">
        <f>General!A87</f>
        <v>2023</v>
      </c>
    </row>
    <row r="31" spans="1:10" x14ac:dyDescent="0.3">
      <c r="A31" s="287">
        <f>General!B88</f>
        <v>6.4400000000002677E-2</v>
      </c>
      <c r="B31" s="288">
        <f t="shared" ref="B31:B34" si="0">$B$26*(1+A31)</f>
        <v>1105038.7920000027</v>
      </c>
      <c r="C31" s="236">
        <f>General!A88</f>
        <v>2024</v>
      </c>
    </row>
    <row r="32" spans="1:10" x14ac:dyDescent="0.3">
      <c r="A32" s="287">
        <f>General!B89</f>
        <v>7.3500000000002785E-2</v>
      </c>
      <c r="B32" s="288">
        <f t="shared" si="0"/>
        <v>1114486.2300000028</v>
      </c>
      <c r="C32" s="236">
        <f>General!A89</f>
        <v>2025</v>
      </c>
    </row>
    <row r="33" spans="1:3" x14ac:dyDescent="0.3">
      <c r="A33" s="287">
        <f>General!B90</f>
        <v>8.2600000000002893E-2</v>
      </c>
      <c r="B33" s="288">
        <f t="shared" si="0"/>
        <v>1123933.6680000031</v>
      </c>
      <c r="C33" s="236">
        <f>General!A90</f>
        <v>2026</v>
      </c>
    </row>
    <row r="34" spans="1:3" x14ac:dyDescent="0.3">
      <c r="A34" s="287">
        <f>General!B91</f>
        <v>9.1700000000003001E-2</v>
      </c>
      <c r="B34" s="288">
        <f t="shared" si="0"/>
        <v>1133381.1060000032</v>
      </c>
      <c r="C34" s="236">
        <f>General!A91</f>
        <v>2027</v>
      </c>
    </row>
    <row r="35" spans="1:3" x14ac:dyDescent="0.3">
      <c r="A35" s="289"/>
    </row>
  </sheetData>
  <mergeCells count="9">
    <mergeCell ref="B19:E19"/>
    <mergeCell ref="A27:B27"/>
    <mergeCell ref="B11:E11"/>
    <mergeCell ref="C3:D3"/>
    <mergeCell ref="G3:H3"/>
    <mergeCell ref="B3:B4"/>
    <mergeCell ref="E3:E4"/>
    <mergeCell ref="F3:F4"/>
    <mergeCell ref="B15:E15"/>
  </mergeCells>
  <hyperlinks>
    <hyperlink ref="I5" r:id="rId1" xr:uid="{9B58DEB3-8DED-432F-BB4F-1AAE4BD25A7F}"/>
  </hyperlinks>
  <pageMargins left="0.7" right="0.7" top="0.75" bottom="0.75" header="0.3" footer="0.3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4D19-E114-4506-A3C5-A9ABA8B6D572}">
  <dimension ref="A1:I18"/>
  <sheetViews>
    <sheetView workbookViewId="0">
      <selection activeCell="B10" sqref="B10:H15"/>
    </sheetView>
  </sheetViews>
  <sheetFormatPr baseColWidth="10" defaultColWidth="11.453125" defaultRowHeight="14.5" x14ac:dyDescent="0.35"/>
  <cols>
    <col min="1" max="1" width="6" bestFit="1" customWidth="1"/>
    <col min="2" max="2" width="15" bestFit="1" customWidth="1"/>
    <col min="3" max="3" width="15.453125" bestFit="1" customWidth="1"/>
    <col min="4" max="4" width="17.7265625" bestFit="1" customWidth="1"/>
    <col min="5" max="5" width="15.453125" bestFit="1" customWidth="1"/>
    <col min="6" max="6" width="17.26953125" customWidth="1"/>
    <col min="7" max="8" width="15.54296875" bestFit="1" customWidth="1"/>
  </cols>
  <sheetData>
    <row r="1" spans="1:9" x14ac:dyDescent="0.35">
      <c r="B1" s="380" t="s">
        <v>454</v>
      </c>
      <c r="C1" s="2">
        <f>PYG!Q3</f>
        <v>50078958.096188962</v>
      </c>
      <c r="E1" s="381">
        <f>General!C68</f>
        <v>15.640000000000327</v>
      </c>
      <c r="F1" s="218" t="s">
        <v>455</v>
      </c>
    </row>
    <row r="2" spans="1:9" x14ac:dyDescent="0.35">
      <c r="C2" s="2"/>
      <c r="D2" s="379" t="s">
        <v>981</v>
      </c>
    </row>
    <row r="3" spans="1:9" x14ac:dyDescent="0.35">
      <c r="A3" s="15"/>
      <c r="B3" s="379" t="s">
        <v>456</v>
      </c>
      <c r="C3" s="379" t="s">
        <v>457</v>
      </c>
      <c r="D3" s="50">
        <f>-C1</f>
        <v>-50078958.096188962</v>
      </c>
      <c r="G3" t="s">
        <v>944</v>
      </c>
      <c r="H3" t="s">
        <v>945</v>
      </c>
    </row>
    <row r="4" spans="1:9" x14ac:dyDescent="0.35">
      <c r="A4" s="379" t="s">
        <v>458</v>
      </c>
      <c r="B4" s="105">
        <f>SUM(PYG!C3:C15)</f>
        <v>321904867.46128446</v>
      </c>
      <c r="C4" s="105">
        <f>SUM(PYG!F3:F15)+SUM(PYG!K3:K15)</f>
        <v>335765441.37908143</v>
      </c>
      <c r="D4" s="50">
        <f>B4-C4</f>
        <v>-13860573.917796969</v>
      </c>
      <c r="G4" t="s">
        <v>946</v>
      </c>
      <c r="H4" t="s">
        <v>947</v>
      </c>
      <c r="I4" t="s">
        <v>948</v>
      </c>
    </row>
    <row r="5" spans="1:9" x14ac:dyDescent="0.35">
      <c r="A5" s="379" t="s">
        <v>459</v>
      </c>
      <c r="B5" s="105">
        <f>SUM(PYG!C16:C27)</f>
        <v>398200166.23165935</v>
      </c>
      <c r="C5" s="105">
        <f>SUM(PYG!F16:F27)+SUM(PYG!K16:K27)</f>
        <v>357108628.20645773</v>
      </c>
      <c r="D5" s="50">
        <f t="shared" ref="D5:D8" si="0">B5-C5</f>
        <v>41091538.025201619</v>
      </c>
    </row>
    <row r="6" spans="1:9" x14ac:dyDescent="0.35">
      <c r="A6" s="379" t="s">
        <v>460</v>
      </c>
      <c r="B6" s="105">
        <f>SUM(PYG!C28:C39)</f>
        <v>410114491.50977701</v>
      </c>
      <c r="C6" s="105">
        <f>SUM(PYG!F28:F39)+SUM(PYG!K28:K39)</f>
        <v>367793476.47344458</v>
      </c>
      <c r="D6" s="50">
        <f t="shared" si="0"/>
        <v>42321015.036332428</v>
      </c>
    </row>
    <row r="7" spans="1:9" x14ac:dyDescent="0.35">
      <c r="A7" s="379" t="s">
        <v>461</v>
      </c>
      <c r="B7" s="105">
        <f>SUM(PYG!C40:C51)</f>
        <v>422028816.78789496</v>
      </c>
      <c r="C7" s="105">
        <f>SUM(PYG!F40:F51)+SUM(PYG!K40:K51)</f>
        <v>378478324.74043131</v>
      </c>
      <c r="D7" s="50">
        <f t="shared" si="0"/>
        <v>43550492.047463655</v>
      </c>
    </row>
    <row r="8" spans="1:9" x14ac:dyDescent="0.35">
      <c r="A8" s="379" t="s">
        <v>462</v>
      </c>
      <c r="B8" s="105">
        <f>SUM(PYG!C52:C63)</f>
        <v>433943142.06601304</v>
      </c>
      <c r="C8" s="105">
        <f>SUM(PYG!F52:F63)+SUM(PYG!K52:K63)</f>
        <v>389163173.00741816</v>
      </c>
      <c r="D8" s="50">
        <f t="shared" si="0"/>
        <v>44779969.058594882</v>
      </c>
    </row>
    <row r="9" spans="1:9" x14ac:dyDescent="0.35">
      <c r="B9" s="2"/>
      <c r="C9" s="2"/>
      <c r="D9" s="2"/>
    </row>
    <row r="10" spans="1:9" x14ac:dyDescent="0.35">
      <c r="B10" s="457" t="s">
        <v>982</v>
      </c>
      <c r="C10" s="457"/>
      <c r="D10" s="457"/>
      <c r="E10" s="457"/>
      <c r="F10" s="457"/>
      <c r="G10" s="457"/>
      <c r="H10" s="457"/>
    </row>
    <row r="11" spans="1:9" x14ac:dyDescent="0.35">
      <c r="B11" s="230"/>
      <c r="C11" s="230"/>
      <c r="D11" s="341" t="s">
        <v>463</v>
      </c>
      <c r="E11" s="341" t="s">
        <v>464</v>
      </c>
      <c r="F11" s="341" t="s">
        <v>465</v>
      </c>
      <c r="G11" s="341" t="s">
        <v>466</v>
      </c>
      <c r="H11" s="341" t="s">
        <v>467</v>
      </c>
    </row>
    <row r="12" spans="1:9" ht="28.5" x14ac:dyDescent="0.35">
      <c r="B12" s="342" t="s">
        <v>468</v>
      </c>
      <c r="C12" s="328"/>
      <c r="D12" s="343">
        <f>-1*D3-D4</f>
        <v>63939532.013985932</v>
      </c>
      <c r="E12" s="343">
        <f>D12-D5</f>
        <v>22847993.988784313</v>
      </c>
      <c r="F12" s="343">
        <f>E12-D6</f>
        <v>-19473021.047548115</v>
      </c>
      <c r="G12" s="344">
        <f>F12-D7</f>
        <v>-63023513.095011771</v>
      </c>
      <c r="H12" s="344">
        <f>G12-D8</f>
        <v>-107803482.15360665</v>
      </c>
    </row>
    <row r="13" spans="1:9" x14ac:dyDescent="0.35">
      <c r="B13" s="345"/>
      <c r="C13" s="328"/>
      <c r="D13" s="346" t="str">
        <f>IF(D12&lt;0,-D12/$C$1," no")</f>
        <v xml:space="preserve"> no</v>
      </c>
      <c r="E13" s="346" t="str">
        <f>IF(E12&lt;0,-E12/$C$1+COUNT(D12),"no ")</f>
        <v xml:space="preserve">no </v>
      </c>
      <c r="F13" s="236">
        <f>IF(F12&lt;0,-F12/$C$1+COUNT(D12:E12)," ")</f>
        <v>2.3888463695699378</v>
      </c>
      <c r="G13" s="230"/>
      <c r="H13" s="230"/>
    </row>
    <row r="14" spans="1:9" x14ac:dyDescent="0.35">
      <c r="B14" s="274" t="s">
        <v>469</v>
      </c>
      <c r="C14" s="344">
        <f>D3</f>
        <v>-50078958.096188962</v>
      </c>
      <c r="D14" s="347">
        <f>NPV(E1%,D4:D8)</f>
        <v>92117185.443902791</v>
      </c>
      <c r="E14" s="348">
        <f>C14+D14</f>
        <v>42038227.347713828</v>
      </c>
      <c r="F14" s="230"/>
      <c r="G14" s="230"/>
      <c r="H14" s="230"/>
    </row>
    <row r="15" spans="1:9" x14ac:dyDescent="0.35">
      <c r="B15" s="274" t="s">
        <v>470</v>
      </c>
      <c r="C15" s="349">
        <f>IRR(D3:D8)</f>
        <v>0.36844935954727842</v>
      </c>
      <c r="D15" s="230"/>
      <c r="E15" s="230"/>
      <c r="F15" s="230"/>
      <c r="G15" s="230"/>
      <c r="H15" s="230"/>
    </row>
    <row r="16" spans="1:9" ht="28.5" x14ac:dyDescent="0.35">
      <c r="B16" s="342" t="s">
        <v>471</v>
      </c>
      <c r="C16" s="349">
        <f>-NPV(50%,D4:D8)/D3</f>
        <v>0.7200948571433734</v>
      </c>
      <c r="D16" s="230"/>
      <c r="E16" s="230"/>
      <c r="F16" s="230"/>
      <c r="G16" s="230"/>
      <c r="H16" s="230"/>
    </row>
    <row r="17" spans="2:8" ht="28.5" x14ac:dyDescent="0.35">
      <c r="B17" s="342" t="s">
        <v>472</v>
      </c>
      <c r="C17" s="344">
        <f>AVERAGE(D4:D8)/5</f>
        <v>6315297.6099918243</v>
      </c>
      <c r="D17" s="230"/>
      <c r="E17" s="230"/>
      <c r="F17" s="230"/>
      <c r="G17" s="230"/>
      <c r="H17" s="230"/>
    </row>
    <row r="18" spans="2:8" ht="28.5" x14ac:dyDescent="0.35">
      <c r="B18" s="342" t="s">
        <v>473</v>
      </c>
      <c r="C18" s="350">
        <f>C17/(-1*D3)</f>
        <v>0.12610680912853142</v>
      </c>
      <c r="D18" s="230"/>
      <c r="E18" s="230"/>
      <c r="F18" s="230"/>
      <c r="G18" s="230"/>
      <c r="H18" s="230"/>
    </row>
  </sheetData>
  <mergeCells count="1">
    <mergeCell ref="B10:H10"/>
  </mergeCells>
  <phoneticPr fontId="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E7E2D-5062-468D-82CA-53A2E0F29A98}">
  <dimension ref="A2:I36"/>
  <sheetViews>
    <sheetView tabSelected="1" topLeftCell="A7" workbookViewId="0"/>
  </sheetViews>
  <sheetFormatPr baseColWidth="10" defaultColWidth="11.453125" defaultRowHeight="14.5" x14ac:dyDescent="0.35"/>
  <cols>
    <col min="2" max="2" width="14.81640625" bestFit="1" customWidth="1"/>
    <col min="3" max="3" width="41.26953125" customWidth="1"/>
    <col min="4" max="4" width="45.453125" customWidth="1"/>
    <col min="5" max="7" width="15.26953125" bestFit="1" customWidth="1"/>
    <col min="8" max="8" width="11.7265625" bestFit="1" customWidth="1"/>
  </cols>
  <sheetData>
    <row r="2" spans="2:9" ht="118.5" customHeight="1" x14ac:dyDescent="0.35">
      <c r="B2" s="55" t="s">
        <v>171</v>
      </c>
      <c r="C2" s="12" t="s">
        <v>494</v>
      </c>
      <c r="D2" s="13" t="s">
        <v>495</v>
      </c>
    </row>
    <row r="4" spans="2:9" ht="15" thickBot="1" x14ac:dyDescent="0.4"/>
    <row r="5" spans="2:9" ht="15" thickBot="1" x14ac:dyDescent="0.4">
      <c r="B5" s="66"/>
      <c r="C5" s="67" t="s">
        <v>496</v>
      </c>
      <c r="D5" s="67" t="s">
        <v>497</v>
      </c>
      <c r="E5" s="67" t="s">
        <v>498</v>
      </c>
      <c r="F5" s="67" t="s">
        <v>499</v>
      </c>
      <c r="G5" s="68" t="s">
        <v>500</v>
      </c>
    </row>
    <row r="6" spans="2:9" ht="15" thickBot="1" x14ac:dyDescent="0.4">
      <c r="B6" s="67" t="s">
        <v>501</v>
      </c>
      <c r="C6" s="69">
        <v>0</v>
      </c>
      <c r="D6" s="69">
        <v>37</v>
      </c>
      <c r="E6" s="69">
        <v>13</v>
      </c>
      <c r="F6" s="69">
        <v>16</v>
      </c>
      <c r="G6" s="69">
        <v>20</v>
      </c>
      <c r="I6">
        <f>SUM(C6:G6)</f>
        <v>86</v>
      </c>
    </row>
    <row r="7" spans="2:9" ht="15" thickBot="1" x14ac:dyDescent="0.4">
      <c r="B7" s="67" t="s">
        <v>502</v>
      </c>
      <c r="C7" s="69">
        <v>0</v>
      </c>
      <c r="D7" s="69">
        <v>1</v>
      </c>
      <c r="E7" s="69">
        <v>4</v>
      </c>
      <c r="F7" s="69">
        <v>3</v>
      </c>
      <c r="G7" s="69">
        <v>1</v>
      </c>
    </row>
    <row r="8" spans="2:9" ht="15" thickBot="1" x14ac:dyDescent="0.4">
      <c r="B8" s="67" t="s">
        <v>503</v>
      </c>
      <c r="C8" s="69">
        <v>2</v>
      </c>
      <c r="D8" s="69">
        <v>21</v>
      </c>
      <c r="E8" s="69">
        <v>7</v>
      </c>
      <c r="F8" s="69">
        <v>15</v>
      </c>
      <c r="G8" s="69">
        <v>5</v>
      </c>
    </row>
    <row r="9" spans="2:9" ht="15" thickBot="1" x14ac:dyDescent="0.4">
      <c r="B9" s="66" t="s">
        <v>28</v>
      </c>
      <c r="C9" s="70">
        <v>2</v>
      </c>
      <c r="D9" s="70">
        <v>59</v>
      </c>
      <c r="E9" s="70">
        <v>24</v>
      </c>
      <c r="F9" s="70">
        <v>34</v>
      </c>
      <c r="G9" s="70">
        <v>26</v>
      </c>
    </row>
    <row r="10" spans="2:9" ht="15" thickBot="1" x14ac:dyDescent="0.4"/>
    <row r="11" spans="2:9" ht="15" thickBot="1" x14ac:dyDescent="0.4">
      <c r="B11" s="66"/>
      <c r="C11" s="67" t="s">
        <v>496</v>
      </c>
      <c r="D11" s="67" t="s">
        <v>497</v>
      </c>
      <c r="E11" s="67" t="s">
        <v>498</v>
      </c>
      <c r="F11" s="67" t="s">
        <v>499</v>
      </c>
      <c r="G11" s="68" t="s">
        <v>500</v>
      </c>
    </row>
    <row r="12" spans="2:9" ht="15" thickBot="1" x14ac:dyDescent="0.4">
      <c r="B12" s="67" t="s">
        <v>501</v>
      </c>
      <c r="C12" s="69">
        <v>0</v>
      </c>
      <c r="D12" s="71">
        <f>D6*100/$D$9</f>
        <v>62.711864406779661</v>
      </c>
      <c r="E12" s="71">
        <f>E6*100/$E$9</f>
        <v>54.166666666666664</v>
      </c>
      <c r="F12" s="71">
        <f>F6*100/$F$9</f>
        <v>47.058823529411768</v>
      </c>
      <c r="G12" s="71">
        <f>G6*100/$G$9</f>
        <v>76.92307692307692</v>
      </c>
    </row>
    <row r="13" spans="2:9" ht="15" thickBot="1" x14ac:dyDescent="0.4">
      <c r="B13" s="67" t="s">
        <v>502</v>
      </c>
      <c r="C13" s="69">
        <v>0</v>
      </c>
      <c r="D13" s="71">
        <f t="shared" ref="D13:D14" si="0">D7*100/$D$9</f>
        <v>1.6949152542372881</v>
      </c>
      <c r="E13" s="71">
        <f t="shared" ref="E13:E14" si="1">E7*100/$E$9</f>
        <v>16.666666666666668</v>
      </c>
      <c r="F13" s="71">
        <f t="shared" ref="F13:F14" si="2">F7*100/$F$9</f>
        <v>8.8235294117647065</v>
      </c>
      <c r="G13" s="71">
        <f t="shared" ref="G13:G14" si="3">G7*100/$G$9</f>
        <v>3.8461538461538463</v>
      </c>
    </row>
    <row r="14" spans="2:9" ht="15" thickBot="1" x14ac:dyDescent="0.4">
      <c r="B14" s="67" t="s">
        <v>503</v>
      </c>
      <c r="C14" s="69">
        <v>100</v>
      </c>
      <c r="D14" s="71">
        <f t="shared" si="0"/>
        <v>35.593220338983052</v>
      </c>
      <c r="E14" s="71">
        <f t="shared" si="1"/>
        <v>29.166666666666668</v>
      </c>
      <c r="F14" s="71">
        <f t="shared" si="2"/>
        <v>44.117647058823529</v>
      </c>
      <c r="G14" s="71">
        <f t="shared" si="3"/>
        <v>19.23076923076923</v>
      </c>
    </row>
    <row r="15" spans="2:9" ht="15" thickBot="1" x14ac:dyDescent="0.4">
      <c r="B15" s="66" t="s">
        <v>28</v>
      </c>
      <c r="C15" s="70">
        <v>100</v>
      </c>
      <c r="D15" s="70">
        <f>SUM(D12:D14)</f>
        <v>100</v>
      </c>
      <c r="E15" s="70">
        <f t="shared" ref="E15:G15" si="4">SUM(E12:E14)</f>
        <v>100</v>
      </c>
      <c r="F15" s="70">
        <f t="shared" si="4"/>
        <v>100</v>
      </c>
      <c r="G15" s="70">
        <f t="shared" si="4"/>
        <v>99.999999999999986</v>
      </c>
    </row>
    <row r="34" spans="1:6" x14ac:dyDescent="0.35">
      <c r="B34" t="s">
        <v>504</v>
      </c>
      <c r="C34" t="s">
        <v>505</v>
      </c>
      <c r="D34" t="s">
        <v>506</v>
      </c>
      <c r="E34" t="s">
        <v>507</v>
      </c>
    </row>
    <row r="35" spans="1:6" x14ac:dyDescent="0.35">
      <c r="A35" t="s">
        <v>508</v>
      </c>
      <c r="B35" s="1">
        <v>1</v>
      </c>
      <c r="C35" s="1">
        <v>29</v>
      </c>
      <c r="D35" s="1">
        <v>40</v>
      </c>
      <c r="E35" s="1">
        <v>16</v>
      </c>
      <c r="F35" s="1">
        <v>86</v>
      </c>
    </row>
    <row r="36" spans="1:6" x14ac:dyDescent="0.35">
      <c r="A36" t="s">
        <v>509</v>
      </c>
      <c r="B36" s="74">
        <v>1.162790698</v>
      </c>
      <c r="C36" s="74">
        <v>33.72093023</v>
      </c>
      <c r="D36" s="74">
        <v>46.511627910000001</v>
      </c>
      <c r="E36" s="74">
        <v>18.60465116</v>
      </c>
      <c r="F36" s="74">
        <v>100</v>
      </c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71C3C-C7CC-4A6A-9C91-20B36F629FB5}">
  <dimension ref="A1:Q248"/>
  <sheetViews>
    <sheetView workbookViewId="0"/>
  </sheetViews>
  <sheetFormatPr baseColWidth="10" defaultColWidth="11.453125" defaultRowHeight="14.5" x14ac:dyDescent="0.35"/>
  <cols>
    <col min="1" max="1" width="14.26953125" bestFit="1" customWidth="1"/>
  </cols>
  <sheetData>
    <row r="1" spans="1:17" ht="151.5" thickBot="1" x14ac:dyDescent="0.4">
      <c r="A1" s="66" t="s">
        <v>510</v>
      </c>
      <c r="B1" s="66" t="s">
        <v>511</v>
      </c>
      <c r="C1" s="66" t="s">
        <v>512</v>
      </c>
      <c r="D1" s="66" t="s">
        <v>513</v>
      </c>
      <c r="E1" s="66" t="s">
        <v>514</v>
      </c>
      <c r="F1" s="66" t="s">
        <v>515</v>
      </c>
      <c r="G1" s="66" t="s">
        <v>516</v>
      </c>
      <c r="H1" s="66" t="s">
        <v>517</v>
      </c>
      <c r="I1" s="66" t="s">
        <v>518</v>
      </c>
      <c r="J1" s="66" t="s">
        <v>519</v>
      </c>
      <c r="K1" s="66" t="s">
        <v>520</v>
      </c>
      <c r="L1" s="66" t="s">
        <v>521</v>
      </c>
      <c r="M1" s="66" t="s">
        <v>522</v>
      </c>
      <c r="N1" s="66" t="s">
        <v>523</v>
      </c>
      <c r="O1" s="66" t="s">
        <v>524</v>
      </c>
      <c r="P1" s="66" t="s">
        <v>525</v>
      </c>
      <c r="Q1" s="72" t="s">
        <v>526</v>
      </c>
    </row>
    <row r="2" spans="1:17" ht="126.5" thickBot="1" x14ac:dyDescent="0.4">
      <c r="A2" s="73">
        <v>44807.851967592593</v>
      </c>
      <c r="B2" s="66" t="s">
        <v>500</v>
      </c>
      <c r="C2" s="69">
        <v>2</v>
      </c>
      <c r="D2" s="66" t="s">
        <v>527</v>
      </c>
      <c r="E2" s="66" t="s">
        <v>528</v>
      </c>
      <c r="F2" s="66" t="s">
        <v>529</v>
      </c>
      <c r="G2" s="66" t="s">
        <v>530</v>
      </c>
      <c r="H2" s="66" t="s">
        <v>531</v>
      </c>
      <c r="I2" s="66" t="s">
        <v>532</v>
      </c>
      <c r="J2" s="66" t="s">
        <v>505</v>
      </c>
      <c r="K2" s="66" t="s">
        <v>502</v>
      </c>
      <c r="L2" s="66" t="s">
        <v>533</v>
      </c>
      <c r="M2" s="66" t="s">
        <v>534</v>
      </c>
      <c r="N2" s="66" t="s">
        <v>535</v>
      </c>
      <c r="O2" s="66" t="s">
        <v>536</v>
      </c>
      <c r="P2" s="66" t="s">
        <v>501</v>
      </c>
      <c r="Q2" s="66" t="s">
        <v>537</v>
      </c>
    </row>
    <row r="3" spans="1:17" ht="76.5" thickBot="1" x14ac:dyDescent="0.4">
      <c r="A3" s="73">
        <v>44807.853587962964</v>
      </c>
      <c r="B3" s="66" t="s">
        <v>497</v>
      </c>
      <c r="C3" s="69">
        <v>3</v>
      </c>
      <c r="D3" s="66" t="s">
        <v>527</v>
      </c>
      <c r="E3" s="66" t="s">
        <v>538</v>
      </c>
      <c r="F3" s="66" t="s">
        <v>529</v>
      </c>
      <c r="G3" s="66"/>
      <c r="H3" s="66" t="s">
        <v>539</v>
      </c>
      <c r="I3" s="66" t="s">
        <v>540</v>
      </c>
      <c r="J3" s="66" t="s">
        <v>504</v>
      </c>
      <c r="K3" s="66" t="s">
        <v>502</v>
      </c>
      <c r="L3" s="66" t="s">
        <v>541</v>
      </c>
      <c r="M3" s="66" t="s">
        <v>542</v>
      </c>
      <c r="N3" s="66" t="s">
        <v>123</v>
      </c>
      <c r="O3" s="66" t="s">
        <v>543</v>
      </c>
      <c r="P3" s="66" t="s">
        <v>502</v>
      </c>
      <c r="Q3" s="66"/>
    </row>
    <row r="4" spans="1:17" ht="89" thickBot="1" x14ac:dyDescent="0.4">
      <c r="A4" s="73">
        <v>44807.855324074073</v>
      </c>
      <c r="B4" s="66" t="s">
        <v>497</v>
      </c>
      <c r="C4" s="69">
        <v>1</v>
      </c>
      <c r="D4" s="66" t="s">
        <v>527</v>
      </c>
      <c r="E4" s="66" t="s">
        <v>544</v>
      </c>
      <c r="F4" s="66" t="s">
        <v>545</v>
      </c>
      <c r="G4" s="66" t="s">
        <v>530</v>
      </c>
      <c r="H4" s="66" t="s">
        <v>539</v>
      </c>
      <c r="I4" s="66" t="s">
        <v>546</v>
      </c>
      <c r="J4" s="66" t="s">
        <v>507</v>
      </c>
      <c r="K4" s="66" t="s">
        <v>502</v>
      </c>
      <c r="L4" s="66" t="s">
        <v>547</v>
      </c>
      <c r="M4" s="66" t="s">
        <v>534</v>
      </c>
      <c r="N4" s="66" t="s">
        <v>535</v>
      </c>
      <c r="O4" s="66" t="s">
        <v>548</v>
      </c>
      <c r="P4" s="66" t="s">
        <v>501</v>
      </c>
      <c r="Q4" s="66" t="s">
        <v>549</v>
      </c>
    </row>
    <row r="5" spans="1:17" ht="76.5" thickBot="1" x14ac:dyDescent="0.4">
      <c r="A5" s="73">
        <v>44807.856689814813</v>
      </c>
      <c r="B5" s="66" t="s">
        <v>497</v>
      </c>
      <c r="C5" s="69">
        <v>3</v>
      </c>
      <c r="D5" s="66" t="s">
        <v>550</v>
      </c>
      <c r="E5" s="66" t="s">
        <v>538</v>
      </c>
      <c r="F5" s="66" t="s">
        <v>545</v>
      </c>
      <c r="G5" s="66" t="s">
        <v>551</v>
      </c>
      <c r="H5" s="66" t="s">
        <v>539</v>
      </c>
      <c r="I5" s="66" t="s">
        <v>552</v>
      </c>
      <c r="J5" s="66" t="s">
        <v>506</v>
      </c>
      <c r="K5" s="66" t="s">
        <v>502</v>
      </c>
      <c r="L5" s="66" t="s">
        <v>553</v>
      </c>
      <c r="M5" s="66" t="s">
        <v>534</v>
      </c>
      <c r="N5" s="66" t="s">
        <v>535</v>
      </c>
      <c r="O5" s="66" t="s">
        <v>554</v>
      </c>
      <c r="P5" s="66" t="s">
        <v>501</v>
      </c>
      <c r="Q5" s="66"/>
    </row>
    <row r="6" spans="1:17" ht="76.5" thickBot="1" x14ac:dyDescent="0.4">
      <c r="A6" s="73">
        <v>44807.856979166667</v>
      </c>
      <c r="B6" s="66" t="s">
        <v>497</v>
      </c>
      <c r="C6" s="69">
        <v>3</v>
      </c>
      <c r="D6" s="66" t="s">
        <v>527</v>
      </c>
      <c r="E6" s="66" t="s">
        <v>538</v>
      </c>
      <c r="F6" s="66" t="s">
        <v>545</v>
      </c>
      <c r="G6" s="66" t="s">
        <v>555</v>
      </c>
      <c r="H6" s="66" t="s">
        <v>556</v>
      </c>
      <c r="I6" s="66" t="s">
        <v>540</v>
      </c>
      <c r="J6" s="66" t="s">
        <v>506</v>
      </c>
      <c r="K6" s="66" t="s">
        <v>502</v>
      </c>
      <c r="L6" s="66" t="s">
        <v>557</v>
      </c>
      <c r="M6" s="66" t="s">
        <v>534</v>
      </c>
      <c r="N6" s="66" t="s">
        <v>535</v>
      </c>
      <c r="O6" s="66" t="s">
        <v>543</v>
      </c>
      <c r="P6" s="66" t="s">
        <v>501</v>
      </c>
      <c r="Q6" s="72" t="s">
        <v>558</v>
      </c>
    </row>
    <row r="7" spans="1:17" ht="114" thickBot="1" x14ac:dyDescent="0.4">
      <c r="A7" s="73">
        <v>44807.861898148149</v>
      </c>
      <c r="B7" s="66" t="s">
        <v>497</v>
      </c>
      <c r="C7" s="69">
        <v>3</v>
      </c>
      <c r="D7" s="66" t="s">
        <v>559</v>
      </c>
      <c r="E7" s="66" t="s">
        <v>560</v>
      </c>
      <c r="F7" s="66" t="s">
        <v>545</v>
      </c>
      <c r="G7" s="66" t="s">
        <v>561</v>
      </c>
      <c r="H7" s="66" t="s">
        <v>562</v>
      </c>
      <c r="I7" s="66" t="s">
        <v>563</v>
      </c>
      <c r="J7" s="66" t="s">
        <v>507</v>
      </c>
      <c r="K7" s="66" t="s">
        <v>502</v>
      </c>
      <c r="L7" s="66" t="s">
        <v>564</v>
      </c>
      <c r="M7" s="66" t="s">
        <v>565</v>
      </c>
      <c r="N7" s="66" t="s">
        <v>566</v>
      </c>
      <c r="O7" s="66" t="s">
        <v>548</v>
      </c>
      <c r="P7" s="66" t="s">
        <v>501</v>
      </c>
      <c r="Q7" s="66" t="s">
        <v>567</v>
      </c>
    </row>
    <row r="8" spans="1:17" ht="76.5" thickBot="1" x14ac:dyDescent="0.4">
      <c r="A8" s="73">
        <v>44807.868692129632</v>
      </c>
      <c r="B8" s="66" t="s">
        <v>497</v>
      </c>
      <c r="C8" s="69">
        <v>3</v>
      </c>
      <c r="D8" s="66" t="s">
        <v>550</v>
      </c>
      <c r="E8" s="66" t="s">
        <v>568</v>
      </c>
      <c r="F8" s="66" t="s">
        <v>545</v>
      </c>
      <c r="G8" s="66" t="s">
        <v>530</v>
      </c>
      <c r="H8" s="66" t="s">
        <v>539</v>
      </c>
      <c r="I8" s="66" t="s">
        <v>569</v>
      </c>
      <c r="J8" s="66" t="s">
        <v>506</v>
      </c>
      <c r="K8" s="66" t="s">
        <v>502</v>
      </c>
      <c r="L8" s="66" t="s">
        <v>570</v>
      </c>
      <c r="M8" s="66" t="s">
        <v>571</v>
      </c>
      <c r="N8" s="66" t="s">
        <v>535</v>
      </c>
      <c r="O8" s="66" t="s">
        <v>536</v>
      </c>
      <c r="P8" s="66" t="s">
        <v>501</v>
      </c>
      <c r="Q8" s="66"/>
    </row>
    <row r="9" spans="1:17" ht="101.5" thickBot="1" x14ac:dyDescent="0.4">
      <c r="A9" s="73">
        <v>44807.869826388887</v>
      </c>
      <c r="B9" s="66" t="s">
        <v>497</v>
      </c>
      <c r="C9" s="69">
        <v>3</v>
      </c>
      <c r="D9" s="66" t="s">
        <v>527</v>
      </c>
      <c r="E9" s="66" t="s">
        <v>572</v>
      </c>
      <c r="F9" s="66" t="s">
        <v>545</v>
      </c>
      <c r="G9" s="66" t="s">
        <v>530</v>
      </c>
      <c r="H9" s="66" t="s">
        <v>573</v>
      </c>
      <c r="I9" s="66" t="s">
        <v>546</v>
      </c>
      <c r="J9" s="66" t="s">
        <v>505</v>
      </c>
      <c r="K9" s="66" t="s">
        <v>502</v>
      </c>
      <c r="L9" s="66" t="s">
        <v>541</v>
      </c>
      <c r="M9" s="66" t="s">
        <v>574</v>
      </c>
      <c r="N9" s="66" t="s">
        <v>535</v>
      </c>
      <c r="O9" s="66" t="s">
        <v>543</v>
      </c>
      <c r="P9" s="66" t="s">
        <v>503</v>
      </c>
      <c r="Q9" s="66"/>
    </row>
    <row r="10" spans="1:17" ht="76.5" thickBot="1" x14ac:dyDescent="0.4">
      <c r="A10" s="73">
        <v>44807.872499999998</v>
      </c>
      <c r="B10" s="66" t="s">
        <v>497</v>
      </c>
      <c r="C10" s="69">
        <v>2</v>
      </c>
      <c r="D10" s="66" t="s">
        <v>550</v>
      </c>
      <c r="E10" s="66" t="s">
        <v>575</v>
      </c>
      <c r="F10" s="66" t="s">
        <v>545</v>
      </c>
      <c r="G10" s="66" t="s">
        <v>576</v>
      </c>
      <c r="H10" s="66" t="s">
        <v>577</v>
      </c>
      <c r="I10" s="66" t="s">
        <v>578</v>
      </c>
      <c r="J10" s="66" t="s">
        <v>506</v>
      </c>
      <c r="K10" s="66" t="s">
        <v>502</v>
      </c>
      <c r="L10" s="66" t="s">
        <v>570</v>
      </c>
      <c r="M10" s="66" t="s">
        <v>534</v>
      </c>
      <c r="N10" s="66" t="s">
        <v>535</v>
      </c>
      <c r="O10" s="66" t="s">
        <v>543</v>
      </c>
      <c r="P10" s="66" t="s">
        <v>503</v>
      </c>
      <c r="Q10" s="66" t="s">
        <v>579</v>
      </c>
    </row>
    <row r="11" spans="1:17" ht="51.5" thickBot="1" x14ac:dyDescent="0.4">
      <c r="A11" s="73">
        <v>44807.873194444444</v>
      </c>
      <c r="B11" s="66" t="s">
        <v>497</v>
      </c>
      <c r="C11" s="69">
        <v>3</v>
      </c>
      <c r="D11" s="66" t="s">
        <v>527</v>
      </c>
      <c r="E11" s="66" t="s">
        <v>575</v>
      </c>
      <c r="F11" s="66" t="s">
        <v>545</v>
      </c>
      <c r="G11" s="66" t="s">
        <v>580</v>
      </c>
      <c r="H11" s="66" t="s">
        <v>581</v>
      </c>
      <c r="I11" s="66" t="s">
        <v>582</v>
      </c>
      <c r="J11" s="66" t="s">
        <v>505</v>
      </c>
      <c r="K11" s="66" t="s">
        <v>502</v>
      </c>
      <c r="L11" s="66" t="s">
        <v>583</v>
      </c>
      <c r="M11" s="66" t="s">
        <v>571</v>
      </c>
      <c r="N11" s="66" t="s">
        <v>535</v>
      </c>
      <c r="O11" s="66" t="s">
        <v>543</v>
      </c>
      <c r="P11" s="66" t="s">
        <v>503</v>
      </c>
      <c r="Q11" s="66"/>
    </row>
    <row r="12" spans="1:17" ht="76.5" thickBot="1" x14ac:dyDescent="0.4">
      <c r="A12" s="73">
        <v>44807.876712962963</v>
      </c>
      <c r="B12" s="66" t="s">
        <v>497</v>
      </c>
      <c r="C12" s="69">
        <v>3</v>
      </c>
      <c r="D12" s="66" t="s">
        <v>527</v>
      </c>
      <c r="E12" s="66" t="s">
        <v>584</v>
      </c>
      <c r="F12" s="66" t="s">
        <v>545</v>
      </c>
      <c r="G12" s="66" t="s">
        <v>530</v>
      </c>
      <c r="H12" s="66" t="s">
        <v>539</v>
      </c>
      <c r="I12" s="66" t="s">
        <v>585</v>
      </c>
      <c r="J12" s="66" t="s">
        <v>506</v>
      </c>
      <c r="K12" s="66" t="s">
        <v>502</v>
      </c>
      <c r="L12" s="66" t="s">
        <v>557</v>
      </c>
      <c r="M12" s="66" t="s">
        <v>534</v>
      </c>
      <c r="N12" s="66" t="s">
        <v>535</v>
      </c>
      <c r="O12" s="66" t="s">
        <v>548</v>
      </c>
      <c r="P12" s="66" t="s">
        <v>503</v>
      </c>
      <c r="Q12" s="66"/>
    </row>
    <row r="13" spans="1:17" ht="76.5" thickBot="1" x14ac:dyDescent="0.4">
      <c r="A13" s="73">
        <v>44807.879212962966</v>
      </c>
      <c r="B13" s="66" t="s">
        <v>497</v>
      </c>
      <c r="C13" s="69">
        <v>3</v>
      </c>
      <c r="D13" s="66" t="s">
        <v>550</v>
      </c>
      <c r="E13" s="66" t="s">
        <v>586</v>
      </c>
      <c r="F13" s="66" t="s">
        <v>545</v>
      </c>
      <c r="G13" s="66"/>
      <c r="H13" s="66" t="s">
        <v>573</v>
      </c>
      <c r="I13" s="66" t="s">
        <v>585</v>
      </c>
      <c r="J13" s="66" t="s">
        <v>506</v>
      </c>
      <c r="K13" s="66" t="s">
        <v>502</v>
      </c>
      <c r="L13" s="66" t="s">
        <v>587</v>
      </c>
      <c r="M13" s="66" t="s">
        <v>588</v>
      </c>
      <c r="N13" s="66" t="s">
        <v>123</v>
      </c>
      <c r="O13" s="66" t="s">
        <v>543</v>
      </c>
      <c r="P13" s="66" t="s">
        <v>501</v>
      </c>
      <c r="Q13" s="66"/>
    </row>
    <row r="14" spans="1:17" ht="64" thickBot="1" x14ac:dyDescent="0.4">
      <c r="A14" s="73">
        <v>44807.893680555557</v>
      </c>
      <c r="B14" s="66" t="s">
        <v>497</v>
      </c>
      <c r="C14" s="69">
        <v>3</v>
      </c>
      <c r="D14" s="66" t="s">
        <v>527</v>
      </c>
      <c r="E14" s="66" t="s">
        <v>589</v>
      </c>
      <c r="F14" s="66" t="s">
        <v>529</v>
      </c>
      <c r="G14" s="66" t="s">
        <v>590</v>
      </c>
      <c r="H14" s="66" t="s">
        <v>591</v>
      </c>
      <c r="I14" s="66" t="s">
        <v>592</v>
      </c>
      <c r="J14" s="66" t="s">
        <v>505</v>
      </c>
      <c r="K14" s="66" t="s">
        <v>502</v>
      </c>
      <c r="L14" s="66" t="s">
        <v>593</v>
      </c>
      <c r="M14" s="66" t="s">
        <v>594</v>
      </c>
      <c r="N14" s="66" t="s">
        <v>535</v>
      </c>
      <c r="O14" s="66" t="s">
        <v>554</v>
      </c>
      <c r="P14" s="66" t="s">
        <v>501</v>
      </c>
      <c r="Q14" s="66"/>
    </row>
    <row r="15" spans="1:17" ht="89" thickBot="1" x14ac:dyDescent="0.4">
      <c r="A15" s="73">
        <v>44807.901307870372</v>
      </c>
      <c r="B15" s="66" t="s">
        <v>497</v>
      </c>
      <c r="C15" s="69">
        <v>3</v>
      </c>
      <c r="D15" s="66" t="s">
        <v>550</v>
      </c>
      <c r="E15" s="66" t="s">
        <v>538</v>
      </c>
      <c r="F15" s="66" t="s">
        <v>529</v>
      </c>
      <c r="G15" s="66" t="s">
        <v>595</v>
      </c>
      <c r="H15" s="66" t="s">
        <v>573</v>
      </c>
      <c r="I15" s="66" t="s">
        <v>546</v>
      </c>
      <c r="J15" s="66" t="s">
        <v>507</v>
      </c>
      <c r="K15" s="66" t="s">
        <v>502</v>
      </c>
      <c r="L15" s="66" t="s">
        <v>596</v>
      </c>
      <c r="M15" s="66" t="s">
        <v>534</v>
      </c>
      <c r="N15" s="66" t="s">
        <v>535</v>
      </c>
      <c r="O15" s="66" t="s">
        <v>548</v>
      </c>
      <c r="P15" s="66" t="s">
        <v>503</v>
      </c>
      <c r="Q15" s="66"/>
    </row>
    <row r="16" spans="1:17" ht="51.5" thickBot="1" x14ac:dyDescent="0.4">
      <c r="A16" s="73">
        <v>44807.927060185182</v>
      </c>
      <c r="B16" s="66" t="s">
        <v>500</v>
      </c>
      <c r="C16" s="69">
        <v>3</v>
      </c>
      <c r="D16" s="66" t="s">
        <v>559</v>
      </c>
      <c r="E16" s="66" t="s">
        <v>538</v>
      </c>
      <c r="F16" s="66" t="s">
        <v>545</v>
      </c>
      <c r="G16" s="66" t="s">
        <v>530</v>
      </c>
      <c r="H16" s="66" t="s">
        <v>556</v>
      </c>
      <c r="I16" s="66" t="s">
        <v>569</v>
      </c>
      <c r="J16" s="66" t="s">
        <v>505</v>
      </c>
      <c r="K16" s="66" t="s">
        <v>502</v>
      </c>
      <c r="L16" s="66" t="s">
        <v>541</v>
      </c>
      <c r="M16" s="66" t="s">
        <v>571</v>
      </c>
      <c r="N16" s="66" t="s">
        <v>123</v>
      </c>
      <c r="O16" s="66" t="s">
        <v>536</v>
      </c>
      <c r="P16" s="66" t="s">
        <v>501</v>
      </c>
      <c r="Q16" s="66" t="s">
        <v>597</v>
      </c>
    </row>
    <row r="17" spans="1:17" ht="51.5" thickBot="1" x14ac:dyDescent="0.4">
      <c r="A17" s="73">
        <v>44807.933923611112</v>
      </c>
      <c r="B17" s="66" t="s">
        <v>497</v>
      </c>
      <c r="C17" s="69">
        <v>4</v>
      </c>
      <c r="D17" s="66" t="s">
        <v>550</v>
      </c>
      <c r="E17" s="66" t="s">
        <v>584</v>
      </c>
      <c r="F17" s="66" t="s">
        <v>545</v>
      </c>
      <c r="G17" s="66" t="s">
        <v>530</v>
      </c>
      <c r="H17" s="66" t="s">
        <v>556</v>
      </c>
      <c r="I17" s="66" t="s">
        <v>598</v>
      </c>
      <c r="J17" s="66" t="s">
        <v>506</v>
      </c>
      <c r="K17" s="66" t="s">
        <v>599</v>
      </c>
      <c r="L17" s="66" t="s">
        <v>541</v>
      </c>
      <c r="M17" s="66" t="s">
        <v>571</v>
      </c>
      <c r="N17" s="66" t="s">
        <v>566</v>
      </c>
      <c r="O17" s="66" t="s">
        <v>543</v>
      </c>
      <c r="P17" s="66" t="s">
        <v>501</v>
      </c>
      <c r="Q17" s="66"/>
    </row>
    <row r="18" spans="1:17" ht="51.5" thickBot="1" x14ac:dyDescent="0.4">
      <c r="A18" s="73">
        <v>44807.946168981478</v>
      </c>
      <c r="B18" s="66" t="s">
        <v>500</v>
      </c>
      <c r="C18" s="69">
        <v>3</v>
      </c>
      <c r="D18" s="66" t="s">
        <v>559</v>
      </c>
      <c r="E18" s="66" t="s">
        <v>538</v>
      </c>
      <c r="F18" s="66" t="s">
        <v>545</v>
      </c>
      <c r="G18" s="66" t="s">
        <v>600</v>
      </c>
      <c r="H18" s="66" t="s">
        <v>581</v>
      </c>
      <c r="I18" s="66" t="s">
        <v>569</v>
      </c>
      <c r="J18" s="66" t="s">
        <v>506</v>
      </c>
      <c r="K18" s="66" t="s">
        <v>502</v>
      </c>
      <c r="L18" s="66" t="s">
        <v>541</v>
      </c>
      <c r="M18" s="66" t="s">
        <v>601</v>
      </c>
      <c r="N18" s="66" t="s">
        <v>602</v>
      </c>
      <c r="O18" s="66" t="s">
        <v>543</v>
      </c>
      <c r="P18" s="66" t="s">
        <v>501</v>
      </c>
      <c r="Q18" s="72" t="s">
        <v>603</v>
      </c>
    </row>
    <row r="19" spans="1:17" ht="139" thickBot="1" x14ac:dyDescent="0.4">
      <c r="A19" s="73">
        <v>44807.996145833335</v>
      </c>
      <c r="B19" s="66" t="s">
        <v>497</v>
      </c>
      <c r="C19" s="69">
        <v>3</v>
      </c>
      <c r="D19" s="66" t="s">
        <v>527</v>
      </c>
      <c r="E19" s="66" t="s">
        <v>538</v>
      </c>
      <c r="F19" s="66" t="s">
        <v>545</v>
      </c>
      <c r="G19" s="66" t="s">
        <v>530</v>
      </c>
      <c r="H19" s="66" t="s">
        <v>604</v>
      </c>
      <c r="I19" s="66" t="s">
        <v>605</v>
      </c>
      <c r="J19" s="66" t="s">
        <v>506</v>
      </c>
      <c r="K19" s="66" t="s">
        <v>502</v>
      </c>
      <c r="L19" s="66" t="s">
        <v>541</v>
      </c>
      <c r="M19" s="66" t="s">
        <v>534</v>
      </c>
      <c r="N19" s="66" t="s">
        <v>566</v>
      </c>
      <c r="O19" s="66" t="s">
        <v>554</v>
      </c>
      <c r="P19" s="66" t="s">
        <v>501</v>
      </c>
      <c r="Q19" s="66" t="s">
        <v>606</v>
      </c>
    </row>
    <row r="20" spans="1:17" ht="76.5" thickBot="1" x14ac:dyDescent="0.4">
      <c r="A20" s="73">
        <v>44837.001388888886</v>
      </c>
      <c r="B20" s="66" t="s">
        <v>497</v>
      </c>
      <c r="C20" s="69">
        <v>3</v>
      </c>
      <c r="D20" s="66" t="s">
        <v>550</v>
      </c>
      <c r="E20" s="66" t="s">
        <v>568</v>
      </c>
      <c r="F20" s="66" t="s">
        <v>545</v>
      </c>
      <c r="G20" s="66" t="s">
        <v>607</v>
      </c>
      <c r="H20" s="66" t="s">
        <v>539</v>
      </c>
      <c r="I20" s="66" t="s">
        <v>608</v>
      </c>
      <c r="J20" s="66" t="s">
        <v>505</v>
      </c>
      <c r="K20" s="66" t="s">
        <v>609</v>
      </c>
      <c r="L20" s="66" t="s">
        <v>610</v>
      </c>
      <c r="M20" s="66" t="s">
        <v>542</v>
      </c>
      <c r="N20" s="66" t="s">
        <v>566</v>
      </c>
      <c r="O20" s="66" t="s">
        <v>548</v>
      </c>
      <c r="P20" s="66" t="s">
        <v>503</v>
      </c>
      <c r="Q20" s="72" t="s">
        <v>611</v>
      </c>
    </row>
    <row r="21" spans="1:17" ht="114" thickBot="1" x14ac:dyDescent="0.4">
      <c r="A21" s="73">
        <v>44837.219305555554</v>
      </c>
      <c r="B21" s="66" t="s">
        <v>497</v>
      </c>
      <c r="C21" s="69">
        <v>3</v>
      </c>
      <c r="D21" s="66" t="s">
        <v>550</v>
      </c>
      <c r="E21" s="66" t="s">
        <v>568</v>
      </c>
      <c r="F21" s="66" t="s">
        <v>545</v>
      </c>
      <c r="G21" s="66" t="s">
        <v>612</v>
      </c>
      <c r="H21" s="66" t="s">
        <v>539</v>
      </c>
      <c r="I21" s="66" t="s">
        <v>546</v>
      </c>
      <c r="J21" s="66" t="s">
        <v>505</v>
      </c>
      <c r="K21" s="66" t="s">
        <v>502</v>
      </c>
      <c r="L21" s="66" t="s">
        <v>613</v>
      </c>
      <c r="M21" s="66" t="s">
        <v>565</v>
      </c>
      <c r="N21" s="66" t="s">
        <v>535</v>
      </c>
      <c r="O21" s="66" t="s">
        <v>543</v>
      </c>
      <c r="P21" s="66" t="s">
        <v>503</v>
      </c>
      <c r="Q21" s="66"/>
    </row>
    <row r="22" spans="1:17" ht="76.5" thickBot="1" x14ac:dyDescent="0.4">
      <c r="A22" s="73">
        <v>44837.260787037034</v>
      </c>
      <c r="B22" s="66" t="s">
        <v>497</v>
      </c>
      <c r="C22" s="69">
        <v>3</v>
      </c>
      <c r="D22" s="66" t="s">
        <v>527</v>
      </c>
      <c r="E22" s="66" t="s">
        <v>575</v>
      </c>
      <c r="F22" s="66" t="s">
        <v>545</v>
      </c>
      <c r="G22" s="66" t="s">
        <v>614</v>
      </c>
      <c r="H22" s="66" t="s">
        <v>556</v>
      </c>
      <c r="I22" s="66" t="s">
        <v>598</v>
      </c>
      <c r="J22" s="66" t="s">
        <v>506</v>
      </c>
      <c r="K22" s="66" t="s">
        <v>502</v>
      </c>
      <c r="L22" s="66" t="s">
        <v>615</v>
      </c>
      <c r="M22" s="66" t="s">
        <v>534</v>
      </c>
      <c r="N22" s="66" t="s">
        <v>123</v>
      </c>
      <c r="O22" s="66" t="s">
        <v>548</v>
      </c>
      <c r="P22" s="66" t="s">
        <v>503</v>
      </c>
      <c r="Q22" s="66"/>
    </row>
    <row r="23" spans="1:17" ht="51.5" thickBot="1" x14ac:dyDescent="0.4">
      <c r="A23" s="73">
        <v>44837.27480324074</v>
      </c>
      <c r="B23" s="66" t="s">
        <v>497</v>
      </c>
      <c r="C23" s="69">
        <v>4</v>
      </c>
      <c r="D23" s="66" t="s">
        <v>527</v>
      </c>
      <c r="E23" s="66" t="s">
        <v>616</v>
      </c>
      <c r="F23" s="66" t="s">
        <v>529</v>
      </c>
      <c r="G23" s="66" t="s">
        <v>551</v>
      </c>
      <c r="H23" s="66" t="s">
        <v>556</v>
      </c>
      <c r="I23" s="66" t="s">
        <v>617</v>
      </c>
      <c r="J23" s="66" t="s">
        <v>506</v>
      </c>
      <c r="K23" s="66" t="s">
        <v>502</v>
      </c>
      <c r="L23" s="66" t="s">
        <v>541</v>
      </c>
      <c r="M23" s="66" t="s">
        <v>571</v>
      </c>
      <c r="N23" s="66" t="s">
        <v>535</v>
      </c>
      <c r="O23" s="66" t="s">
        <v>543</v>
      </c>
      <c r="P23" s="66" t="s">
        <v>501</v>
      </c>
      <c r="Q23" s="72" t="s">
        <v>618</v>
      </c>
    </row>
    <row r="24" spans="1:17" ht="76.5" thickBot="1" x14ac:dyDescent="0.4">
      <c r="A24" s="73">
        <v>44837.309374999997</v>
      </c>
      <c r="B24" s="66" t="s">
        <v>497</v>
      </c>
      <c r="C24" s="69">
        <v>2</v>
      </c>
      <c r="D24" s="66" t="s">
        <v>527</v>
      </c>
      <c r="E24" s="66" t="s">
        <v>572</v>
      </c>
      <c r="F24" s="66" t="s">
        <v>545</v>
      </c>
      <c r="G24" s="66" t="s">
        <v>619</v>
      </c>
      <c r="H24" s="66" t="s">
        <v>620</v>
      </c>
      <c r="I24" s="66" t="s">
        <v>621</v>
      </c>
      <c r="J24" s="66" t="s">
        <v>507</v>
      </c>
      <c r="K24" s="66" t="s">
        <v>502</v>
      </c>
      <c r="L24" s="66" t="s">
        <v>596</v>
      </c>
      <c r="M24" s="66" t="s">
        <v>534</v>
      </c>
      <c r="N24" s="66" t="s">
        <v>535</v>
      </c>
      <c r="O24" s="66" t="s">
        <v>554</v>
      </c>
      <c r="P24" s="66" t="s">
        <v>501</v>
      </c>
      <c r="Q24" s="66"/>
    </row>
    <row r="25" spans="1:17" ht="76.5" thickBot="1" x14ac:dyDescent="0.4">
      <c r="A25" s="73">
        <v>44837.325648148151</v>
      </c>
      <c r="B25" s="66" t="s">
        <v>500</v>
      </c>
      <c r="C25" s="69">
        <v>3</v>
      </c>
      <c r="D25" s="66" t="s">
        <v>527</v>
      </c>
      <c r="E25" s="66" t="s">
        <v>538</v>
      </c>
      <c r="F25" s="66" t="s">
        <v>545</v>
      </c>
      <c r="G25" s="66" t="s">
        <v>551</v>
      </c>
      <c r="H25" s="66" t="s">
        <v>556</v>
      </c>
      <c r="I25" s="66" t="s">
        <v>621</v>
      </c>
      <c r="J25" s="66" t="s">
        <v>505</v>
      </c>
      <c r="K25" s="66" t="s">
        <v>502</v>
      </c>
      <c r="L25" s="66" t="s">
        <v>596</v>
      </c>
      <c r="M25" s="66" t="s">
        <v>588</v>
      </c>
      <c r="N25" s="66" t="s">
        <v>123</v>
      </c>
      <c r="O25" s="66" t="s">
        <v>543</v>
      </c>
      <c r="P25" s="66" t="s">
        <v>501</v>
      </c>
      <c r="Q25" s="72" t="s">
        <v>622</v>
      </c>
    </row>
    <row r="26" spans="1:17" ht="89" thickBot="1" x14ac:dyDescent="0.4">
      <c r="A26" s="73">
        <v>44837.366261574076</v>
      </c>
      <c r="B26" s="66" t="s">
        <v>497</v>
      </c>
      <c r="C26" s="69">
        <v>3</v>
      </c>
      <c r="D26" s="66" t="s">
        <v>527</v>
      </c>
      <c r="E26" s="66" t="s">
        <v>538</v>
      </c>
      <c r="F26" s="66" t="s">
        <v>545</v>
      </c>
      <c r="G26" s="66" t="s">
        <v>623</v>
      </c>
      <c r="H26" s="66" t="s">
        <v>624</v>
      </c>
      <c r="I26" s="66" t="s">
        <v>546</v>
      </c>
      <c r="J26" s="66" t="s">
        <v>507</v>
      </c>
      <c r="K26" s="66" t="s">
        <v>502</v>
      </c>
      <c r="L26" s="66" t="s">
        <v>625</v>
      </c>
      <c r="M26" s="66" t="s">
        <v>534</v>
      </c>
      <c r="N26" s="66" t="s">
        <v>535</v>
      </c>
      <c r="O26" s="66" t="s">
        <v>548</v>
      </c>
      <c r="P26" s="66" t="s">
        <v>503</v>
      </c>
      <c r="Q26" s="66" t="s">
        <v>626</v>
      </c>
    </row>
    <row r="27" spans="1:17" ht="76.5" thickBot="1" x14ac:dyDescent="0.4">
      <c r="A27" s="73">
        <v>44837.368634259263</v>
      </c>
      <c r="B27" s="66" t="s">
        <v>497</v>
      </c>
      <c r="C27" s="69">
        <v>2</v>
      </c>
      <c r="D27" s="66" t="s">
        <v>527</v>
      </c>
      <c r="E27" s="66" t="s">
        <v>572</v>
      </c>
      <c r="F27" s="66" t="s">
        <v>529</v>
      </c>
      <c r="G27" s="66" t="s">
        <v>551</v>
      </c>
      <c r="H27" s="66" t="s">
        <v>581</v>
      </c>
      <c r="I27" s="66" t="s">
        <v>582</v>
      </c>
      <c r="J27" s="66" t="s">
        <v>504</v>
      </c>
      <c r="K27" s="66" t="s">
        <v>502</v>
      </c>
      <c r="L27" s="66" t="s">
        <v>587</v>
      </c>
      <c r="M27" s="66" t="s">
        <v>534</v>
      </c>
      <c r="N27" s="66" t="s">
        <v>566</v>
      </c>
      <c r="O27" s="66" t="s">
        <v>548</v>
      </c>
      <c r="P27" s="66" t="s">
        <v>501</v>
      </c>
      <c r="Q27" s="66"/>
    </row>
    <row r="28" spans="1:17" ht="51.5" thickBot="1" x14ac:dyDescent="0.4">
      <c r="A28" s="73">
        <v>44837.369351851848</v>
      </c>
      <c r="B28" s="66" t="s">
        <v>497</v>
      </c>
      <c r="C28" s="69">
        <v>2</v>
      </c>
      <c r="D28" s="66" t="s">
        <v>527</v>
      </c>
      <c r="E28" s="66" t="s">
        <v>627</v>
      </c>
      <c r="F28" s="66" t="s">
        <v>529</v>
      </c>
      <c r="G28" s="66" t="s">
        <v>628</v>
      </c>
      <c r="H28" s="66" t="s">
        <v>556</v>
      </c>
      <c r="I28" s="66" t="s">
        <v>629</v>
      </c>
      <c r="J28" s="66" t="s">
        <v>505</v>
      </c>
      <c r="K28" s="66" t="s">
        <v>502</v>
      </c>
      <c r="L28" s="66" t="s">
        <v>553</v>
      </c>
      <c r="M28" s="66" t="s">
        <v>571</v>
      </c>
      <c r="N28" s="66" t="s">
        <v>535</v>
      </c>
      <c r="O28" s="66" t="s">
        <v>554</v>
      </c>
      <c r="P28" s="66" t="s">
        <v>501</v>
      </c>
      <c r="Q28" s="66"/>
    </row>
    <row r="29" spans="1:17" ht="151.5" thickBot="1" x14ac:dyDescent="0.4">
      <c r="A29" s="73">
        <v>44837.40247685185</v>
      </c>
      <c r="B29" s="66" t="s">
        <v>500</v>
      </c>
      <c r="C29" s="69">
        <v>1</v>
      </c>
      <c r="D29" s="66" t="s">
        <v>559</v>
      </c>
      <c r="E29" s="66" t="s">
        <v>630</v>
      </c>
      <c r="F29" s="66" t="s">
        <v>545</v>
      </c>
      <c r="G29" s="66" t="s">
        <v>551</v>
      </c>
      <c r="H29" s="66" t="s">
        <v>631</v>
      </c>
      <c r="I29" s="66" t="s">
        <v>569</v>
      </c>
      <c r="J29" s="66" t="s">
        <v>505</v>
      </c>
      <c r="K29" s="66" t="s">
        <v>502</v>
      </c>
      <c r="L29" s="66" t="s">
        <v>625</v>
      </c>
      <c r="M29" s="66" t="s">
        <v>542</v>
      </c>
      <c r="N29" s="66" t="s">
        <v>602</v>
      </c>
      <c r="O29" s="66" t="s">
        <v>543</v>
      </c>
      <c r="P29" s="66" t="s">
        <v>501</v>
      </c>
      <c r="Q29" s="72" t="s">
        <v>632</v>
      </c>
    </row>
    <row r="30" spans="1:17" ht="51.5" thickBot="1" x14ac:dyDescent="0.4">
      <c r="A30" s="73">
        <v>44837.408599537041</v>
      </c>
      <c r="B30" s="66" t="s">
        <v>499</v>
      </c>
      <c r="C30" s="69">
        <v>1</v>
      </c>
      <c r="D30" s="66" t="s">
        <v>550</v>
      </c>
      <c r="E30" s="66" t="s">
        <v>572</v>
      </c>
      <c r="F30" s="66" t="s">
        <v>529</v>
      </c>
      <c r="G30" s="66" t="s">
        <v>530</v>
      </c>
      <c r="H30" s="66" t="s">
        <v>624</v>
      </c>
      <c r="I30" s="66" t="s">
        <v>592</v>
      </c>
      <c r="J30" s="66" t="s">
        <v>505</v>
      </c>
      <c r="K30" s="66" t="s">
        <v>502</v>
      </c>
      <c r="L30" s="66" t="s">
        <v>547</v>
      </c>
      <c r="M30" s="66" t="s">
        <v>601</v>
      </c>
      <c r="N30" s="66" t="s">
        <v>123</v>
      </c>
      <c r="O30" s="66" t="s">
        <v>633</v>
      </c>
      <c r="P30" s="66" t="s">
        <v>503</v>
      </c>
      <c r="Q30" s="66" t="s">
        <v>634</v>
      </c>
    </row>
    <row r="31" spans="1:17" ht="64" thickBot="1" x14ac:dyDescent="0.4">
      <c r="A31" s="73">
        <v>44837.453368055554</v>
      </c>
      <c r="B31" s="66" t="s">
        <v>497</v>
      </c>
      <c r="C31" s="69">
        <v>3</v>
      </c>
      <c r="D31" s="66" t="s">
        <v>527</v>
      </c>
      <c r="E31" s="66" t="s">
        <v>584</v>
      </c>
      <c r="F31" s="66" t="s">
        <v>545</v>
      </c>
      <c r="G31" s="66" t="s">
        <v>635</v>
      </c>
      <c r="H31" s="66" t="s">
        <v>591</v>
      </c>
      <c r="I31" s="66" t="s">
        <v>636</v>
      </c>
      <c r="J31" s="66" t="s">
        <v>507</v>
      </c>
      <c r="K31" s="66" t="s">
        <v>502</v>
      </c>
      <c r="L31" s="66" t="s">
        <v>637</v>
      </c>
      <c r="M31" s="66" t="s">
        <v>638</v>
      </c>
      <c r="N31" s="66" t="s">
        <v>566</v>
      </c>
      <c r="O31" s="66" t="s">
        <v>548</v>
      </c>
      <c r="P31" s="66" t="s">
        <v>501</v>
      </c>
      <c r="Q31" s="66"/>
    </row>
    <row r="32" spans="1:17" ht="76.5" thickBot="1" x14ac:dyDescent="0.4">
      <c r="A32" s="73">
        <v>44837.467881944445</v>
      </c>
      <c r="B32" s="66" t="s">
        <v>497</v>
      </c>
      <c r="C32" s="69">
        <v>4</v>
      </c>
      <c r="D32" s="66" t="s">
        <v>527</v>
      </c>
      <c r="E32" s="66" t="s">
        <v>586</v>
      </c>
      <c r="F32" s="66" t="s">
        <v>529</v>
      </c>
      <c r="G32" s="66" t="s">
        <v>148</v>
      </c>
      <c r="H32" s="66" t="s">
        <v>539</v>
      </c>
      <c r="I32" s="66" t="s">
        <v>639</v>
      </c>
      <c r="J32" s="66" t="s">
        <v>505</v>
      </c>
      <c r="K32" s="66" t="s">
        <v>502</v>
      </c>
      <c r="L32" s="66" t="s">
        <v>640</v>
      </c>
      <c r="M32" s="66" t="s">
        <v>534</v>
      </c>
      <c r="N32" s="66" t="s">
        <v>535</v>
      </c>
      <c r="O32" s="66" t="s">
        <v>536</v>
      </c>
      <c r="P32" s="66" t="s">
        <v>503</v>
      </c>
      <c r="Q32" s="66" t="s">
        <v>641</v>
      </c>
    </row>
    <row r="33" spans="1:17" ht="76.5" thickBot="1" x14ac:dyDescent="0.4">
      <c r="A33" s="73">
        <v>44837.565949074073</v>
      </c>
      <c r="B33" s="66" t="s">
        <v>498</v>
      </c>
      <c r="C33" s="69">
        <v>4</v>
      </c>
      <c r="D33" s="66" t="s">
        <v>559</v>
      </c>
      <c r="E33" s="66" t="s">
        <v>575</v>
      </c>
      <c r="F33" s="66" t="s">
        <v>545</v>
      </c>
      <c r="G33" s="66" t="s">
        <v>530</v>
      </c>
      <c r="H33" s="66" t="s">
        <v>539</v>
      </c>
      <c r="I33" s="66" t="s">
        <v>642</v>
      </c>
      <c r="J33" s="66" t="s">
        <v>506</v>
      </c>
      <c r="K33" s="66" t="s">
        <v>502</v>
      </c>
      <c r="L33" s="66" t="s">
        <v>541</v>
      </c>
      <c r="M33" s="66" t="s">
        <v>601</v>
      </c>
      <c r="N33" s="66" t="s">
        <v>602</v>
      </c>
      <c r="O33" s="66" t="s">
        <v>543</v>
      </c>
      <c r="P33" s="66" t="s">
        <v>503</v>
      </c>
      <c r="Q33" s="66"/>
    </row>
    <row r="34" spans="1:17" ht="51.5" thickBot="1" x14ac:dyDescent="0.4">
      <c r="A34" s="73">
        <v>44837.573657407411</v>
      </c>
      <c r="B34" s="66" t="s">
        <v>499</v>
      </c>
      <c r="C34" s="69">
        <v>3</v>
      </c>
      <c r="D34" s="66" t="s">
        <v>559</v>
      </c>
      <c r="E34" s="66" t="s">
        <v>568</v>
      </c>
      <c r="F34" s="66" t="s">
        <v>545</v>
      </c>
      <c r="G34" s="66" t="s">
        <v>148</v>
      </c>
      <c r="H34" s="66" t="s">
        <v>556</v>
      </c>
      <c r="I34" s="66" t="s">
        <v>569</v>
      </c>
      <c r="J34" s="66" t="s">
        <v>505</v>
      </c>
      <c r="K34" s="66" t="s">
        <v>502</v>
      </c>
      <c r="L34" s="66" t="s">
        <v>564</v>
      </c>
      <c r="M34" s="66" t="s">
        <v>571</v>
      </c>
      <c r="N34" s="66" t="s">
        <v>535</v>
      </c>
      <c r="O34" s="66" t="s">
        <v>548</v>
      </c>
      <c r="P34" s="66" t="s">
        <v>501</v>
      </c>
      <c r="Q34" s="66"/>
    </row>
    <row r="35" spans="1:17" ht="39" thickBot="1" x14ac:dyDescent="0.4">
      <c r="A35" s="73">
        <v>44837.619456018518</v>
      </c>
      <c r="B35" s="66" t="s">
        <v>500</v>
      </c>
      <c r="C35" s="69">
        <v>3</v>
      </c>
      <c r="D35" s="66" t="s">
        <v>559</v>
      </c>
      <c r="E35" s="66" t="s">
        <v>544</v>
      </c>
      <c r="F35" s="66" t="s">
        <v>545</v>
      </c>
      <c r="G35" s="66" t="s">
        <v>551</v>
      </c>
      <c r="H35" s="66" t="s">
        <v>562</v>
      </c>
      <c r="I35" s="66" t="s">
        <v>569</v>
      </c>
      <c r="J35" s="66" t="s">
        <v>505</v>
      </c>
      <c r="K35" s="66" t="s">
        <v>502</v>
      </c>
      <c r="L35" s="66" t="s">
        <v>541</v>
      </c>
      <c r="M35" s="66" t="s">
        <v>542</v>
      </c>
      <c r="N35" s="66" t="s">
        <v>566</v>
      </c>
      <c r="O35" s="66" t="s">
        <v>548</v>
      </c>
      <c r="P35" s="66" t="s">
        <v>503</v>
      </c>
      <c r="Q35" s="66"/>
    </row>
    <row r="36" spans="1:17" ht="76.5" thickBot="1" x14ac:dyDescent="0.4">
      <c r="A36" s="73">
        <v>44837.903020833335</v>
      </c>
      <c r="B36" s="66" t="s">
        <v>497</v>
      </c>
      <c r="C36" s="69">
        <v>3</v>
      </c>
      <c r="D36" s="66" t="s">
        <v>550</v>
      </c>
      <c r="E36" s="66" t="s">
        <v>589</v>
      </c>
      <c r="F36" s="66" t="s">
        <v>545</v>
      </c>
      <c r="G36" s="66" t="s">
        <v>530</v>
      </c>
      <c r="H36" s="66" t="s">
        <v>643</v>
      </c>
      <c r="I36" s="66" t="s">
        <v>644</v>
      </c>
      <c r="J36" s="66" t="s">
        <v>504</v>
      </c>
      <c r="K36" s="66" t="s">
        <v>502</v>
      </c>
      <c r="L36" s="66" t="s">
        <v>557</v>
      </c>
      <c r="M36" s="66" t="s">
        <v>534</v>
      </c>
      <c r="N36" s="66" t="s">
        <v>535</v>
      </c>
      <c r="O36" s="66" t="s">
        <v>548</v>
      </c>
      <c r="P36" s="66" t="s">
        <v>503</v>
      </c>
      <c r="Q36" s="66" t="s">
        <v>645</v>
      </c>
    </row>
    <row r="37" spans="1:17" ht="51.5" thickBot="1" x14ac:dyDescent="0.4">
      <c r="A37" s="73">
        <v>44868.365671296298</v>
      </c>
      <c r="B37" s="66" t="s">
        <v>500</v>
      </c>
      <c r="C37" s="69">
        <v>3</v>
      </c>
      <c r="D37" s="66" t="s">
        <v>550</v>
      </c>
      <c r="E37" s="66" t="s">
        <v>589</v>
      </c>
      <c r="F37" s="66" t="s">
        <v>545</v>
      </c>
      <c r="G37" s="66" t="s">
        <v>646</v>
      </c>
      <c r="H37" s="66" t="s">
        <v>556</v>
      </c>
      <c r="I37" s="66" t="s">
        <v>647</v>
      </c>
      <c r="J37" s="66" t="s">
        <v>505</v>
      </c>
      <c r="K37" s="66" t="s">
        <v>502</v>
      </c>
      <c r="L37" s="66" t="s">
        <v>541</v>
      </c>
      <c r="M37" s="66" t="s">
        <v>648</v>
      </c>
      <c r="N37" s="66" t="s">
        <v>649</v>
      </c>
      <c r="O37" s="66" t="s">
        <v>554</v>
      </c>
      <c r="P37" s="66" t="s">
        <v>501</v>
      </c>
      <c r="Q37" s="72" t="s">
        <v>650</v>
      </c>
    </row>
    <row r="38" spans="1:17" ht="76.5" thickBot="1" x14ac:dyDescent="0.4">
      <c r="A38" s="69" t="s">
        <v>651</v>
      </c>
      <c r="B38" s="66" t="s">
        <v>499</v>
      </c>
      <c r="C38" s="69">
        <v>3</v>
      </c>
      <c r="D38" s="66" t="s">
        <v>527</v>
      </c>
      <c r="E38" s="66" t="s">
        <v>538</v>
      </c>
      <c r="F38" s="66" t="s">
        <v>545</v>
      </c>
      <c r="G38" s="66" t="s">
        <v>530</v>
      </c>
      <c r="H38" s="66" t="s">
        <v>573</v>
      </c>
      <c r="I38" s="66" t="s">
        <v>592</v>
      </c>
      <c r="J38" s="66" t="s">
        <v>506</v>
      </c>
      <c r="K38" s="66" t="s">
        <v>502</v>
      </c>
      <c r="L38" s="66" t="s">
        <v>541</v>
      </c>
      <c r="M38" s="66" t="s">
        <v>534</v>
      </c>
      <c r="N38" s="66" t="s">
        <v>535</v>
      </c>
      <c r="O38" s="66" t="s">
        <v>543</v>
      </c>
      <c r="P38" s="66" t="s">
        <v>501</v>
      </c>
      <c r="Q38" s="66" t="s">
        <v>652</v>
      </c>
    </row>
    <row r="39" spans="1:17" ht="114" thickBot="1" x14ac:dyDescent="0.4">
      <c r="A39" s="69" t="s">
        <v>653</v>
      </c>
      <c r="B39" s="66" t="s">
        <v>497</v>
      </c>
      <c r="C39" s="69">
        <v>3</v>
      </c>
      <c r="D39" s="66" t="s">
        <v>550</v>
      </c>
      <c r="E39" s="66" t="s">
        <v>575</v>
      </c>
      <c r="F39" s="66" t="s">
        <v>545</v>
      </c>
      <c r="G39" s="66" t="s">
        <v>654</v>
      </c>
      <c r="H39" s="66" t="s">
        <v>591</v>
      </c>
      <c r="I39" s="66" t="s">
        <v>629</v>
      </c>
      <c r="J39" s="66" t="s">
        <v>505</v>
      </c>
      <c r="K39" s="66" t="s">
        <v>655</v>
      </c>
      <c r="L39" s="66" t="s">
        <v>547</v>
      </c>
      <c r="M39" s="66" t="s">
        <v>565</v>
      </c>
      <c r="N39" s="66" t="s">
        <v>123</v>
      </c>
      <c r="O39" s="66" t="s">
        <v>543</v>
      </c>
      <c r="P39" s="66" t="s">
        <v>501</v>
      </c>
      <c r="Q39" s="66" t="s">
        <v>529</v>
      </c>
    </row>
    <row r="40" spans="1:17" ht="76.5" thickBot="1" x14ac:dyDescent="0.4">
      <c r="A40" s="69" t="s">
        <v>656</v>
      </c>
      <c r="B40" s="66" t="s">
        <v>497</v>
      </c>
      <c r="C40" s="69">
        <v>3</v>
      </c>
      <c r="D40" s="66" t="s">
        <v>527</v>
      </c>
      <c r="E40" s="66" t="s">
        <v>538</v>
      </c>
      <c r="F40" s="66" t="s">
        <v>545</v>
      </c>
      <c r="G40" s="66" t="s">
        <v>530</v>
      </c>
      <c r="H40" s="66" t="s">
        <v>539</v>
      </c>
      <c r="I40" s="66" t="s">
        <v>657</v>
      </c>
      <c r="J40" s="66" t="s">
        <v>507</v>
      </c>
      <c r="K40" s="66" t="s">
        <v>502</v>
      </c>
      <c r="L40" s="66" t="s">
        <v>593</v>
      </c>
      <c r="M40" s="66" t="s">
        <v>534</v>
      </c>
      <c r="N40" s="66" t="s">
        <v>535</v>
      </c>
      <c r="O40" s="66" t="s">
        <v>554</v>
      </c>
      <c r="P40" s="66" t="s">
        <v>501</v>
      </c>
      <c r="Q40" s="66"/>
    </row>
    <row r="41" spans="1:17" ht="51.5" thickBot="1" x14ac:dyDescent="0.4">
      <c r="A41" s="69" t="s">
        <v>658</v>
      </c>
      <c r="B41" s="66" t="s">
        <v>500</v>
      </c>
      <c r="C41" s="69">
        <v>3</v>
      </c>
      <c r="D41" s="66" t="s">
        <v>559</v>
      </c>
      <c r="E41" s="66" t="s">
        <v>538</v>
      </c>
      <c r="F41" s="66" t="s">
        <v>529</v>
      </c>
      <c r="G41" s="66" t="s">
        <v>659</v>
      </c>
      <c r="H41" s="66" t="s">
        <v>556</v>
      </c>
      <c r="I41" s="66" t="s">
        <v>569</v>
      </c>
      <c r="J41" s="66" t="s">
        <v>506</v>
      </c>
      <c r="K41" s="66" t="s">
        <v>502</v>
      </c>
      <c r="L41" s="66" t="s">
        <v>564</v>
      </c>
      <c r="M41" s="66" t="s">
        <v>601</v>
      </c>
      <c r="N41" s="66" t="s">
        <v>602</v>
      </c>
      <c r="O41" s="66" t="s">
        <v>536</v>
      </c>
      <c r="P41" s="66" t="s">
        <v>501</v>
      </c>
      <c r="Q41" s="72" t="s">
        <v>660</v>
      </c>
    </row>
    <row r="42" spans="1:17" ht="51.5" thickBot="1" x14ac:dyDescent="0.4">
      <c r="A42" s="69" t="s">
        <v>661</v>
      </c>
      <c r="B42" s="66" t="s">
        <v>500</v>
      </c>
      <c r="C42" s="69">
        <v>4</v>
      </c>
      <c r="D42" s="66" t="s">
        <v>559</v>
      </c>
      <c r="E42" s="66" t="s">
        <v>575</v>
      </c>
      <c r="F42" s="66" t="s">
        <v>545</v>
      </c>
      <c r="G42" s="66" t="s">
        <v>662</v>
      </c>
      <c r="H42" s="66" t="s">
        <v>556</v>
      </c>
      <c r="I42" s="66" t="s">
        <v>569</v>
      </c>
      <c r="J42" s="66" t="s">
        <v>505</v>
      </c>
      <c r="K42" s="66" t="s">
        <v>663</v>
      </c>
      <c r="L42" s="66" t="s">
        <v>625</v>
      </c>
      <c r="M42" s="66" t="s">
        <v>664</v>
      </c>
      <c r="N42" s="66" t="s">
        <v>602</v>
      </c>
      <c r="O42" s="66" t="s">
        <v>543</v>
      </c>
      <c r="P42" s="66" t="s">
        <v>503</v>
      </c>
      <c r="Q42" s="66" t="s">
        <v>665</v>
      </c>
    </row>
    <row r="43" spans="1:17" ht="89" thickBot="1" x14ac:dyDescent="0.4">
      <c r="A43" s="73">
        <v>44624.833877314813</v>
      </c>
      <c r="B43" s="66" t="s">
        <v>497</v>
      </c>
      <c r="C43" s="69">
        <v>1</v>
      </c>
      <c r="D43" s="66" t="s">
        <v>527</v>
      </c>
      <c r="E43" s="66" t="s">
        <v>544</v>
      </c>
      <c r="F43" s="66" t="s">
        <v>545</v>
      </c>
      <c r="G43" s="66" t="s">
        <v>530</v>
      </c>
      <c r="H43" s="66" t="s">
        <v>539</v>
      </c>
      <c r="I43" s="66" t="s">
        <v>546</v>
      </c>
      <c r="J43" s="66" t="s">
        <v>506</v>
      </c>
      <c r="K43" s="66" t="s">
        <v>502</v>
      </c>
      <c r="L43" s="66" t="s">
        <v>553</v>
      </c>
      <c r="M43" s="66" t="s">
        <v>534</v>
      </c>
      <c r="N43" s="66" t="s">
        <v>566</v>
      </c>
      <c r="O43" s="66" t="s">
        <v>548</v>
      </c>
      <c r="P43" s="66" t="s">
        <v>501</v>
      </c>
      <c r="Q43" s="66" t="s">
        <v>666</v>
      </c>
    </row>
    <row r="44" spans="1:17" ht="151.5" thickBot="1" x14ac:dyDescent="0.4">
      <c r="A44" s="73">
        <v>44624.894687499997</v>
      </c>
      <c r="B44" s="66" t="s">
        <v>497</v>
      </c>
      <c r="C44" s="69">
        <v>3</v>
      </c>
      <c r="D44" s="66" t="s">
        <v>527</v>
      </c>
      <c r="E44" s="66" t="s">
        <v>572</v>
      </c>
      <c r="F44" s="66" t="s">
        <v>545</v>
      </c>
      <c r="G44" s="66" t="s">
        <v>667</v>
      </c>
      <c r="H44" s="66" t="s">
        <v>631</v>
      </c>
      <c r="I44" s="66" t="s">
        <v>546</v>
      </c>
      <c r="J44" s="66" t="s">
        <v>507</v>
      </c>
      <c r="K44" s="66" t="s">
        <v>502</v>
      </c>
      <c r="L44" s="66" t="s">
        <v>547</v>
      </c>
      <c r="M44" s="66" t="s">
        <v>571</v>
      </c>
      <c r="N44" s="66" t="s">
        <v>535</v>
      </c>
      <c r="O44" s="66" t="s">
        <v>548</v>
      </c>
      <c r="P44" s="66" t="s">
        <v>501</v>
      </c>
      <c r="Q44" s="66"/>
    </row>
    <row r="45" spans="1:17" ht="76.5" thickBot="1" x14ac:dyDescent="0.4">
      <c r="A45" s="73">
        <v>44716.439837962964</v>
      </c>
      <c r="B45" s="66" t="s">
        <v>497</v>
      </c>
      <c r="C45" s="69">
        <v>2</v>
      </c>
      <c r="D45" s="66" t="s">
        <v>527</v>
      </c>
      <c r="E45" s="66" t="s">
        <v>627</v>
      </c>
      <c r="F45" s="66" t="s">
        <v>529</v>
      </c>
      <c r="G45" s="66" t="s">
        <v>668</v>
      </c>
      <c r="H45" s="66" t="s">
        <v>539</v>
      </c>
      <c r="I45" s="66" t="s">
        <v>582</v>
      </c>
      <c r="J45" s="66" t="s">
        <v>505</v>
      </c>
      <c r="K45" s="66" t="s">
        <v>502</v>
      </c>
      <c r="L45" s="66" t="s">
        <v>669</v>
      </c>
      <c r="M45" s="66" t="s">
        <v>534</v>
      </c>
      <c r="N45" s="66" t="s">
        <v>535</v>
      </c>
      <c r="O45" s="66" t="s">
        <v>543</v>
      </c>
      <c r="P45" s="66" t="s">
        <v>501</v>
      </c>
      <c r="Q45" s="66"/>
    </row>
    <row r="46" spans="1:17" ht="76.5" thickBot="1" x14ac:dyDescent="0.4">
      <c r="A46" s="69" t="s">
        <v>670</v>
      </c>
      <c r="B46" s="66" t="s">
        <v>499</v>
      </c>
      <c r="C46" s="69">
        <v>3</v>
      </c>
      <c r="D46" s="66" t="s">
        <v>527</v>
      </c>
      <c r="E46" s="66" t="s">
        <v>538</v>
      </c>
      <c r="F46" s="66" t="s">
        <v>545</v>
      </c>
      <c r="G46" s="66" t="s">
        <v>530</v>
      </c>
      <c r="H46" s="66" t="s">
        <v>562</v>
      </c>
      <c r="I46" s="66" t="s">
        <v>671</v>
      </c>
      <c r="J46" s="66" t="s">
        <v>506</v>
      </c>
      <c r="K46" s="66" t="s">
        <v>502</v>
      </c>
      <c r="L46" s="66" t="s">
        <v>672</v>
      </c>
      <c r="M46" s="66" t="s">
        <v>534</v>
      </c>
      <c r="N46" s="66" t="s">
        <v>535</v>
      </c>
      <c r="O46" s="66" t="s">
        <v>543</v>
      </c>
      <c r="P46" s="66" t="s">
        <v>501</v>
      </c>
      <c r="Q46" s="72" t="s">
        <v>673</v>
      </c>
    </row>
    <row r="47" spans="1:17" ht="39" thickBot="1" x14ac:dyDescent="0.4">
      <c r="A47" s="69" t="s">
        <v>674</v>
      </c>
      <c r="B47" s="66" t="s">
        <v>499</v>
      </c>
      <c r="C47" s="69">
        <v>4</v>
      </c>
      <c r="D47" s="66" t="s">
        <v>675</v>
      </c>
      <c r="E47" s="66" t="s">
        <v>575</v>
      </c>
      <c r="F47" s="66" t="s">
        <v>529</v>
      </c>
      <c r="G47" s="66" t="s">
        <v>530</v>
      </c>
      <c r="H47" s="66" t="s">
        <v>562</v>
      </c>
      <c r="I47" s="66" t="s">
        <v>569</v>
      </c>
      <c r="J47" s="66" t="s">
        <v>507</v>
      </c>
      <c r="K47" s="66" t="s">
        <v>502</v>
      </c>
      <c r="L47" s="66" t="s">
        <v>541</v>
      </c>
      <c r="M47" s="66" t="s">
        <v>542</v>
      </c>
      <c r="N47" s="66" t="s">
        <v>602</v>
      </c>
      <c r="O47" s="66" t="s">
        <v>548</v>
      </c>
      <c r="P47" s="66" t="s">
        <v>503</v>
      </c>
      <c r="Q47" s="66" t="s">
        <v>676</v>
      </c>
    </row>
    <row r="48" spans="1:17" ht="39" thickBot="1" x14ac:dyDescent="0.4">
      <c r="A48" s="69" t="s">
        <v>677</v>
      </c>
      <c r="B48" s="66" t="s">
        <v>498</v>
      </c>
      <c r="C48" s="69">
        <v>3</v>
      </c>
      <c r="D48" s="66" t="s">
        <v>550</v>
      </c>
      <c r="E48" s="66" t="s">
        <v>538</v>
      </c>
      <c r="F48" s="66" t="s">
        <v>545</v>
      </c>
      <c r="G48" s="66" t="s">
        <v>678</v>
      </c>
      <c r="H48" s="66" t="s">
        <v>591</v>
      </c>
      <c r="I48" s="66" t="s">
        <v>582</v>
      </c>
      <c r="J48" s="66" t="s">
        <v>507</v>
      </c>
      <c r="K48" s="66" t="s">
        <v>502</v>
      </c>
      <c r="L48" s="66" t="s">
        <v>583</v>
      </c>
      <c r="M48" s="66" t="s">
        <v>571</v>
      </c>
      <c r="N48" s="66" t="s">
        <v>535</v>
      </c>
      <c r="O48" s="66" t="s">
        <v>536</v>
      </c>
      <c r="P48" s="66" t="s">
        <v>501</v>
      </c>
      <c r="Q48" s="66" t="s">
        <v>679</v>
      </c>
    </row>
    <row r="49" spans="1:17" ht="51.5" thickBot="1" x14ac:dyDescent="0.4">
      <c r="A49" s="69" t="s">
        <v>680</v>
      </c>
      <c r="B49" s="66" t="s">
        <v>498</v>
      </c>
      <c r="C49" s="69">
        <v>3</v>
      </c>
      <c r="D49" s="66" t="s">
        <v>527</v>
      </c>
      <c r="E49" s="66" t="s">
        <v>538</v>
      </c>
      <c r="F49" s="66" t="s">
        <v>545</v>
      </c>
      <c r="G49" s="66"/>
      <c r="H49" s="66" t="s">
        <v>556</v>
      </c>
      <c r="I49" s="66" t="s">
        <v>592</v>
      </c>
      <c r="J49" s="66" t="s">
        <v>504</v>
      </c>
      <c r="K49" s="66" t="s">
        <v>502</v>
      </c>
      <c r="L49" s="66" t="s">
        <v>625</v>
      </c>
      <c r="M49" s="66" t="s">
        <v>681</v>
      </c>
      <c r="N49" s="66" t="s">
        <v>602</v>
      </c>
      <c r="O49" s="66" t="s">
        <v>554</v>
      </c>
      <c r="P49" s="66" t="s">
        <v>502</v>
      </c>
      <c r="Q49" s="66"/>
    </row>
    <row r="50" spans="1:17" ht="76.5" thickBot="1" x14ac:dyDescent="0.4">
      <c r="A50" s="69" t="s">
        <v>682</v>
      </c>
      <c r="B50" s="66" t="s">
        <v>497</v>
      </c>
      <c r="C50" s="69">
        <v>3</v>
      </c>
      <c r="D50" s="66" t="s">
        <v>527</v>
      </c>
      <c r="E50" s="66" t="s">
        <v>538</v>
      </c>
      <c r="F50" s="66" t="s">
        <v>545</v>
      </c>
      <c r="G50" s="66" t="s">
        <v>683</v>
      </c>
      <c r="H50" s="66" t="s">
        <v>684</v>
      </c>
      <c r="I50" s="66" t="s">
        <v>657</v>
      </c>
      <c r="J50" s="66" t="s">
        <v>506</v>
      </c>
      <c r="K50" s="66" t="s">
        <v>502</v>
      </c>
      <c r="L50" s="66" t="s">
        <v>553</v>
      </c>
      <c r="M50" s="66" t="s">
        <v>534</v>
      </c>
      <c r="N50" s="66" t="s">
        <v>602</v>
      </c>
      <c r="O50" s="66" t="s">
        <v>543</v>
      </c>
      <c r="P50" s="66" t="s">
        <v>501</v>
      </c>
      <c r="Q50" s="66"/>
    </row>
    <row r="51" spans="1:17" ht="89" thickBot="1" x14ac:dyDescent="0.4">
      <c r="A51" s="69" t="s">
        <v>685</v>
      </c>
      <c r="B51" s="66" t="s">
        <v>500</v>
      </c>
      <c r="C51" s="69">
        <v>3</v>
      </c>
      <c r="D51" s="66" t="s">
        <v>559</v>
      </c>
      <c r="E51" s="66" t="s">
        <v>575</v>
      </c>
      <c r="F51" s="66" t="s">
        <v>545</v>
      </c>
      <c r="G51" s="66" t="s">
        <v>686</v>
      </c>
      <c r="H51" s="66" t="s">
        <v>687</v>
      </c>
      <c r="I51" s="66" t="s">
        <v>532</v>
      </c>
      <c r="J51" s="66" t="s">
        <v>505</v>
      </c>
      <c r="K51" s="66" t="s">
        <v>502</v>
      </c>
      <c r="L51" s="66" t="s">
        <v>637</v>
      </c>
      <c r="M51" s="66" t="s">
        <v>571</v>
      </c>
      <c r="N51" s="66" t="s">
        <v>535</v>
      </c>
      <c r="O51" s="66" t="s">
        <v>548</v>
      </c>
      <c r="P51" s="66" t="s">
        <v>503</v>
      </c>
      <c r="Q51" s="66"/>
    </row>
    <row r="52" spans="1:17" ht="89" thickBot="1" x14ac:dyDescent="0.4">
      <c r="A52" s="69" t="s">
        <v>688</v>
      </c>
      <c r="B52" s="66" t="s">
        <v>499</v>
      </c>
      <c r="C52" s="69">
        <v>3</v>
      </c>
      <c r="D52" s="66" t="s">
        <v>559</v>
      </c>
      <c r="E52" s="66" t="s">
        <v>568</v>
      </c>
      <c r="F52" s="66" t="s">
        <v>545</v>
      </c>
      <c r="G52" s="66" t="s">
        <v>530</v>
      </c>
      <c r="H52" s="66" t="s">
        <v>577</v>
      </c>
      <c r="I52" s="66" t="s">
        <v>546</v>
      </c>
      <c r="J52" s="66" t="s">
        <v>506</v>
      </c>
      <c r="K52" s="66" t="s">
        <v>502</v>
      </c>
      <c r="L52" s="66" t="s">
        <v>553</v>
      </c>
      <c r="M52" s="66" t="s">
        <v>534</v>
      </c>
      <c r="N52" s="66" t="s">
        <v>535</v>
      </c>
      <c r="O52" s="66" t="s">
        <v>548</v>
      </c>
      <c r="P52" s="66" t="s">
        <v>503</v>
      </c>
      <c r="Q52" s="66"/>
    </row>
    <row r="53" spans="1:17" ht="126.5" thickBot="1" x14ac:dyDescent="0.4">
      <c r="A53" s="69" t="s">
        <v>689</v>
      </c>
      <c r="B53" s="66" t="s">
        <v>499</v>
      </c>
      <c r="C53" s="69">
        <v>3</v>
      </c>
      <c r="D53" s="66" t="s">
        <v>559</v>
      </c>
      <c r="E53" s="66" t="s">
        <v>572</v>
      </c>
      <c r="F53" s="66" t="s">
        <v>545</v>
      </c>
      <c r="G53" s="66" t="s">
        <v>690</v>
      </c>
      <c r="H53" s="66" t="s">
        <v>691</v>
      </c>
      <c r="I53" s="66" t="s">
        <v>671</v>
      </c>
      <c r="J53" s="66" t="s">
        <v>505</v>
      </c>
      <c r="K53" s="66" t="s">
        <v>502</v>
      </c>
      <c r="L53" s="66" t="s">
        <v>692</v>
      </c>
      <c r="M53" s="66" t="s">
        <v>534</v>
      </c>
      <c r="N53" s="66" t="s">
        <v>535</v>
      </c>
      <c r="O53" s="66" t="s">
        <v>548</v>
      </c>
      <c r="P53" s="66" t="s">
        <v>501</v>
      </c>
      <c r="Q53" s="66" t="s">
        <v>693</v>
      </c>
    </row>
    <row r="54" spans="1:17" ht="51.5" thickBot="1" x14ac:dyDescent="0.4">
      <c r="A54" s="69" t="s">
        <v>694</v>
      </c>
      <c r="B54" s="66" t="s">
        <v>499</v>
      </c>
      <c r="C54" s="69">
        <v>2</v>
      </c>
      <c r="D54" s="66" t="s">
        <v>559</v>
      </c>
      <c r="E54" s="66" t="s">
        <v>572</v>
      </c>
      <c r="F54" s="66" t="s">
        <v>529</v>
      </c>
      <c r="G54" s="66" t="s">
        <v>530</v>
      </c>
      <c r="H54" s="66" t="s">
        <v>556</v>
      </c>
      <c r="I54" s="66" t="s">
        <v>569</v>
      </c>
      <c r="J54" s="66" t="s">
        <v>505</v>
      </c>
      <c r="K54" s="66" t="s">
        <v>502</v>
      </c>
      <c r="L54" s="66" t="s">
        <v>672</v>
      </c>
      <c r="M54" s="66" t="s">
        <v>123</v>
      </c>
      <c r="N54" s="66" t="s">
        <v>123</v>
      </c>
      <c r="O54" s="66" t="s">
        <v>548</v>
      </c>
      <c r="P54" s="66" t="s">
        <v>501</v>
      </c>
      <c r="Q54" s="66" t="s">
        <v>665</v>
      </c>
    </row>
    <row r="55" spans="1:17" ht="76.5" thickBot="1" x14ac:dyDescent="0.4">
      <c r="A55" s="69" t="s">
        <v>695</v>
      </c>
      <c r="B55" s="66" t="s">
        <v>497</v>
      </c>
      <c r="C55" s="69">
        <v>3</v>
      </c>
      <c r="D55" s="66" t="s">
        <v>527</v>
      </c>
      <c r="E55" s="66" t="s">
        <v>568</v>
      </c>
      <c r="F55" s="66" t="s">
        <v>545</v>
      </c>
      <c r="G55" s="66" t="s">
        <v>530</v>
      </c>
      <c r="H55" s="66" t="s">
        <v>539</v>
      </c>
      <c r="I55" s="66" t="s">
        <v>657</v>
      </c>
      <c r="J55" s="66" t="s">
        <v>507</v>
      </c>
      <c r="K55" s="66" t="s">
        <v>502</v>
      </c>
      <c r="L55" s="66" t="s">
        <v>587</v>
      </c>
      <c r="M55" s="66" t="s">
        <v>588</v>
      </c>
      <c r="N55" s="66" t="s">
        <v>535</v>
      </c>
      <c r="O55" s="66" t="s">
        <v>548</v>
      </c>
      <c r="P55" s="66" t="s">
        <v>503</v>
      </c>
      <c r="Q55" s="66"/>
    </row>
    <row r="56" spans="1:17" ht="39" thickBot="1" x14ac:dyDescent="0.4">
      <c r="A56" s="69" t="s">
        <v>696</v>
      </c>
      <c r="B56" s="66" t="s">
        <v>497</v>
      </c>
      <c r="C56" s="69">
        <v>2</v>
      </c>
      <c r="D56" s="66" t="s">
        <v>527</v>
      </c>
      <c r="E56" s="66" t="s">
        <v>538</v>
      </c>
      <c r="F56" s="66" t="s">
        <v>529</v>
      </c>
      <c r="G56" s="66" t="s">
        <v>530</v>
      </c>
      <c r="H56" s="66" t="s">
        <v>591</v>
      </c>
      <c r="I56" s="66" t="s">
        <v>629</v>
      </c>
      <c r="J56" s="66" t="s">
        <v>505</v>
      </c>
      <c r="K56" s="66" t="s">
        <v>697</v>
      </c>
      <c r="L56" s="66" t="s">
        <v>541</v>
      </c>
      <c r="M56" s="66" t="s">
        <v>542</v>
      </c>
      <c r="N56" s="66" t="s">
        <v>566</v>
      </c>
      <c r="O56" s="66" t="s">
        <v>554</v>
      </c>
      <c r="P56" s="66" t="s">
        <v>501</v>
      </c>
      <c r="Q56" s="66"/>
    </row>
    <row r="57" spans="1:17" ht="76.5" thickBot="1" x14ac:dyDescent="0.4">
      <c r="A57" s="69" t="s">
        <v>698</v>
      </c>
      <c r="B57" s="66" t="s">
        <v>498</v>
      </c>
      <c r="C57" s="69">
        <v>3</v>
      </c>
      <c r="D57" s="66" t="s">
        <v>550</v>
      </c>
      <c r="E57" s="66" t="s">
        <v>560</v>
      </c>
      <c r="F57" s="66" t="s">
        <v>545</v>
      </c>
      <c r="G57" s="66" t="s">
        <v>530</v>
      </c>
      <c r="H57" s="66" t="s">
        <v>699</v>
      </c>
      <c r="I57" s="66" t="s">
        <v>621</v>
      </c>
      <c r="J57" s="66" t="s">
        <v>506</v>
      </c>
      <c r="K57" s="66" t="s">
        <v>502</v>
      </c>
      <c r="L57" s="66" t="s">
        <v>541</v>
      </c>
      <c r="M57" s="66" t="s">
        <v>571</v>
      </c>
      <c r="N57" s="66" t="s">
        <v>535</v>
      </c>
      <c r="O57" s="66" t="s">
        <v>536</v>
      </c>
      <c r="P57" s="66" t="s">
        <v>501</v>
      </c>
      <c r="Q57" s="66"/>
    </row>
    <row r="58" spans="1:17" ht="76.5" thickBot="1" x14ac:dyDescent="0.4">
      <c r="A58" s="69" t="s">
        <v>700</v>
      </c>
      <c r="B58" s="66" t="s">
        <v>497</v>
      </c>
      <c r="C58" s="69">
        <v>3</v>
      </c>
      <c r="D58" s="66" t="s">
        <v>527</v>
      </c>
      <c r="E58" s="66" t="s">
        <v>538</v>
      </c>
      <c r="F58" s="66" t="s">
        <v>545</v>
      </c>
      <c r="G58" s="66" t="s">
        <v>701</v>
      </c>
      <c r="H58" s="66" t="s">
        <v>573</v>
      </c>
      <c r="I58" s="66" t="s">
        <v>552</v>
      </c>
      <c r="J58" s="66" t="s">
        <v>506</v>
      </c>
      <c r="K58" s="66" t="s">
        <v>502</v>
      </c>
      <c r="L58" s="66" t="s">
        <v>596</v>
      </c>
      <c r="M58" s="66" t="s">
        <v>534</v>
      </c>
      <c r="N58" s="66" t="s">
        <v>535</v>
      </c>
      <c r="O58" s="66" t="s">
        <v>543</v>
      </c>
      <c r="P58" s="66" t="s">
        <v>501</v>
      </c>
      <c r="Q58" s="72" t="s">
        <v>702</v>
      </c>
    </row>
    <row r="59" spans="1:17" ht="39" thickBot="1" x14ac:dyDescent="0.4">
      <c r="A59" s="69" t="s">
        <v>703</v>
      </c>
      <c r="B59" s="66" t="s">
        <v>497</v>
      </c>
      <c r="C59" s="69">
        <v>3</v>
      </c>
      <c r="D59" s="66" t="s">
        <v>704</v>
      </c>
      <c r="E59" s="66" t="s">
        <v>568</v>
      </c>
      <c r="F59" s="66" t="s">
        <v>545</v>
      </c>
      <c r="G59" s="66" t="s">
        <v>705</v>
      </c>
      <c r="H59" s="66" t="s">
        <v>706</v>
      </c>
      <c r="I59" s="66" t="s">
        <v>707</v>
      </c>
      <c r="J59" s="66" t="s">
        <v>504</v>
      </c>
      <c r="K59" s="66" t="s">
        <v>502</v>
      </c>
      <c r="L59" s="66" t="s">
        <v>708</v>
      </c>
      <c r="M59" s="66" t="s">
        <v>571</v>
      </c>
      <c r="N59" s="66" t="s">
        <v>709</v>
      </c>
      <c r="O59" s="66" t="s">
        <v>543</v>
      </c>
      <c r="P59" s="66" t="s">
        <v>503</v>
      </c>
      <c r="Q59" s="66" t="s">
        <v>710</v>
      </c>
    </row>
    <row r="60" spans="1:17" ht="114" thickBot="1" x14ac:dyDescent="0.4">
      <c r="A60" s="69" t="s">
        <v>711</v>
      </c>
      <c r="B60" s="66" t="s">
        <v>497</v>
      </c>
      <c r="C60" s="69">
        <v>2</v>
      </c>
      <c r="D60" s="66" t="s">
        <v>527</v>
      </c>
      <c r="E60" s="66" t="s">
        <v>712</v>
      </c>
      <c r="F60" s="66" t="s">
        <v>545</v>
      </c>
      <c r="G60" s="66" t="s">
        <v>713</v>
      </c>
      <c r="H60" s="66" t="s">
        <v>539</v>
      </c>
      <c r="I60" s="66" t="s">
        <v>714</v>
      </c>
      <c r="J60" s="66" t="s">
        <v>506</v>
      </c>
      <c r="K60" s="66" t="s">
        <v>502</v>
      </c>
      <c r="L60" s="66" t="s">
        <v>541</v>
      </c>
      <c r="M60" s="66" t="s">
        <v>565</v>
      </c>
      <c r="N60" s="66" t="s">
        <v>535</v>
      </c>
      <c r="O60" s="66" t="s">
        <v>548</v>
      </c>
      <c r="P60" s="66" t="s">
        <v>501</v>
      </c>
      <c r="Q60" s="66"/>
    </row>
    <row r="61" spans="1:17" ht="76.5" thickBot="1" x14ac:dyDescent="0.4">
      <c r="A61" s="69" t="s">
        <v>715</v>
      </c>
      <c r="B61" s="66" t="s">
        <v>497</v>
      </c>
      <c r="C61" s="69">
        <v>3</v>
      </c>
      <c r="D61" s="66" t="s">
        <v>550</v>
      </c>
      <c r="E61" s="66" t="s">
        <v>538</v>
      </c>
      <c r="F61" s="66" t="s">
        <v>545</v>
      </c>
      <c r="G61" s="66" t="s">
        <v>716</v>
      </c>
      <c r="H61" s="66" t="s">
        <v>573</v>
      </c>
      <c r="I61" s="66" t="s">
        <v>717</v>
      </c>
      <c r="J61" s="66" t="s">
        <v>506</v>
      </c>
      <c r="K61" s="66" t="s">
        <v>502</v>
      </c>
      <c r="L61" s="66" t="s">
        <v>587</v>
      </c>
      <c r="M61" s="66" t="s">
        <v>534</v>
      </c>
      <c r="N61" s="66" t="s">
        <v>535</v>
      </c>
      <c r="O61" s="66" t="s">
        <v>548</v>
      </c>
      <c r="P61" s="66" t="s">
        <v>501</v>
      </c>
      <c r="Q61" s="66"/>
    </row>
    <row r="62" spans="1:17" ht="76.5" thickBot="1" x14ac:dyDescent="0.4">
      <c r="A62" s="69" t="s">
        <v>718</v>
      </c>
      <c r="B62" s="66" t="s">
        <v>497</v>
      </c>
      <c r="C62" s="69">
        <v>3</v>
      </c>
      <c r="D62" s="66" t="s">
        <v>527</v>
      </c>
      <c r="E62" s="66" t="s">
        <v>575</v>
      </c>
      <c r="F62" s="66" t="s">
        <v>545</v>
      </c>
      <c r="G62" s="66" t="s">
        <v>551</v>
      </c>
      <c r="H62" s="66" t="s">
        <v>539</v>
      </c>
      <c r="I62" s="66" t="s">
        <v>608</v>
      </c>
      <c r="J62" s="66" t="s">
        <v>506</v>
      </c>
      <c r="K62" s="66" t="s">
        <v>502</v>
      </c>
      <c r="L62" s="66" t="s">
        <v>541</v>
      </c>
      <c r="M62" s="66" t="s">
        <v>534</v>
      </c>
      <c r="N62" s="66" t="s">
        <v>123</v>
      </c>
      <c r="O62" s="66" t="s">
        <v>548</v>
      </c>
      <c r="P62" s="66" t="s">
        <v>503</v>
      </c>
      <c r="Q62" s="66"/>
    </row>
    <row r="63" spans="1:17" ht="39" thickBot="1" x14ac:dyDescent="0.4">
      <c r="A63" s="69" t="s">
        <v>719</v>
      </c>
      <c r="B63" s="66" t="s">
        <v>497</v>
      </c>
      <c r="C63" s="69">
        <v>3</v>
      </c>
      <c r="D63" s="66" t="s">
        <v>527</v>
      </c>
      <c r="E63" s="66" t="s">
        <v>538</v>
      </c>
      <c r="F63" s="66" t="s">
        <v>529</v>
      </c>
      <c r="G63" s="66" t="s">
        <v>720</v>
      </c>
      <c r="H63" s="66" t="s">
        <v>591</v>
      </c>
      <c r="I63" s="66" t="s">
        <v>569</v>
      </c>
      <c r="J63" s="66" t="s">
        <v>507</v>
      </c>
      <c r="K63" s="66" t="s">
        <v>502</v>
      </c>
      <c r="L63" s="66" t="s">
        <v>541</v>
      </c>
      <c r="M63" s="66" t="s">
        <v>571</v>
      </c>
      <c r="N63" s="66" t="s">
        <v>602</v>
      </c>
      <c r="O63" s="66" t="s">
        <v>548</v>
      </c>
      <c r="P63" s="66" t="s">
        <v>501</v>
      </c>
      <c r="Q63" s="66" t="s">
        <v>721</v>
      </c>
    </row>
    <row r="64" spans="1:17" ht="76.5" thickBot="1" x14ac:dyDescent="0.4">
      <c r="A64" s="69" t="s">
        <v>722</v>
      </c>
      <c r="B64" s="66" t="s">
        <v>497</v>
      </c>
      <c r="C64" s="69">
        <v>3</v>
      </c>
      <c r="D64" s="66" t="s">
        <v>527</v>
      </c>
      <c r="E64" s="66" t="s">
        <v>572</v>
      </c>
      <c r="F64" s="66" t="s">
        <v>545</v>
      </c>
      <c r="G64" s="66"/>
      <c r="H64" s="66" t="s">
        <v>539</v>
      </c>
      <c r="I64" s="66" t="s">
        <v>644</v>
      </c>
      <c r="J64" s="66" t="s">
        <v>506</v>
      </c>
      <c r="K64" s="66" t="s">
        <v>502</v>
      </c>
      <c r="L64" s="66" t="s">
        <v>723</v>
      </c>
      <c r="M64" s="66" t="s">
        <v>571</v>
      </c>
      <c r="N64" s="66" t="s">
        <v>535</v>
      </c>
      <c r="O64" s="66" t="s">
        <v>548</v>
      </c>
      <c r="P64" s="66" t="s">
        <v>503</v>
      </c>
      <c r="Q64" s="66"/>
    </row>
    <row r="65" spans="1:17" ht="126.5" thickBot="1" x14ac:dyDescent="0.4">
      <c r="A65" s="69" t="s">
        <v>724</v>
      </c>
      <c r="B65" s="66" t="s">
        <v>497</v>
      </c>
      <c r="C65" s="69">
        <v>3</v>
      </c>
      <c r="D65" s="66" t="s">
        <v>527</v>
      </c>
      <c r="E65" s="66" t="s">
        <v>575</v>
      </c>
      <c r="F65" s="66" t="s">
        <v>545</v>
      </c>
      <c r="G65" s="66" t="s">
        <v>530</v>
      </c>
      <c r="H65" s="66" t="s">
        <v>531</v>
      </c>
      <c r="I65" s="66" t="s">
        <v>725</v>
      </c>
      <c r="J65" s="66" t="s">
        <v>506</v>
      </c>
      <c r="K65" s="66" t="s">
        <v>502</v>
      </c>
      <c r="L65" s="66" t="s">
        <v>553</v>
      </c>
      <c r="M65" s="66" t="s">
        <v>534</v>
      </c>
      <c r="N65" s="66" t="s">
        <v>535</v>
      </c>
      <c r="O65" s="66" t="s">
        <v>548</v>
      </c>
      <c r="P65" s="66" t="s">
        <v>501</v>
      </c>
      <c r="Q65" s="66" t="s">
        <v>726</v>
      </c>
    </row>
    <row r="66" spans="1:17" ht="89" thickBot="1" x14ac:dyDescent="0.4">
      <c r="A66" s="69" t="s">
        <v>727</v>
      </c>
      <c r="B66" s="66" t="s">
        <v>497</v>
      </c>
      <c r="C66" s="69">
        <v>3</v>
      </c>
      <c r="D66" s="66" t="s">
        <v>550</v>
      </c>
      <c r="E66" s="66" t="s">
        <v>630</v>
      </c>
      <c r="F66" s="66" t="s">
        <v>545</v>
      </c>
      <c r="G66" s="66" t="s">
        <v>728</v>
      </c>
      <c r="H66" s="66" t="s">
        <v>539</v>
      </c>
      <c r="I66" s="66" t="s">
        <v>546</v>
      </c>
      <c r="J66" s="66" t="s">
        <v>505</v>
      </c>
      <c r="K66" s="66" t="s">
        <v>502</v>
      </c>
      <c r="L66" s="66" t="s">
        <v>587</v>
      </c>
      <c r="M66" s="66" t="s">
        <v>534</v>
      </c>
      <c r="N66" s="66" t="s">
        <v>535</v>
      </c>
      <c r="O66" s="66" t="s">
        <v>554</v>
      </c>
      <c r="P66" s="66" t="s">
        <v>503</v>
      </c>
      <c r="Q66" s="66"/>
    </row>
    <row r="67" spans="1:17" ht="101.5" thickBot="1" x14ac:dyDescent="0.4">
      <c r="A67" s="69" t="s">
        <v>729</v>
      </c>
      <c r="B67" s="66" t="s">
        <v>498</v>
      </c>
      <c r="C67" s="69">
        <v>3</v>
      </c>
      <c r="D67" s="66" t="s">
        <v>559</v>
      </c>
      <c r="E67" s="66" t="s">
        <v>575</v>
      </c>
      <c r="F67" s="66" t="s">
        <v>545</v>
      </c>
      <c r="G67" s="66" t="s">
        <v>148</v>
      </c>
      <c r="H67" s="66" t="s">
        <v>730</v>
      </c>
      <c r="I67" s="66" t="s">
        <v>731</v>
      </c>
      <c r="J67" s="66" t="s">
        <v>506</v>
      </c>
      <c r="K67" s="66" t="s">
        <v>502</v>
      </c>
      <c r="L67" s="66" t="s">
        <v>547</v>
      </c>
      <c r="M67" s="66" t="s">
        <v>571</v>
      </c>
      <c r="N67" s="66" t="s">
        <v>535</v>
      </c>
      <c r="O67" s="66" t="s">
        <v>548</v>
      </c>
      <c r="P67" s="66" t="s">
        <v>501</v>
      </c>
      <c r="Q67" s="66" t="s">
        <v>732</v>
      </c>
    </row>
    <row r="68" spans="1:17" ht="76.5" thickBot="1" x14ac:dyDescent="0.4">
      <c r="A68" s="69" t="s">
        <v>733</v>
      </c>
      <c r="B68" s="66" t="s">
        <v>498</v>
      </c>
      <c r="C68" s="69">
        <v>3</v>
      </c>
      <c r="D68" s="66" t="s">
        <v>527</v>
      </c>
      <c r="E68" s="66" t="s">
        <v>538</v>
      </c>
      <c r="F68" s="66" t="s">
        <v>545</v>
      </c>
      <c r="G68" s="66" t="s">
        <v>530</v>
      </c>
      <c r="H68" s="66" t="s">
        <v>591</v>
      </c>
      <c r="I68" s="66" t="s">
        <v>608</v>
      </c>
      <c r="J68" s="66" t="s">
        <v>504</v>
      </c>
      <c r="K68" s="66" t="s">
        <v>502</v>
      </c>
      <c r="L68" s="66" t="s">
        <v>587</v>
      </c>
      <c r="M68" s="66" t="s">
        <v>534</v>
      </c>
      <c r="N68" s="66" t="s">
        <v>602</v>
      </c>
      <c r="O68" s="66" t="s">
        <v>543</v>
      </c>
      <c r="P68" s="66" t="s">
        <v>503</v>
      </c>
      <c r="Q68" s="72" t="s">
        <v>734</v>
      </c>
    </row>
    <row r="69" spans="1:17" ht="76.5" thickBot="1" x14ac:dyDescent="0.4">
      <c r="A69" s="69" t="s">
        <v>735</v>
      </c>
      <c r="B69" s="66" t="s">
        <v>498</v>
      </c>
      <c r="C69" s="69">
        <v>3</v>
      </c>
      <c r="D69" s="66" t="s">
        <v>559</v>
      </c>
      <c r="E69" s="66" t="s">
        <v>538</v>
      </c>
      <c r="F69" s="66" t="s">
        <v>545</v>
      </c>
      <c r="G69" s="66" t="s">
        <v>736</v>
      </c>
      <c r="H69" s="66" t="s">
        <v>539</v>
      </c>
      <c r="I69" s="66" t="s">
        <v>569</v>
      </c>
      <c r="J69" s="66" t="s">
        <v>506</v>
      </c>
      <c r="K69" s="66" t="s">
        <v>502</v>
      </c>
      <c r="L69" s="66" t="s">
        <v>541</v>
      </c>
      <c r="M69" s="66" t="s">
        <v>534</v>
      </c>
      <c r="N69" s="66" t="s">
        <v>566</v>
      </c>
      <c r="O69" s="66" t="s">
        <v>536</v>
      </c>
      <c r="P69" s="66" t="s">
        <v>503</v>
      </c>
      <c r="Q69" s="66"/>
    </row>
    <row r="70" spans="1:17" ht="51.5" thickBot="1" x14ac:dyDescent="0.4">
      <c r="A70" s="69" t="s">
        <v>737</v>
      </c>
      <c r="B70" s="66" t="s">
        <v>497</v>
      </c>
      <c r="C70" s="69">
        <v>2</v>
      </c>
      <c r="D70" s="66" t="s">
        <v>550</v>
      </c>
      <c r="E70" s="66" t="s">
        <v>538</v>
      </c>
      <c r="F70" s="66" t="s">
        <v>545</v>
      </c>
      <c r="G70" s="66"/>
      <c r="H70" s="66" t="s">
        <v>624</v>
      </c>
      <c r="I70" s="66" t="s">
        <v>605</v>
      </c>
      <c r="J70" s="66" t="s">
        <v>507</v>
      </c>
      <c r="K70" s="66" t="s">
        <v>502</v>
      </c>
      <c r="L70" s="66" t="s">
        <v>553</v>
      </c>
      <c r="M70" s="66" t="s">
        <v>571</v>
      </c>
      <c r="N70" s="66" t="s">
        <v>123</v>
      </c>
      <c r="O70" s="66" t="s">
        <v>548</v>
      </c>
      <c r="P70" s="66" t="s">
        <v>503</v>
      </c>
      <c r="Q70" s="66" t="s">
        <v>579</v>
      </c>
    </row>
    <row r="71" spans="1:17" ht="39" thickBot="1" x14ac:dyDescent="0.4">
      <c r="A71" s="69" t="s">
        <v>738</v>
      </c>
      <c r="B71" s="66" t="s">
        <v>499</v>
      </c>
      <c r="C71" s="69">
        <v>5</v>
      </c>
      <c r="D71" s="66" t="s">
        <v>559</v>
      </c>
      <c r="E71" s="66" t="s">
        <v>544</v>
      </c>
      <c r="F71" s="66" t="s">
        <v>545</v>
      </c>
      <c r="G71" s="66" t="s">
        <v>551</v>
      </c>
      <c r="H71" s="66" t="s">
        <v>562</v>
      </c>
      <c r="I71" s="66" t="s">
        <v>657</v>
      </c>
      <c r="J71" s="66" t="s">
        <v>505</v>
      </c>
      <c r="K71" s="66" t="s">
        <v>502</v>
      </c>
      <c r="L71" s="66" t="s">
        <v>739</v>
      </c>
      <c r="M71" s="66" t="s">
        <v>542</v>
      </c>
      <c r="N71" s="66" t="s">
        <v>535</v>
      </c>
      <c r="O71" s="66" t="s">
        <v>548</v>
      </c>
      <c r="P71" s="66" t="s">
        <v>501</v>
      </c>
      <c r="Q71" s="66"/>
    </row>
    <row r="72" spans="1:17" ht="39" thickBot="1" x14ac:dyDescent="0.4">
      <c r="A72" s="69" t="s">
        <v>740</v>
      </c>
      <c r="B72" s="66" t="s">
        <v>500</v>
      </c>
      <c r="C72" s="69">
        <v>3</v>
      </c>
      <c r="D72" s="66" t="s">
        <v>559</v>
      </c>
      <c r="E72" s="66" t="s">
        <v>538</v>
      </c>
      <c r="F72" s="66" t="s">
        <v>529</v>
      </c>
      <c r="G72" s="66" t="s">
        <v>741</v>
      </c>
      <c r="H72" s="66" t="s">
        <v>562</v>
      </c>
      <c r="I72" s="66" t="s">
        <v>569</v>
      </c>
      <c r="J72" s="66" t="s">
        <v>505</v>
      </c>
      <c r="K72" s="66" t="s">
        <v>502</v>
      </c>
      <c r="L72" s="66" t="s">
        <v>564</v>
      </c>
      <c r="M72" s="66" t="s">
        <v>542</v>
      </c>
      <c r="N72" s="66" t="s">
        <v>123</v>
      </c>
      <c r="O72" s="66" t="s">
        <v>548</v>
      </c>
      <c r="P72" s="66" t="s">
        <v>501</v>
      </c>
      <c r="Q72" s="66" t="s">
        <v>742</v>
      </c>
    </row>
    <row r="73" spans="1:17" ht="51.5" thickBot="1" x14ac:dyDescent="0.4">
      <c r="A73" s="69" t="s">
        <v>743</v>
      </c>
      <c r="B73" s="66" t="s">
        <v>499</v>
      </c>
      <c r="C73" s="69">
        <v>3</v>
      </c>
      <c r="D73" s="66" t="s">
        <v>559</v>
      </c>
      <c r="E73" s="66" t="s">
        <v>538</v>
      </c>
      <c r="F73" s="66" t="s">
        <v>545</v>
      </c>
      <c r="G73" s="66" t="s">
        <v>530</v>
      </c>
      <c r="H73" s="66" t="s">
        <v>556</v>
      </c>
      <c r="I73" s="66" t="s">
        <v>569</v>
      </c>
      <c r="J73" s="66" t="s">
        <v>506</v>
      </c>
      <c r="K73" s="66" t="s">
        <v>502</v>
      </c>
      <c r="L73" s="66" t="s">
        <v>541</v>
      </c>
      <c r="M73" s="66" t="s">
        <v>601</v>
      </c>
      <c r="N73" s="66" t="s">
        <v>602</v>
      </c>
      <c r="O73" s="66" t="s">
        <v>543</v>
      </c>
      <c r="P73" s="66" t="s">
        <v>501</v>
      </c>
      <c r="Q73" s="66" t="s">
        <v>744</v>
      </c>
    </row>
    <row r="74" spans="1:17" ht="101.5" thickBot="1" x14ac:dyDescent="0.4">
      <c r="A74" s="69" t="s">
        <v>745</v>
      </c>
      <c r="B74" s="66" t="s">
        <v>497</v>
      </c>
      <c r="C74" s="69">
        <v>3</v>
      </c>
      <c r="D74" s="66" t="s">
        <v>527</v>
      </c>
      <c r="E74" s="66" t="s">
        <v>538</v>
      </c>
      <c r="F74" s="66" t="s">
        <v>545</v>
      </c>
      <c r="G74" s="66" t="s">
        <v>530</v>
      </c>
      <c r="H74" s="66" t="s">
        <v>730</v>
      </c>
      <c r="I74" s="66" t="s">
        <v>540</v>
      </c>
      <c r="J74" s="66" t="s">
        <v>506</v>
      </c>
      <c r="K74" s="66" t="s">
        <v>502</v>
      </c>
      <c r="L74" s="66" t="s">
        <v>553</v>
      </c>
      <c r="M74" s="66" t="s">
        <v>534</v>
      </c>
      <c r="N74" s="66" t="s">
        <v>535</v>
      </c>
      <c r="O74" s="66" t="s">
        <v>633</v>
      </c>
      <c r="P74" s="66" t="s">
        <v>501</v>
      </c>
      <c r="Q74" s="72" t="s">
        <v>746</v>
      </c>
    </row>
    <row r="75" spans="1:17" ht="76.5" thickBot="1" x14ac:dyDescent="0.4">
      <c r="A75" s="69" t="s">
        <v>747</v>
      </c>
      <c r="B75" s="66" t="s">
        <v>500</v>
      </c>
      <c r="C75" s="69">
        <v>3</v>
      </c>
      <c r="D75" s="66" t="s">
        <v>559</v>
      </c>
      <c r="E75" s="66" t="s">
        <v>538</v>
      </c>
      <c r="F75" s="66" t="s">
        <v>545</v>
      </c>
      <c r="G75" s="66" t="s">
        <v>530</v>
      </c>
      <c r="H75" s="66" t="s">
        <v>556</v>
      </c>
      <c r="I75" s="66" t="s">
        <v>598</v>
      </c>
      <c r="J75" s="66" t="s">
        <v>507</v>
      </c>
      <c r="K75" s="66" t="s">
        <v>502</v>
      </c>
      <c r="L75" s="66" t="s">
        <v>557</v>
      </c>
      <c r="M75" s="66" t="s">
        <v>534</v>
      </c>
      <c r="N75" s="66" t="s">
        <v>535</v>
      </c>
      <c r="O75" s="66" t="s">
        <v>543</v>
      </c>
      <c r="P75" s="66" t="s">
        <v>501</v>
      </c>
      <c r="Q75" s="66" t="s">
        <v>748</v>
      </c>
    </row>
    <row r="76" spans="1:17" ht="139" thickBot="1" x14ac:dyDescent="0.4">
      <c r="A76" s="69" t="s">
        <v>749</v>
      </c>
      <c r="B76" s="66" t="s">
        <v>498</v>
      </c>
      <c r="C76" s="69">
        <v>5</v>
      </c>
      <c r="D76" s="66" t="s">
        <v>550</v>
      </c>
      <c r="E76" s="66" t="s">
        <v>586</v>
      </c>
      <c r="F76" s="66" t="s">
        <v>545</v>
      </c>
      <c r="G76" s="66" t="s">
        <v>750</v>
      </c>
      <c r="H76" s="66" t="s">
        <v>604</v>
      </c>
      <c r="I76" s="66" t="s">
        <v>751</v>
      </c>
      <c r="J76" s="66" t="s">
        <v>505</v>
      </c>
      <c r="K76" s="66" t="s">
        <v>752</v>
      </c>
      <c r="L76" s="66" t="s">
        <v>541</v>
      </c>
      <c r="M76" s="66" t="s">
        <v>542</v>
      </c>
      <c r="N76" s="66" t="s">
        <v>602</v>
      </c>
      <c r="O76" s="66" t="s">
        <v>548</v>
      </c>
      <c r="P76" s="66" t="s">
        <v>501</v>
      </c>
      <c r="Q76" s="66"/>
    </row>
    <row r="77" spans="1:17" ht="51.5" thickBot="1" x14ac:dyDescent="0.4">
      <c r="A77" s="69" t="s">
        <v>753</v>
      </c>
      <c r="B77" s="66" t="s">
        <v>500</v>
      </c>
      <c r="C77" s="69">
        <v>6</v>
      </c>
      <c r="D77" s="66" t="s">
        <v>559</v>
      </c>
      <c r="E77" s="66" t="s">
        <v>575</v>
      </c>
      <c r="F77" s="66" t="s">
        <v>545</v>
      </c>
      <c r="G77" s="66" t="s">
        <v>551</v>
      </c>
      <c r="H77" s="66" t="s">
        <v>556</v>
      </c>
      <c r="I77" s="66" t="s">
        <v>569</v>
      </c>
      <c r="J77" s="66" t="s">
        <v>506</v>
      </c>
      <c r="K77" s="66" t="s">
        <v>502</v>
      </c>
      <c r="L77" s="66" t="s">
        <v>541</v>
      </c>
      <c r="M77" s="66" t="s">
        <v>601</v>
      </c>
      <c r="N77" s="66" t="s">
        <v>602</v>
      </c>
      <c r="O77" s="66" t="s">
        <v>536</v>
      </c>
      <c r="P77" s="66" t="s">
        <v>501</v>
      </c>
      <c r="Q77" s="66"/>
    </row>
    <row r="78" spans="1:17" ht="51.5" thickBot="1" x14ac:dyDescent="0.4">
      <c r="A78" s="69" t="s">
        <v>754</v>
      </c>
      <c r="B78" s="66" t="s">
        <v>500</v>
      </c>
      <c r="C78" s="69">
        <v>3</v>
      </c>
      <c r="D78" s="66" t="s">
        <v>559</v>
      </c>
      <c r="E78" s="66" t="s">
        <v>538</v>
      </c>
      <c r="F78" s="66" t="s">
        <v>545</v>
      </c>
      <c r="G78" s="66" t="s">
        <v>530</v>
      </c>
      <c r="H78" s="66" t="s">
        <v>591</v>
      </c>
      <c r="I78" s="66" t="s">
        <v>532</v>
      </c>
      <c r="J78" s="66" t="s">
        <v>507</v>
      </c>
      <c r="K78" s="66" t="s">
        <v>502</v>
      </c>
      <c r="L78" s="66" t="s">
        <v>593</v>
      </c>
      <c r="M78" s="66" t="s">
        <v>571</v>
      </c>
      <c r="N78" s="66" t="s">
        <v>535</v>
      </c>
      <c r="O78" s="66" t="s">
        <v>554</v>
      </c>
      <c r="P78" s="66" t="s">
        <v>501</v>
      </c>
      <c r="Q78" s="66" t="s">
        <v>755</v>
      </c>
    </row>
    <row r="79" spans="1:17" ht="126.5" thickBot="1" x14ac:dyDescent="0.4">
      <c r="A79" s="69" t="s">
        <v>756</v>
      </c>
      <c r="B79" s="66" t="s">
        <v>499</v>
      </c>
      <c r="C79" s="69">
        <v>4</v>
      </c>
      <c r="D79" s="66" t="s">
        <v>550</v>
      </c>
      <c r="E79" s="66" t="s">
        <v>572</v>
      </c>
      <c r="F79" s="66" t="s">
        <v>545</v>
      </c>
      <c r="G79" s="66" t="s">
        <v>530</v>
      </c>
      <c r="H79" s="66" t="s">
        <v>531</v>
      </c>
      <c r="I79" s="66" t="s">
        <v>608</v>
      </c>
      <c r="J79" s="66" t="s">
        <v>507</v>
      </c>
      <c r="K79" s="66" t="s">
        <v>502</v>
      </c>
      <c r="L79" s="66" t="s">
        <v>587</v>
      </c>
      <c r="M79" s="66" t="s">
        <v>588</v>
      </c>
      <c r="N79" s="66" t="s">
        <v>602</v>
      </c>
      <c r="O79" s="66" t="s">
        <v>543</v>
      </c>
      <c r="P79" s="66" t="s">
        <v>503</v>
      </c>
      <c r="Q79" s="66" t="s">
        <v>665</v>
      </c>
    </row>
    <row r="80" spans="1:17" ht="51.5" thickBot="1" x14ac:dyDescent="0.4">
      <c r="A80" s="69" t="s">
        <v>757</v>
      </c>
      <c r="B80" s="66" t="s">
        <v>498</v>
      </c>
      <c r="C80" s="69">
        <v>3</v>
      </c>
      <c r="D80" s="66" t="s">
        <v>527</v>
      </c>
      <c r="E80" s="66" t="s">
        <v>538</v>
      </c>
      <c r="F80" s="66" t="s">
        <v>545</v>
      </c>
      <c r="G80" s="66" t="s">
        <v>758</v>
      </c>
      <c r="H80" s="66" t="s">
        <v>556</v>
      </c>
      <c r="I80" s="66" t="s">
        <v>617</v>
      </c>
      <c r="J80" s="66" t="s">
        <v>505</v>
      </c>
      <c r="K80" s="66" t="s">
        <v>502</v>
      </c>
      <c r="L80" s="66" t="s">
        <v>759</v>
      </c>
      <c r="M80" s="66" t="s">
        <v>571</v>
      </c>
      <c r="N80" s="66" t="s">
        <v>566</v>
      </c>
      <c r="O80" s="66" t="s">
        <v>543</v>
      </c>
      <c r="P80" s="66" t="s">
        <v>502</v>
      </c>
      <c r="Q80" s="72" t="s">
        <v>760</v>
      </c>
    </row>
    <row r="81" spans="1:17" ht="76.5" thickBot="1" x14ac:dyDescent="0.4">
      <c r="A81" s="69" t="s">
        <v>761</v>
      </c>
      <c r="B81" s="66" t="s">
        <v>497</v>
      </c>
      <c r="C81" s="69">
        <v>2</v>
      </c>
      <c r="D81" s="66" t="s">
        <v>527</v>
      </c>
      <c r="E81" s="66" t="s">
        <v>575</v>
      </c>
      <c r="F81" s="66" t="s">
        <v>545</v>
      </c>
      <c r="G81" s="66"/>
      <c r="H81" s="66" t="s">
        <v>762</v>
      </c>
      <c r="I81" s="66" t="s">
        <v>763</v>
      </c>
      <c r="J81" s="66" t="s">
        <v>507</v>
      </c>
      <c r="K81" s="66" t="s">
        <v>502</v>
      </c>
      <c r="L81" s="66" t="s">
        <v>764</v>
      </c>
      <c r="M81" s="66" t="s">
        <v>534</v>
      </c>
      <c r="N81" s="66" t="s">
        <v>535</v>
      </c>
      <c r="O81" s="66" t="s">
        <v>536</v>
      </c>
      <c r="P81" s="66" t="s">
        <v>501</v>
      </c>
      <c r="Q81" s="66"/>
    </row>
    <row r="82" spans="1:17" ht="189" thickBot="1" x14ac:dyDescent="0.4">
      <c r="A82" s="69" t="s">
        <v>765</v>
      </c>
      <c r="B82" s="66" t="s">
        <v>500</v>
      </c>
      <c r="C82" s="69">
        <v>3</v>
      </c>
      <c r="D82" s="66" t="s">
        <v>527</v>
      </c>
      <c r="E82" s="66" t="s">
        <v>538</v>
      </c>
      <c r="F82" s="66" t="s">
        <v>545</v>
      </c>
      <c r="G82" s="66" t="s">
        <v>530</v>
      </c>
      <c r="H82" s="66" t="s">
        <v>766</v>
      </c>
      <c r="I82" s="66" t="s">
        <v>621</v>
      </c>
      <c r="J82" s="66" t="s">
        <v>506</v>
      </c>
      <c r="K82" s="66" t="s">
        <v>502</v>
      </c>
      <c r="L82" s="66" t="s">
        <v>767</v>
      </c>
      <c r="M82" s="66" t="s">
        <v>588</v>
      </c>
      <c r="N82" s="66" t="s">
        <v>535</v>
      </c>
      <c r="O82" s="66" t="s">
        <v>536</v>
      </c>
      <c r="P82" s="66" t="s">
        <v>501</v>
      </c>
      <c r="Q82" s="72" t="s">
        <v>768</v>
      </c>
    </row>
    <row r="83" spans="1:17" ht="114" thickBot="1" x14ac:dyDescent="0.4">
      <c r="A83" s="69" t="s">
        <v>769</v>
      </c>
      <c r="B83" s="66" t="s">
        <v>498</v>
      </c>
      <c r="C83" s="69">
        <v>3</v>
      </c>
      <c r="D83" s="66" t="s">
        <v>527</v>
      </c>
      <c r="E83" s="66" t="s">
        <v>586</v>
      </c>
      <c r="F83" s="66" t="s">
        <v>529</v>
      </c>
      <c r="G83" s="66" t="s">
        <v>530</v>
      </c>
      <c r="H83" s="66" t="s">
        <v>562</v>
      </c>
      <c r="I83" s="66" t="s">
        <v>569</v>
      </c>
      <c r="J83" s="66" t="s">
        <v>505</v>
      </c>
      <c r="K83" s="66" t="s">
        <v>502</v>
      </c>
      <c r="L83" s="66" t="s">
        <v>587</v>
      </c>
      <c r="M83" s="66" t="s">
        <v>565</v>
      </c>
      <c r="N83" s="66" t="s">
        <v>602</v>
      </c>
      <c r="O83" s="66" t="s">
        <v>543</v>
      </c>
      <c r="P83" s="66" t="s">
        <v>503</v>
      </c>
      <c r="Q83" s="66"/>
    </row>
    <row r="84" spans="1:17" ht="51.5" thickBot="1" x14ac:dyDescent="0.4">
      <c r="A84" s="69" t="s">
        <v>770</v>
      </c>
      <c r="B84" s="66" t="s">
        <v>499</v>
      </c>
      <c r="C84" s="69">
        <v>3</v>
      </c>
      <c r="D84" s="66" t="s">
        <v>559</v>
      </c>
      <c r="E84" s="66" t="s">
        <v>538</v>
      </c>
      <c r="F84" s="66" t="s">
        <v>545</v>
      </c>
      <c r="G84" s="66" t="s">
        <v>771</v>
      </c>
      <c r="H84" s="66" t="s">
        <v>581</v>
      </c>
      <c r="I84" s="66" t="s">
        <v>569</v>
      </c>
      <c r="J84" s="66" t="s">
        <v>504</v>
      </c>
      <c r="K84" s="66" t="s">
        <v>502</v>
      </c>
      <c r="L84" s="66" t="s">
        <v>541</v>
      </c>
      <c r="M84" s="66" t="s">
        <v>542</v>
      </c>
      <c r="N84" s="66" t="s">
        <v>123</v>
      </c>
      <c r="O84" s="66" t="s">
        <v>543</v>
      </c>
      <c r="P84" s="66" t="s">
        <v>502</v>
      </c>
      <c r="Q84" s="72" t="s">
        <v>772</v>
      </c>
    </row>
    <row r="85" spans="1:17" ht="89" thickBot="1" x14ac:dyDescent="0.4">
      <c r="A85" s="69" t="s">
        <v>773</v>
      </c>
      <c r="B85" s="66" t="s">
        <v>498</v>
      </c>
      <c r="C85" s="69">
        <v>2</v>
      </c>
      <c r="D85" s="66" t="s">
        <v>550</v>
      </c>
      <c r="E85" s="66" t="s">
        <v>575</v>
      </c>
      <c r="F85" s="66" t="s">
        <v>545</v>
      </c>
      <c r="G85" s="66" t="s">
        <v>774</v>
      </c>
      <c r="H85" s="66" t="s">
        <v>624</v>
      </c>
      <c r="I85" s="66" t="s">
        <v>546</v>
      </c>
      <c r="J85" s="66" t="s">
        <v>507</v>
      </c>
      <c r="K85" s="66" t="s">
        <v>502</v>
      </c>
      <c r="L85" s="66" t="s">
        <v>775</v>
      </c>
      <c r="M85" s="66" t="s">
        <v>588</v>
      </c>
      <c r="N85" s="66" t="s">
        <v>535</v>
      </c>
      <c r="O85" s="66" t="s">
        <v>548</v>
      </c>
      <c r="P85" s="66" t="s">
        <v>503</v>
      </c>
      <c r="Q85" s="66" t="s">
        <v>776</v>
      </c>
    </row>
    <row r="86" spans="1:17" ht="51.5" thickBot="1" x14ac:dyDescent="0.4">
      <c r="A86" s="69" t="s">
        <v>777</v>
      </c>
      <c r="B86" s="66" t="s">
        <v>499</v>
      </c>
      <c r="C86" s="69">
        <v>2</v>
      </c>
      <c r="D86" s="66" t="s">
        <v>559</v>
      </c>
      <c r="E86" s="66" t="s">
        <v>538</v>
      </c>
      <c r="F86" s="66" t="s">
        <v>545</v>
      </c>
      <c r="G86" s="66" t="s">
        <v>148</v>
      </c>
      <c r="H86" s="66" t="s">
        <v>556</v>
      </c>
      <c r="I86" s="66" t="s">
        <v>569</v>
      </c>
      <c r="J86" s="66" t="s">
        <v>504</v>
      </c>
      <c r="K86" s="66" t="s">
        <v>502</v>
      </c>
      <c r="L86" s="66" t="s">
        <v>148</v>
      </c>
      <c r="M86" s="66" t="s">
        <v>778</v>
      </c>
      <c r="N86" s="66" t="s">
        <v>602</v>
      </c>
      <c r="O86" s="66" t="s">
        <v>543</v>
      </c>
      <c r="P86" s="66" t="s">
        <v>503</v>
      </c>
      <c r="Q86" s="66"/>
    </row>
    <row r="87" spans="1:17" ht="76.5" thickBot="1" x14ac:dyDescent="0.4">
      <c r="A87" s="69" t="s">
        <v>779</v>
      </c>
      <c r="B87" s="66" t="s">
        <v>499</v>
      </c>
      <c r="C87" s="69">
        <v>4</v>
      </c>
      <c r="D87" s="66" t="s">
        <v>527</v>
      </c>
      <c r="E87" s="66" t="s">
        <v>616</v>
      </c>
      <c r="F87" s="66" t="s">
        <v>545</v>
      </c>
      <c r="G87" s="66" t="s">
        <v>623</v>
      </c>
      <c r="H87" s="66" t="s">
        <v>581</v>
      </c>
      <c r="I87" s="66" t="s">
        <v>582</v>
      </c>
      <c r="J87" s="66" t="s">
        <v>506</v>
      </c>
      <c r="K87" s="66" t="s">
        <v>502</v>
      </c>
      <c r="L87" s="66" t="s">
        <v>541</v>
      </c>
      <c r="M87" s="66" t="s">
        <v>534</v>
      </c>
      <c r="N87" s="66" t="s">
        <v>535</v>
      </c>
      <c r="O87" s="66" t="s">
        <v>554</v>
      </c>
      <c r="P87" s="66" t="s">
        <v>503</v>
      </c>
      <c r="Q87" s="66"/>
    </row>
    <row r="88" spans="1:17" ht="39" thickBot="1" x14ac:dyDescent="0.4">
      <c r="A88" s="69" t="s">
        <v>780</v>
      </c>
      <c r="B88" s="66" t="s">
        <v>498</v>
      </c>
      <c r="C88" s="69">
        <v>4</v>
      </c>
      <c r="D88" s="66" t="s">
        <v>559</v>
      </c>
      <c r="E88" s="66" t="s">
        <v>572</v>
      </c>
      <c r="F88" s="66" t="s">
        <v>545</v>
      </c>
      <c r="G88" s="66" t="s">
        <v>530</v>
      </c>
      <c r="H88" s="66" t="s">
        <v>591</v>
      </c>
      <c r="I88" s="66" t="s">
        <v>569</v>
      </c>
      <c r="J88" s="66" t="s">
        <v>505</v>
      </c>
      <c r="K88" s="66" t="s">
        <v>502</v>
      </c>
      <c r="L88" s="66" t="s">
        <v>781</v>
      </c>
      <c r="M88" s="66" t="s">
        <v>571</v>
      </c>
      <c r="N88" s="66" t="s">
        <v>566</v>
      </c>
      <c r="O88" s="66" t="s">
        <v>548</v>
      </c>
      <c r="P88" s="66" t="s">
        <v>501</v>
      </c>
      <c r="Q88" s="66" t="s">
        <v>782</v>
      </c>
    </row>
    <row r="89" spans="1:17" ht="76.5" thickBot="1" x14ac:dyDescent="0.4">
      <c r="A89" s="69" t="s">
        <v>783</v>
      </c>
      <c r="B89" s="66" t="s">
        <v>498</v>
      </c>
      <c r="C89" s="69">
        <v>2</v>
      </c>
      <c r="D89" s="66" t="s">
        <v>527</v>
      </c>
      <c r="E89" s="66" t="s">
        <v>568</v>
      </c>
      <c r="F89" s="66" t="s">
        <v>529</v>
      </c>
      <c r="G89" s="66" t="s">
        <v>148</v>
      </c>
      <c r="H89" s="66" t="s">
        <v>624</v>
      </c>
      <c r="I89" s="66" t="s">
        <v>569</v>
      </c>
      <c r="J89" s="66" t="s">
        <v>506</v>
      </c>
      <c r="K89" s="66" t="s">
        <v>502</v>
      </c>
      <c r="L89" s="66" t="s">
        <v>564</v>
      </c>
      <c r="M89" s="66" t="s">
        <v>588</v>
      </c>
      <c r="N89" s="66" t="s">
        <v>602</v>
      </c>
      <c r="O89" s="66" t="s">
        <v>543</v>
      </c>
      <c r="P89" s="66" t="s">
        <v>501</v>
      </c>
      <c r="Q89" s="66"/>
    </row>
    <row r="90" spans="1:17" ht="39" thickBot="1" x14ac:dyDescent="0.4">
      <c r="A90" s="69" t="s">
        <v>784</v>
      </c>
      <c r="B90" s="66" t="s">
        <v>500</v>
      </c>
      <c r="C90" s="69">
        <v>3</v>
      </c>
      <c r="D90" s="66" t="s">
        <v>559</v>
      </c>
      <c r="E90" s="66" t="s">
        <v>538</v>
      </c>
      <c r="F90" s="66" t="s">
        <v>529</v>
      </c>
      <c r="G90" s="66" t="s">
        <v>530</v>
      </c>
      <c r="H90" s="66" t="s">
        <v>562</v>
      </c>
      <c r="I90" s="66" t="s">
        <v>629</v>
      </c>
      <c r="J90" s="66" t="s">
        <v>505</v>
      </c>
      <c r="K90" s="66" t="s">
        <v>502</v>
      </c>
      <c r="L90" s="66" t="s">
        <v>541</v>
      </c>
      <c r="M90" s="66" t="s">
        <v>571</v>
      </c>
      <c r="N90" s="66" t="s">
        <v>602</v>
      </c>
      <c r="O90" s="66" t="s">
        <v>543</v>
      </c>
      <c r="P90" s="66" t="s">
        <v>501</v>
      </c>
      <c r="Q90" s="66" t="s">
        <v>785</v>
      </c>
    </row>
    <row r="91" spans="1:17" ht="51.5" thickBot="1" x14ac:dyDescent="0.4">
      <c r="A91" s="69" t="s">
        <v>786</v>
      </c>
      <c r="B91" s="66" t="s">
        <v>498</v>
      </c>
      <c r="C91" s="69">
        <v>3</v>
      </c>
      <c r="D91" s="66" t="s">
        <v>559</v>
      </c>
      <c r="E91" s="66" t="s">
        <v>538</v>
      </c>
      <c r="F91" s="66" t="s">
        <v>545</v>
      </c>
      <c r="G91" s="66" t="s">
        <v>787</v>
      </c>
      <c r="H91" s="66" t="s">
        <v>556</v>
      </c>
      <c r="I91" s="66" t="s">
        <v>569</v>
      </c>
      <c r="J91" s="66" t="s">
        <v>504</v>
      </c>
      <c r="K91" s="66" t="s">
        <v>502</v>
      </c>
      <c r="L91" s="66" t="s">
        <v>541</v>
      </c>
      <c r="M91" s="66" t="s">
        <v>571</v>
      </c>
      <c r="N91" s="66" t="s">
        <v>535</v>
      </c>
      <c r="O91" s="66" t="s">
        <v>554</v>
      </c>
      <c r="P91" s="66" t="s">
        <v>502</v>
      </c>
      <c r="Q91" s="66"/>
    </row>
    <row r="92" spans="1:17" ht="51.5" thickBot="1" x14ac:dyDescent="0.4">
      <c r="A92" s="69" t="s">
        <v>788</v>
      </c>
      <c r="B92" s="66" t="s">
        <v>498</v>
      </c>
      <c r="C92" s="69">
        <v>2</v>
      </c>
      <c r="D92" s="66" t="s">
        <v>527</v>
      </c>
      <c r="E92" s="66" t="s">
        <v>538</v>
      </c>
      <c r="F92" s="66" t="s">
        <v>545</v>
      </c>
      <c r="G92" s="66" t="s">
        <v>789</v>
      </c>
      <c r="H92" s="66" t="s">
        <v>581</v>
      </c>
      <c r="I92" s="66" t="s">
        <v>569</v>
      </c>
      <c r="J92" s="66" t="s">
        <v>506</v>
      </c>
      <c r="K92" s="66" t="s">
        <v>502</v>
      </c>
      <c r="L92" s="66" t="s">
        <v>625</v>
      </c>
      <c r="M92" s="66" t="s">
        <v>571</v>
      </c>
      <c r="N92" s="66" t="s">
        <v>535</v>
      </c>
      <c r="O92" s="66" t="s">
        <v>543</v>
      </c>
      <c r="P92" s="66" t="s">
        <v>502</v>
      </c>
      <c r="Q92" s="66" t="s">
        <v>626</v>
      </c>
    </row>
    <row r="93" spans="1:17" ht="51.5" thickBot="1" x14ac:dyDescent="0.4">
      <c r="A93" s="69" t="s">
        <v>790</v>
      </c>
      <c r="B93" s="66" t="s">
        <v>499</v>
      </c>
      <c r="C93" s="69">
        <v>3</v>
      </c>
      <c r="D93" s="66" t="s">
        <v>527</v>
      </c>
      <c r="E93" s="66" t="s">
        <v>568</v>
      </c>
      <c r="F93" s="66" t="s">
        <v>529</v>
      </c>
      <c r="G93" s="66" t="s">
        <v>551</v>
      </c>
      <c r="H93" s="66" t="s">
        <v>556</v>
      </c>
      <c r="I93" s="66" t="s">
        <v>569</v>
      </c>
      <c r="J93" s="66" t="s">
        <v>506</v>
      </c>
      <c r="K93" s="66" t="s">
        <v>502</v>
      </c>
      <c r="L93" s="66" t="s">
        <v>781</v>
      </c>
      <c r="M93" s="66" t="s">
        <v>571</v>
      </c>
      <c r="N93" s="66" t="s">
        <v>535</v>
      </c>
      <c r="O93" s="66" t="s">
        <v>548</v>
      </c>
      <c r="P93" s="66" t="s">
        <v>501</v>
      </c>
      <c r="Q93" s="66"/>
    </row>
    <row r="94" spans="1:17" ht="51.5" thickBot="1" x14ac:dyDescent="0.4">
      <c r="A94" s="69" t="s">
        <v>791</v>
      </c>
      <c r="B94" s="66" t="s">
        <v>500</v>
      </c>
      <c r="C94" s="69">
        <v>3</v>
      </c>
      <c r="D94" s="66" t="s">
        <v>559</v>
      </c>
      <c r="E94" s="66" t="s">
        <v>538</v>
      </c>
      <c r="F94" s="66" t="s">
        <v>545</v>
      </c>
      <c r="G94" s="66" t="s">
        <v>148</v>
      </c>
      <c r="H94" s="66" t="s">
        <v>581</v>
      </c>
      <c r="I94" s="66" t="s">
        <v>569</v>
      </c>
      <c r="J94" s="66" t="s">
        <v>505</v>
      </c>
      <c r="K94" s="66" t="s">
        <v>502</v>
      </c>
      <c r="L94" s="66" t="s">
        <v>583</v>
      </c>
      <c r="M94" s="66" t="s">
        <v>601</v>
      </c>
      <c r="N94" s="66" t="s">
        <v>602</v>
      </c>
      <c r="O94" s="66" t="s">
        <v>554</v>
      </c>
      <c r="P94" s="66" t="s">
        <v>503</v>
      </c>
      <c r="Q94" s="66" t="s">
        <v>782</v>
      </c>
    </row>
    <row r="95" spans="1:17" ht="51.5" thickBot="1" x14ac:dyDescent="0.4">
      <c r="A95" s="69" t="s">
        <v>792</v>
      </c>
      <c r="B95" s="66" t="s">
        <v>499</v>
      </c>
      <c r="C95" s="69">
        <v>4</v>
      </c>
      <c r="D95" s="66" t="s">
        <v>559</v>
      </c>
      <c r="E95" s="66" t="s">
        <v>575</v>
      </c>
      <c r="F95" s="66" t="s">
        <v>529</v>
      </c>
      <c r="G95" s="66" t="s">
        <v>551</v>
      </c>
      <c r="H95" s="66" t="s">
        <v>556</v>
      </c>
      <c r="I95" s="66" t="s">
        <v>717</v>
      </c>
      <c r="J95" s="66" t="s">
        <v>505</v>
      </c>
      <c r="K95" s="66" t="s">
        <v>502</v>
      </c>
      <c r="L95" s="66" t="s">
        <v>541</v>
      </c>
      <c r="M95" s="66" t="s">
        <v>571</v>
      </c>
      <c r="N95" s="66" t="s">
        <v>535</v>
      </c>
      <c r="O95" s="66" t="s">
        <v>536</v>
      </c>
      <c r="P95" s="66" t="s">
        <v>503</v>
      </c>
      <c r="Q95" s="66"/>
    </row>
    <row r="96" spans="1:17" ht="64" thickBot="1" x14ac:dyDescent="0.4">
      <c r="A96" s="69" t="s">
        <v>793</v>
      </c>
      <c r="B96" s="66" t="s">
        <v>499</v>
      </c>
      <c r="C96" s="69">
        <v>3</v>
      </c>
      <c r="D96" s="66" t="s">
        <v>527</v>
      </c>
      <c r="E96" s="66" t="s">
        <v>538</v>
      </c>
      <c r="F96" s="66" t="s">
        <v>529</v>
      </c>
      <c r="G96" s="66" t="s">
        <v>794</v>
      </c>
      <c r="H96" s="66" t="s">
        <v>556</v>
      </c>
      <c r="I96" s="66" t="s">
        <v>671</v>
      </c>
      <c r="J96" s="66" t="s">
        <v>505</v>
      </c>
      <c r="K96" s="66" t="s">
        <v>502</v>
      </c>
      <c r="L96" s="66" t="s">
        <v>795</v>
      </c>
      <c r="M96" s="66" t="s">
        <v>601</v>
      </c>
      <c r="N96" s="66" t="s">
        <v>602</v>
      </c>
      <c r="O96" s="66" t="s">
        <v>548</v>
      </c>
      <c r="P96" s="66" t="s">
        <v>503</v>
      </c>
      <c r="Q96" s="72" t="s">
        <v>796</v>
      </c>
    </row>
    <row r="97" spans="1:17" ht="139" thickBot="1" x14ac:dyDescent="0.4">
      <c r="A97" s="69" t="s">
        <v>797</v>
      </c>
      <c r="B97" s="66" t="s">
        <v>500</v>
      </c>
      <c r="C97" s="69">
        <v>3</v>
      </c>
      <c r="D97" s="66" t="s">
        <v>559</v>
      </c>
      <c r="E97" s="66" t="s">
        <v>538</v>
      </c>
      <c r="F97" s="66" t="s">
        <v>545</v>
      </c>
      <c r="G97" s="66" t="s">
        <v>798</v>
      </c>
      <c r="H97" s="66" t="s">
        <v>604</v>
      </c>
      <c r="I97" s="66" t="s">
        <v>621</v>
      </c>
      <c r="J97" s="66" t="s">
        <v>506</v>
      </c>
      <c r="K97" s="66" t="s">
        <v>502</v>
      </c>
      <c r="L97" s="66" t="s">
        <v>799</v>
      </c>
      <c r="M97" s="66" t="s">
        <v>534</v>
      </c>
      <c r="N97" s="66" t="s">
        <v>535</v>
      </c>
      <c r="O97" s="66" t="s">
        <v>554</v>
      </c>
      <c r="P97" s="66" t="s">
        <v>501</v>
      </c>
      <c r="Q97" s="66" t="s">
        <v>800</v>
      </c>
    </row>
    <row r="98" spans="1:17" ht="114" thickBot="1" x14ac:dyDescent="0.4">
      <c r="A98" s="69" t="s">
        <v>801</v>
      </c>
      <c r="B98" s="66" t="s">
        <v>499</v>
      </c>
      <c r="C98" s="69">
        <v>2</v>
      </c>
      <c r="D98" s="66" t="s">
        <v>559</v>
      </c>
      <c r="E98" s="66" t="s">
        <v>575</v>
      </c>
      <c r="F98" s="66" t="s">
        <v>529</v>
      </c>
      <c r="G98" s="66" t="s">
        <v>590</v>
      </c>
      <c r="H98" s="66" t="s">
        <v>802</v>
      </c>
      <c r="I98" s="66" t="s">
        <v>707</v>
      </c>
      <c r="J98" s="66" t="s">
        <v>507</v>
      </c>
      <c r="K98" s="66" t="s">
        <v>502</v>
      </c>
      <c r="L98" s="66" t="s">
        <v>541</v>
      </c>
      <c r="M98" s="66" t="s">
        <v>565</v>
      </c>
      <c r="N98" s="66" t="s">
        <v>566</v>
      </c>
      <c r="O98" s="66" t="s">
        <v>543</v>
      </c>
      <c r="P98" s="66" t="s">
        <v>501</v>
      </c>
      <c r="Q98" s="66"/>
    </row>
    <row r="99" spans="1:17" ht="151.5" thickBot="1" x14ac:dyDescent="0.4">
      <c r="A99" s="69" t="s">
        <v>803</v>
      </c>
      <c r="B99" s="66" t="s">
        <v>498</v>
      </c>
      <c r="C99" s="69">
        <v>2</v>
      </c>
      <c r="D99" s="66" t="s">
        <v>559</v>
      </c>
      <c r="E99" s="66" t="s">
        <v>627</v>
      </c>
      <c r="F99" s="66" t="s">
        <v>545</v>
      </c>
      <c r="G99" s="66" t="s">
        <v>804</v>
      </c>
      <c r="H99" s="66" t="s">
        <v>631</v>
      </c>
      <c r="I99" s="66" t="s">
        <v>671</v>
      </c>
      <c r="J99" s="66" t="s">
        <v>506</v>
      </c>
      <c r="K99" s="66" t="s">
        <v>502</v>
      </c>
      <c r="L99" s="66" t="s">
        <v>541</v>
      </c>
      <c r="M99" s="66" t="s">
        <v>534</v>
      </c>
      <c r="N99" s="66" t="s">
        <v>535</v>
      </c>
      <c r="O99" s="66" t="s">
        <v>543</v>
      </c>
      <c r="P99" s="66" t="s">
        <v>501</v>
      </c>
      <c r="Q99" s="66" t="s">
        <v>805</v>
      </c>
    </row>
    <row r="100" spans="1:17" ht="51.5" thickBot="1" x14ac:dyDescent="0.4">
      <c r="A100" s="69" t="s">
        <v>806</v>
      </c>
      <c r="B100" s="66" t="s">
        <v>499</v>
      </c>
      <c r="C100" s="69">
        <v>3</v>
      </c>
      <c r="D100" s="66" t="s">
        <v>527</v>
      </c>
      <c r="E100" s="66" t="s">
        <v>538</v>
      </c>
      <c r="F100" s="66" t="s">
        <v>529</v>
      </c>
      <c r="G100" s="66"/>
      <c r="H100" s="66" t="s">
        <v>556</v>
      </c>
      <c r="I100" s="66" t="s">
        <v>569</v>
      </c>
      <c r="J100" s="66" t="s">
        <v>505</v>
      </c>
      <c r="K100" s="66" t="s">
        <v>502</v>
      </c>
      <c r="L100" s="66" t="s">
        <v>570</v>
      </c>
      <c r="M100" s="66" t="s">
        <v>542</v>
      </c>
      <c r="N100" s="66" t="s">
        <v>602</v>
      </c>
      <c r="O100" s="66" t="s">
        <v>633</v>
      </c>
      <c r="P100" s="66" t="s">
        <v>503</v>
      </c>
      <c r="Q100" s="66"/>
    </row>
    <row r="101" spans="1:17" ht="39" thickBot="1" x14ac:dyDescent="0.4">
      <c r="A101" s="69" t="s">
        <v>807</v>
      </c>
      <c r="B101" s="66" t="s">
        <v>500</v>
      </c>
      <c r="C101" s="69">
        <v>3</v>
      </c>
      <c r="D101" s="66" t="s">
        <v>527</v>
      </c>
      <c r="E101" s="66" t="s">
        <v>538</v>
      </c>
      <c r="F101" s="66" t="s">
        <v>545</v>
      </c>
      <c r="G101" s="66" t="s">
        <v>530</v>
      </c>
      <c r="H101" s="66" t="s">
        <v>562</v>
      </c>
      <c r="I101" s="66" t="s">
        <v>569</v>
      </c>
      <c r="J101" s="66" t="s">
        <v>504</v>
      </c>
      <c r="K101" s="66" t="s">
        <v>502</v>
      </c>
      <c r="L101" s="66" t="s">
        <v>541</v>
      </c>
      <c r="M101" s="66" t="s">
        <v>571</v>
      </c>
      <c r="N101" s="66" t="s">
        <v>535</v>
      </c>
      <c r="O101" s="66" t="s">
        <v>548</v>
      </c>
      <c r="P101" s="66" t="s">
        <v>502</v>
      </c>
      <c r="Q101" s="66"/>
    </row>
    <row r="102" spans="1:17" ht="51.5" thickBot="1" x14ac:dyDescent="0.4">
      <c r="A102" s="69" t="s">
        <v>808</v>
      </c>
      <c r="B102" s="66" t="s">
        <v>499</v>
      </c>
      <c r="C102" s="69">
        <v>4</v>
      </c>
      <c r="D102" s="66" t="s">
        <v>559</v>
      </c>
      <c r="E102" s="66" t="s">
        <v>538</v>
      </c>
      <c r="F102" s="66" t="s">
        <v>529</v>
      </c>
      <c r="G102" s="66" t="s">
        <v>148</v>
      </c>
      <c r="H102" s="66" t="s">
        <v>556</v>
      </c>
      <c r="I102" s="66" t="s">
        <v>569</v>
      </c>
      <c r="J102" s="66" t="s">
        <v>504</v>
      </c>
      <c r="K102" s="66" t="s">
        <v>502</v>
      </c>
      <c r="L102" s="66" t="s">
        <v>541</v>
      </c>
      <c r="M102" s="66" t="s">
        <v>571</v>
      </c>
      <c r="N102" s="66" t="s">
        <v>535</v>
      </c>
      <c r="O102" s="66" t="s">
        <v>543</v>
      </c>
      <c r="P102" s="66" t="s">
        <v>503</v>
      </c>
      <c r="Q102" s="66" t="s">
        <v>809</v>
      </c>
    </row>
    <row r="103" spans="1:17" ht="89" thickBot="1" x14ac:dyDescent="0.4">
      <c r="A103" s="69" t="s">
        <v>810</v>
      </c>
      <c r="B103" s="66" t="s">
        <v>497</v>
      </c>
      <c r="C103" s="69">
        <v>3</v>
      </c>
      <c r="D103" s="66" t="s">
        <v>527</v>
      </c>
      <c r="E103" s="66" t="s">
        <v>538</v>
      </c>
      <c r="F103" s="66" t="s">
        <v>545</v>
      </c>
      <c r="G103" s="66" t="s">
        <v>811</v>
      </c>
      <c r="H103" s="66" t="s">
        <v>802</v>
      </c>
      <c r="I103" s="66" t="s">
        <v>812</v>
      </c>
      <c r="J103" s="66" t="s">
        <v>506</v>
      </c>
      <c r="K103" s="66" t="s">
        <v>813</v>
      </c>
      <c r="L103" s="66" t="s">
        <v>593</v>
      </c>
      <c r="M103" s="66" t="s">
        <v>542</v>
      </c>
      <c r="N103" s="66" t="s">
        <v>566</v>
      </c>
      <c r="O103" s="66" t="s">
        <v>548</v>
      </c>
      <c r="P103" s="66" t="s">
        <v>501</v>
      </c>
      <c r="Q103" s="72" t="s">
        <v>814</v>
      </c>
    </row>
    <row r="104" spans="1:17" ht="76.5" thickBot="1" x14ac:dyDescent="0.4">
      <c r="A104" s="69" t="s">
        <v>815</v>
      </c>
      <c r="B104" s="66" t="s">
        <v>500</v>
      </c>
      <c r="C104" s="69">
        <v>3</v>
      </c>
      <c r="D104" s="66" t="s">
        <v>559</v>
      </c>
      <c r="E104" s="66" t="s">
        <v>538</v>
      </c>
      <c r="F104" s="66" t="s">
        <v>529</v>
      </c>
      <c r="G104" s="66" t="s">
        <v>530</v>
      </c>
      <c r="H104" s="66" t="s">
        <v>539</v>
      </c>
      <c r="I104" s="66" t="s">
        <v>642</v>
      </c>
      <c r="J104" s="66" t="s">
        <v>505</v>
      </c>
      <c r="K104" s="66" t="s">
        <v>502</v>
      </c>
      <c r="L104" s="66" t="s">
        <v>557</v>
      </c>
      <c r="M104" s="66" t="s">
        <v>571</v>
      </c>
      <c r="N104" s="66" t="s">
        <v>535</v>
      </c>
      <c r="O104" s="66" t="s">
        <v>543</v>
      </c>
      <c r="P104" s="66" t="s">
        <v>501</v>
      </c>
      <c r="Q104" s="66" t="s">
        <v>816</v>
      </c>
    </row>
    <row r="105" spans="1:17" ht="89" thickBot="1" x14ac:dyDescent="0.4">
      <c r="A105" s="69" t="s">
        <v>817</v>
      </c>
      <c r="B105" s="66" t="s">
        <v>497</v>
      </c>
      <c r="C105" s="69">
        <v>2</v>
      </c>
      <c r="D105" s="66" t="s">
        <v>527</v>
      </c>
      <c r="E105" s="66" t="s">
        <v>575</v>
      </c>
      <c r="F105" s="66" t="s">
        <v>545</v>
      </c>
      <c r="G105" s="66" t="s">
        <v>818</v>
      </c>
      <c r="H105" s="66" t="s">
        <v>802</v>
      </c>
      <c r="I105" s="66" t="s">
        <v>546</v>
      </c>
      <c r="J105" s="66" t="s">
        <v>505</v>
      </c>
      <c r="K105" s="66" t="s">
        <v>502</v>
      </c>
      <c r="L105" s="66" t="s">
        <v>587</v>
      </c>
      <c r="M105" s="66" t="s">
        <v>534</v>
      </c>
      <c r="N105" s="66" t="s">
        <v>535</v>
      </c>
      <c r="O105" s="66" t="s">
        <v>543</v>
      </c>
      <c r="P105" s="66" t="s">
        <v>503</v>
      </c>
      <c r="Q105" s="72" t="s">
        <v>819</v>
      </c>
    </row>
    <row r="106" spans="1:17" ht="76.5" thickBot="1" x14ac:dyDescent="0.4">
      <c r="A106" s="69" t="s">
        <v>820</v>
      </c>
      <c r="B106" s="66" t="s">
        <v>499</v>
      </c>
      <c r="C106" s="69">
        <v>4</v>
      </c>
      <c r="D106" s="66" t="s">
        <v>821</v>
      </c>
      <c r="E106" s="66" t="s">
        <v>544</v>
      </c>
      <c r="F106" s="66" t="s">
        <v>545</v>
      </c>
      <c r="G106" s="66" t="s">
        <v>148</v>
      </c>
      <c r="H106" s="66" t="s">
        <v>562</v>
      </c>
      <c r="I106" s="66" t="s">
        <v>569</v>
      </c>
      <c r="J106" s="66" t="s">
        <v>505</v>
      </c>
      <c r="K106" s="66" t="s">
        <v>822</v>
      </c>
      <c r="L106" s="66" t="s">
        <v>541</v>
      </c>
      <c r="M106" s="66" t="s">
        <v>588</v>
      </c>
      <c r="N106" s="66" t="s">
        <v>123</v>
      </c>
      <c r="O106" s="66" t="s">
        <v>543</v>
      </c>
      <c r="P106" s="66" t="s">
        <v>503</v>
      </c>
      <c r="Q106" s="66" t="s">
        <v>823</v>
      </c>
    </row>
    <row r="107" spans="1:17" ht="51.5" thickBot="1" x14ac:dyDescent="0.4">
      <c r="A107" s="69" t="s">
        <v>824</v>
      </c>
      <c r="B107" s="66" t="s">
        <v>500</v>
      </c>
      <c r="C107" s="69">
        <v>3</v>
      </c>
      <c r="D107" s="66" t="s">
        <v>559</v>
      </c>
      <c r="E107" s="66" t="s">
        <v>538</v>
      </c>
      <c r="F107" s="66" t="s">
        <v>545</v>
      </c>
      <c r="G107" s="66" t="s">
        <v>530</v>
      </c>
      <c r="H107" s="66" t="s">
        <v>556</v>
      </c>
      <c r="I107" s="66" t="s">
        <v>569</v>
      </c>
      <c r="J107" s="66" t="s">
        <v>506</v>
      </c>
      <c r="K107" s="66" t="s">
        <v>502</v>
      </c>
      <c r="L107" s="66" t="s">
        <v>541</v>
      </c>
      <c r="M107" s="66" t="s">
        <v>571</v>
      </c>
      <c r="N107" s="66" t="s">
        <v>535</v>
      </c>
      <c r="O107" s="66" t="s">
        <v>633</v>
      </c>
      <c r="P107" s="66" t="s">
        <v>501</v>
      </c>
      <c r="Q107" s="72" t="s">
        <v>825</v>
      </c>
    </row>
    <row r="108" spans="1:17" ht="89" thickBot="1" x14ac:dyDescent="0.4">
      <c r="A108" s="69" t="s">
        <v>826</v>
      </c>
      <c r="B108" s="66" t="s">
        <v>497</v>
      </c>
      <c r="C108" s="69">
        <v>2</v>
      </c>
      <c r="D108" s="66" t="s">
        <v>527</v>
      </c>
      <c r="E108" s="66" t="s">
        <v>538</v>
      </c>
      <c r="F108" s="66" t="s">
        <v>529</v>
      </c>
      <c r="G108" s="66" t="s">
        <v>827</v>
      </c>
      <c r="H108" s="66" t="s">
        <v>828</v>
      </c>
      <c r="I108" s="66" t="s">
        <v>829</v>
      </c>
      <c r="J108" s="66" t="s">
        <v>506</v>
      </c>
      <c r="K108" s="66" t="s">
        <v>502</v>
      </c>
      <c r="L108" s="66" t="s">
        <v>557</v>
      </c>
      <c r="M108" s="66" t="s">
        <v>588</v>
      </c>
      <c r="N108" s="66" t="s">
        <v>535</v>
      </c>
      <c r="O108" s="66" t="s">
        <v>548</v>
      </c>
      <c r="P108" s="66" t="s">
        <v>501</v>
      </c>
      <c r="Q108" s="66"/>
    </row>
    <row r="109" spans="1:17" ht="51.5" thickBot="1" x14ac:dyDescent="0.4">
      <c r="A109" s="69" t="s">
        <v>830</v>
      </c>
      <c r="B109" s="66" t="s">
        <v>500</v>
      </c>
      <c r="C109" s="69">
        <v>3</v>
      </c>
      <c r="D109" s="66" t="s">
        <v>559</v>
      </c>
      <c r="E109" s="66" t="s">
        <v>538</v>
      </c>
      <c r="F109" s="66" t="s">
        <v>529</v>
      </c>
      <c r="G109" s="66"/>
      <c r="H109" s="66" t="s">
        <v>556</v>
      </c>
      <c r="I109" s="66" t="s">
        <v>569</v>
      </c>
      <c r="J109" s="66" t="s">
        <v>506</v>
      </c>
      <c r="K109" s="66" t="s">
        <v>502</v>
      </c>
      <c r="L109" s="66" t="s">
        <v>541</v>
      </c>
      <c r="M109" s="66" t="s">
        <v>831</v>
      </c>
      <c r="N109" s="66" t="s">
        <v>602</v>
      </c>
      <c r="O109" s="66" t="s">
        <v>554</v>
      </c>
      <c r="P109" s="66" t="s">
        <v>501</v>
      </c>
      <c r="Q109" s="66" t="s">
        <v>665</v>
      </c>
    </row>
    <row r="110" spans="1:17" ht="39" thickBot="1" x14ac:dyDescent="0.4">
      <c r="A110" s="69" t="s">
        <v>832</v>
      </c>
      <c r="B110" s="66" t="s">
        <v>499</v>
      </c>
      <c r="C110" s="69">
        <v>2</v>
      </c>
      <c r="D110" s="66" t="s">
        <v>833</v>
      </c>
      <c r="E110" s="66" t="s">
        <v>834</v>
      </c>
      <c r="F110" s="66" t="s">
        <v>529</v>
      </c>
      <c r="G110" s="66" t="s">
        <v>551</v>
      </c>
      <c r="H110" s="66" t="s">
        <v>591</v>
      </c>
      <c r="I110" s="66" t="s">
        <v>569</v>
      </c>
      <c r="J110" s="66" t="s">
        <v>506</v>
      </c>
      <c r="K110" s="66" t="s">
        <v>502</v>
      </c>
      <c r="L110" s="66" t="s">
        <v>541</v>
      </c>
      <c r="M110" s="66" t="s">
        <v>571</v>
      </c>
      <c r="N110" s="66" t="s">
        <v>535</v>
      </c>
      <c r="O110" s="66" t="s">
        <v>536</v>
      </c>
      <c r="P110" s="66" t="s">
        <v>501</v>
      </c>
      <c r="Q110" s="72" t="s">
        <v>835</v>
      </c>
    </row>
    <row r="111" spans="1:17" ht="39" thickBot="1" x14ac:dyDescent="0.4">
      <c r="A111" s="69" t="s">
        <v>836</v>
      </c>
      <c r="B111" s="66" t="s">
        <v>498</v>
      </c>
      <c r="C111" s="69">
        <v>3</v>
      </c>
      <c r="D111" s="66" t="s">
        <v>550</v>
      </c>
      <c r="E111" s="66" t="s">
        <v>538</v>
      </c>
      <c r="F111" s="66" t="s">
        <v>529</v>
      </c>
      <c r="G111" s="66" t="s">
        <v>837</v>
      </c>
      <c r="H111" s="66" t="s">
        <v>591</v>
      </c>
      <c r="I111" s="66" t="s">
        <v>629</v>
      </c>
      <c r="J111" s="66" t="s">
        <v>507</v>
      </c>
      <c r="K111" s="66" t="s">
        <v>502</v>
      </c>
      <c r="L111" s="66" t="s">
        <v>625</v>
      </c>
      <c r="M111" s="66" t="s">
        <v>542</v>
      </c>
      <c r="N111" s="66" t="s">
        <v>566</v>
      </c>
      <c r="O111" s="66" t="s">
        <v>543</v>
      </c>
      <c r="P111" s="66" t="s">
        <v>501</v>
      </c>
      <c r="Q111" s="66"/>
    </row>
    <row r="112" spans="1:17" ht="76.5" thickBot="1" x14ac:dyDescent="0.4">
      <c r="A112" s="69" t="s">
        <v>838</v>
      </c>
      <c r="B112" s="66" t="s">
        <v>499</v>
      </c>
      <c r="C112" s="69">
        <v>3</v>
      </c>
      <c r="D112" s="66" t="s">
        <v>821</v>
      </c>
      <c r="E112" s="66" t="s">
        <v>575</v>
      </c>
      <c r="F112" s="66" t="s">
        <v>545</v>
      </c>
      <c r="G112" s="66" t="s">
        <v>530</v>
      </c>
      <c r="H112" s="66" t="s">
        <v>539</v>
      </c>
      <c r="I112" s="66" t="s">
        <v>585</v>
      </c>
      <c r="J112" s="66" t="s">
        <v>505</v>
      </c>
      <c r="K112" s="66" t="s">
        <v>502</v>
      </c>
      <c r="L112" s="66" t="s">
        <v>596</v>
      </c>
      <c r="M112" s="66" t="s">
        <v>534</v>
      </c>
      <c r="N112" s="66" t="s">
        <v>566</v>
      </c>
      <c r="O112" s="66" t="s">
        <v>554</v>
      </c>
      <c r="P112" s="66" t="s">
        <v>501</v>
      </c>
      <c r="Q112" s="66" t="s">
        <v>726</v>
      </c>
    </row>
    <row r="113" spans="1:17" ht="39" thickBot="1" x14ac:dyDescent="0.4">
      <c r="A113" s="69" t="s">
        <v>839</v>
      </c>
      <c r="B113" s="66" t="s">
        <v>499</v>
      </c>
      <c r="C113" s="69">
        <v>3</v>
      </c>
      <c r="D113" s="66" t="s">
        <v>527</v>
      </c>
      <c r="E113" s="66" t="s">
        <v>568</v>
      </c>
      <c r="F113" s="66" t="s">
        <v>545</v>
      </c>
      <c r="G113" s="66" t="s">
        <v>551</v>
      </c>
      <c r="H113" s="66" t="s">
        <v>562</v>
      </c>
      <c r="I113" s="66" t="s">
        <v>569</v>
      </c>
      <c r="J113" s="66" t="s">
        <v>505</v>
      </c>
      <c r="K113" s="66" t="s">
        <v>502</v>
      </c>
      <c r="L113" s="66" t="s">
        <v>564</v>
      </c>
      <c r="M113" s="66" t="s">
        <v>571</v>
      </c>
      <c r="N113" s="66" t="s">
        <v>535</v>
      </c>
      <c r="O113" s="66" t="s">
        <v>543</v>
      </c>
      <c r="P113" s="66" t="s">
        <v>501</v>
      </c>
      <c r="Q113" s="66" t="s">
        <v>665</v>
      </c>
    </row>
    <row r="114" spans="1:17" ht="76.5" thickBot="1" x14ac:dyDescent="0.4">
      <c r="A114" s="69" t="s">
        <v>840</v>
      </c>
      <c r="B114" s="66" t="s">
        <v>499</v>
      </c>
      <c r="C114" s="69">
        <v>4</v>
      </c>
      <c r="D114" s="66" t="s">
        <v>550</v>
      </c>
      <c r="E114" s="66" t="s">
        <v>616</v>
      </c>
      <c r="F114" s="66" t="s">
        <v>529</v>
      </c>
      <c r="G114" s="66" t="s">
        <v>530</v>
      </c>
      <c r="H114" s="66" t="s">
        <v>556</v>
      </c>
      <c r="I114" s="66" t="s">
        <v>763</v>
      </c>
      <c r="J114" s="66" t="s">
        <v>506</v>
      </c>
      <c r="K114" s="66" t="s">
        <v>502</v>
      </c>
      <c r="L114" s="66" t="s">
        <v>547</v>
      </c>
      <c r="M114" s="66" t="s">
        <v>534</v>
      </c>
      <c r="N114" s="66" t="s">
        <v>535</v>
      </c>
      <c r="O114" s="66" t="s">
        <v>548</v>
      </c>
      <c r="P114" s="66" t="s">
        <v>501</v>
      </c>
      <c r="Q114" s="66" t="s">
        <v>645</v>
      </c>
    </row>
    <row r="115" spans="1:17" ht="39" thickBot="1" x14ac:dyDescent="0.4">
      <c r="A115" s="69" t="s">
        <v>841</v>
      </c>
      <c r="B115" s="66" t="s">
        <v>499</v>
      </c>
      <c r="C115" s="69">
        <v>4</v>
      </c>
      <c r="D115" s="66" t="s">
        <v>559</v>
      </c>
      <c r="E115" s="66" t="s">
        <v>575</v>
      </c>
      <c r="F115" s="66" t="s">
        <v>529</v>
      </c>
      <c r="G115" s="66" t="s">
        <v>842</v>
      </c>
      <c r="H115" s="66" t="s">
        <v>591</v>
      </c>
      <c r="I115" s="66" t="s">
        <v>582</v>
      </c>
      <c r="J115" s="66" t="s">
        <v>505</v>
      </c>
      <c r="K115" s="66" t="s">
        <v>502</v>
      </c>
      <c r="L115" s="66" t="s">
        <v>541</v>
      </c>
      <c r="M115" s="66" t="s">
        <v>571</v>
      </c>
      <c r="N115" s="66" t="s">
        <v>535</v>
      </c>
      <c r="O115" s="66" t="s">
        <v>548</v>
      </c>
      <c r="P115" s="66" t="s">
        <v>503</v>
      </c>
      <c r="Q115" s="66" t="s">
        <v>843</v>
      </c>
    </row>
    <row r="116" spans="1:17" ht="51.5" thickBot="1" x14ac:dyDescent="0.4">
      <c r="A116" s="69" t="s">
        <v>844</v>
      </c>
      <c r="B116" s="66" t="s">
        <v>498</v>
      </c>
      <c r="C116" s="69">
        <v>3</v>
      </c>
      <c r="D116" s="66" t="s">
        <v>527</v>
      </c>
      <c r="E116" s="66" t="s">
        <v>538</v>
      </c>
      <c r="F116" s="66" t="s">
        <v>529</v>
      </c>
      <c r="G116" s="66" t="s">
        <v>845</v>
      </c>
      <c r="H116" s="66" t="s">
        <v>581</v>
      </c>
      <c r="I116" s="66" t="s">
        <v>569</v>
      </c>
      <c r="J116" s="66" t="s">
        <v>505</v>
      </c>
      <c r="K116" s="66" t="s">
        <v>502</v>
      </c>
      <c r="L116" s="66" t="s">
        <v>541</v>
      </c>
      <c r="M116" s="66" t="s">
        <v>571</v>
      </c>
      <c r="N116" s="66" t="s">
        <v>535</v>
      </c>
      <c r="O116" s="66" t="s">
        <v>548</v>
      </c>
      <c r="P116" s="66" t="s">
        <v>503</v>
      </c>
      <c r="Q116" s="66" t="s">
        <v>721</v>
      </c>
    </row>
    <row r="117" spans="1:17" ht="51.5" thickBot="1" x14ac:dyDescent="0.4">
      <c r="A117" s="69" t="s">
        <v>846</v>
      </c>
      <c r="B117" s="66" t="s">
        <v>497</v>
      </c>
      <c r="C117" s="69">
        <v>3</v>
      </c>
      <c r="D117" s="66" t="s">
        <v>821</v>
      </c>
      <c r="E117" s="66" t="s">
        <v>538</v>
      </c>
      <c r="F117" s="66" t="s">
        <v>545</v>
      </c>
      <c r="G117" s="66" t="s">
        <v>847</v>
      </c>
      <c r="H117" s="66" t="s">
        <v>556</v>
      </c>
      <c r="I117" s="66" t="s">
        <v>642</v>
      </c>
      <c r="J117" s="66" t="s">
        <v>507</v>
      </c>
      <c r="K117" s="66" t="s">
        <v>502</v>
      </c>
      <c r="L117" s="66" t="s">
        <v>637</v>
      </c>
      <c r="M117" s="66" t="s">
        <v>571</v>
      </c>
      <c r="N117" s="66" t="s">
        <v>535</v>
      </c>
      <c r="O117" s="66" t="s">
        <v>543</v>
      </c>
      <c r="P117" s="66" t="s">
        <v>501</v>
      </c>
      <c r="Q117" s="66" t="s">
        <v>645</v>
      </c>
    </row>
    <row r="118" spans="1:17" ht="126.5" thickBot="1" x14ac:dyDescent="0.4">
      <c r="A118" s="69" t="s">
        <v>848</v>
      </c>
      <c r="B118" s="66" t="s">
        <v>497</v>
      </c>
      <c r="C118" s="69">
        <v>2</v>
      </c>
      <c r="D118" s="66" t="s">
        <v>527</v>
      </c>
      <c r="E118" s="66" t="s">
        <v>627</v>
      </c>
      <c r="F118" s="66" t="s">
        <v>545</v>
      </c>
      <c r="G118" s="66" t="s">
        <v>720</v>
      </c>
      <c r="H118" s="66" t="s">
        <v>531</v>
      </c>
      <c r="I118" s="66" t="s">
        <v>671</v>
      </c>
      <c r="J118" s="66" t="s">
        <v>506</v>
      </c>
      <c r="K118" s="66" t="s">
        <v>502</v>
      </c>
      <c r="L118" s="66" t="s">
        <v>553</v>
      </c>
      <c r="M118" s="66" t="s">
        <v>565</v>
      </c>
      <c r="N118" s="66" t="s">
        <v>535</v>
      </c>
      <c r="O118" s="66" t="s">
        <v>548</v>
      </c>
      <c r="P118" s="66" t="s">
        <v>503</v>
      </c>
      <c r="Q118" s="66"/>
    </row>
    <row r="119" spans="1:17" ht="114" thickBot="1" x14ac:dyDescent="0.4">
      <c r="A119" s="69" t="s">
        <v>849</v>
      </c>
      <c r="B119" s="66" t="s">
        <v>499</v>
      </c>
      <c r="C119" s="69">
        <v>3</v>
      </c>
      <c r="D119" s="66" t="s">
        <v>559</v>
      </c>
      <c r="E119" s="66" t="s">
        <v>850</v>
      </c>
      <c r="F119" s="66" t="s">
        <v>529</v>
      </c>
      <c r="G119" s="66" t="s">
        <v>851</v>
      </c>
      <c r="H119" s="66" t="s">
        <v>539</v>
      </c>
      <c r="I119" s="66" t="s">
        <v>608</v>
      </c>
      <c r="J119" s="66" t="s">
        <v>506</v>
      </c>
      <c r="K119" s="66" t="s">
        <v>502</v>
      </c>
      <c r="L119" s="66" t="s">
        <v>852</v>
      </c>
      <c r="M119" s="66" t="s">
        <v>565</v>
      </c>
      <c r="N119" s="66" t="s">
        <v>535</v>
      </c>
      <c r="O119" s="66" t="s">
        <v>543</v>
      </c>
      <c r="P119" s="66" t="s">
        <v>503</v>
      </c>
      <c r="Q119" s="66"/>
    </row>
    <row r="120" spans="1:17" ht="51.5" thickBot="1" x14ac:dyDescent="0.4">
      <c r="A120" s="69" t="s">
        <v>853</v>
      </c>
      <c r="B120" s="66" t="s">
        <v>498</v>
      </c>
      <c r="C120" s="69">
        <v>3</v>
      </c>
      <c r="D120" s="66" t="s">
        <v>527</v>
      </c>
      <c r="E120" s="66" t="s">
        <v>586</v>
      </c>
      <c r="F120" s="66" t="s">
        <v>545</v>
      </c>
      <c r="G120" s="66" t="s">
        <v>854</v>
      </c>
      <c r="H120" s="66" t="s">
        <v>581</v>
      </c>
      <c r="I120" s="66" t="s">
        <v>629</v>
      </c>
      <c r="J120" s="66" t="s">
        <v>507</v>
      </c>
      <c r="K120" s="66" t="s">
        <v>502</v>
      </c>
      <c r="L120" s="66" t="s">
        <v>625</v>
      </c>
      <c r="M120" s="66" t="s">
        <v>571</v>
      </c>
      <c r="N120" s="66" t="s">
        <v>535</v>
      </c>
      <c r="O120" s="66" t="s">
        <v>543</v>
      </c>
      <c r="P120" s="66" t="s">
        <v>501</v>
      </c>
      <c r="Q120" s="66" t="s">
        <v>855</v>
      </c>
    </row>
    <row r="121" spans="1:17" ht="26.5" thickBot="1" x14ac:dyDescent="0.4">
      <c r="A121" s="69" t="s">
        <v>856</v>
      </c>
      <c r="B121" s="66" t="s">
        <v>496</v>
      </c>
      <c r="C121" s="69">
        <v>3</v>
      </c>
      <c r="D121" s="66" t="s">
        <v>527</v>
      </c>
      <c r="E121" s="66" t="s">
        <v>538</v>
      </c>
      <c r="F121" s="66" t="s">
        <v>529</v>
      </c>
      <c r="G121" s="66" t="s">
        <v>148</v>
      </c>
      <c r="H121" s="66" t="s">
        <v>591</v>
      </c>
      <c r="I121" s="66" t="s">
        <v>569</v>
      </c>
      <c r="J121" s="66" t="s">
        <v>505</v>
      </c>
      <c r="K121" s="66" t="s">
        <v>502</v>
      </c>
      <c r="L121" s="66" t="s">
        <v>583</v>
      </c>
      <c r="M121" s="66" t="s">
        <v>601</v>
      </c>
      <c r="N121" s="66" t="s">
        <v>602</v>
      </c>
      <c r="O121" s="66" t="s">
        <v>548</v>
      </c>
      <c r="P121" s="66" t="s">
        <v>503</v>
      </c>
      <c r="Q121" s="66" t="s">
        <v>502</v>
      </c>
    </row>
    <row r="122" spans="1:17" ht="39" thickBot="1" x14ac:dyDescent="0.4">
      <c r="A122" s="69" t="s">
        <v>857</v>
      </c>
      <c r="B122" s="66" t="s">
        <v>499</v>
      </c>
      <c r="C122" s="69">
        <v>2</v>
      </c>
      <c r="D122" s="66" t="s">
        <v>527</v>
      </c>
      <c r="E122" s="66" t="s">
        <v>627</v>
      </c>
      <c r="F122" s="66" t="s">
        <v>529</v>
      </c>
      <c r="G122" s="66" t="s">
        <v>858</v>
      </c>
      <c r="H122" s="66" t="s">
        <v>591</v>
      </c>
      <c r="I122" s="66" t="s">
        <v>569</v>
      </c>
      <c r="J122" s="66" t="s">
        <v>504</v>
      </c>
      <c r="K122" s="66" t="s">
        <v>502</v>
      </c>
      <c r="L122" s="66" t="s">
        <v>541</v>
      </c>
      <c r="M122" s="66" t="s">
        <v>542</v>
      </c>
      <c r="N122" s="66" t="s">
        <v>602</v>
      </c>
      <c r="O122" s="66" t="s">
        <v>548</v>
      </c>
      <c r="P122" s="66" t="s">
        <v>502</v>
      </c>
      <c r="Q122" s="66" t="s">
        <v>645</v>
      </c>
    </row>
    <row r="123" spans="1:17" ht="51.5" thickBot="1" x14ac:dyDescent="0.4">
      <c r="A123" s="69" t="s">
        <v>859</v>
      </c>
      <c r="B123" s="66" t="s">
        <v>498</v>
      </c>
      <c r="C123" s="69">
        <v>2</v>
      </c>
      <c r="D123" s="66" t="s">
        <v>550</v>
      </c>
      <c r="E123" s="66" t="s">
        <v>575</v>
      </c>
      <c r="F123" s="66" t="s">
        <v>545</v>
      </c>
      <c r="G123" s="66" t="s">
        <v>659</v>
      </c>
      <c r="H123" s="66" t="s">
        <v>556</v>
      </c>
      <c r="I123" s="66" t="s">
        <v>671</v>
      </c>
      <c r="J123" s="66" t="s">
        <v>506</v>
      </c>
      <c r="K123" s="66" t="s">
        <v>502</v>
      </c>
      <c r="L123" s="66" t="s">
        <v>541</v>
      </c>
      <c r="M123" s="66" t="s">
        <v>571</v>
      </c>
      <c r="N123" s="66" t="s">
        <v>566</v>
      </c>
      <c r="O123" s="66" t="s">
        <v>548</v>
      </c>
      <c r="P123" s="66" t="s">
        <v>501</v>
      </c>
      <c r="Q123" s="66" t="s">
        <v>860</v>
      </c>
    </row>
    <row r="124" spans="1:17" ht="89" thickBot="1" x14ac:dyDescent="0.4">
      <c r="A124" s="69" t="s">
        <v>861</v>
      </c>
      <c r="B124" s="66" t="s">
        <v>499</v>
      </c>
      <c r="C124" s="69">
        <v>3</v>
      </c>
      <c r="D124" s="66" t="s">
        <v>559</v>
      </c>
      <c r="E124" s="66" t="s">
        <v>568</v>
      </c>
      <c r="F124" s="66" t="s">
        <v>545</v>
      </c>
      <c r="G124" s="66" t="s">
        <v>530</v>
      </c>
      <c r="H124" s="66" t="s">
        <v>556</v>
      </c>
      <c r="I124" s="66" t="s">
        <v>546</v>
      </c>
      <c r="J124" s="66" t="s">
        <v>505</v>
      </c>
      <c r="K124" s="66" t="s">
        <v>502</v>
      </c>
      <c r="L124" s="66" t="s">
        <v>541</v>
      </c>
      <c r="M124" s="66" t="s">
        <v>588</v>
      </c>
      <c r="N124" s="66" t="s">
        <v>535</v>
      </c>
      <c r="O124" s="66" t="s">
        <v>548</v>
      </c>
      <c r="P124" s="66" t="s">
        <v>501</v>
      </c>
      <c r="Q124" s="66" t="s">
        <v>862</v>
      </c>
    </row>
    <row r="125" spans="1:17" ht="76.5" thickBot="1" x14ac:dyDescent="0.4">
      <c r="A125" s="69" t="s">
        <v>863</v>
      </c>
      <c r="B125" s="66" t="s">
        <v>497</v>
      </c>
      <c r="C125" s="69">
        <v>2</v>
      </c>
      <c r="D125" s="66" t="s">
        <v>527</v>
      </c>
      <c r="E125" s="66" t="s">
        <v>538</v>
      </c>
      <c r="F125" s="66" t="s">
        <v>545</v>
      </c>
      <c r="G125" s="66" t="s">
        <v>530</v>
      </c>
      <c r="H125" s="66" t="s">
        <v>539</v>
      </c>
      <c r="I125" s="66" t="s">
        <v>608</v>
      </c>
      <c r="J125" s="66" t="s">
        <v>506</v>
      </c>
      <c r="K125" s="66" t="s">
        <v>502</v>
      </c>
      <c r="L125" s="66" t="s">
        <v>587</v>
      </c>
      <c r="M125" s="66" t="s">
        <v>534</v>
      </c>
      <c r="N125" s="66" t="s">
        <v>566</v>
      </c>
      <c r="O125" s="66" t="s">
        <v>554</v>
      </c>
      <c r="P125" s="66" t="s">
        <v>501</v>
      </c>
      <c r="Q125" s="66"/>
    </row>
    <row r="126" spans="1:17" ht="39" thickBot="1" x14ac:dyDescent="0.4">
      <c r="A126" s="69" t="s">
        <v>864</v>
      </c>
      <c r="B126" s="66" t="s">
        <v>497</v>
      </c>
      <c r="C126" s="69">
        <v>3</v>
      </c>
      <c r="D126" s="66" t="s">
        <v>527</v>
      </c>
      <c r="E126" s="66" t="s">
        <v>538</v>
      </c>
      <c r="F126" s="66" t="s">
        <v>529</v>
      </c>
      <c r="G126" s="66" t="s">
        <v>590</v>
      </c>
      <c r="H126" s="66" t="s">
        <v>591</v>
      </c>
      <c r="I126" s="66" t="s">
        <v>592</v>
      </c>
      <c r="J126" s="66" t="s">
        <v>505</v>
      </c>
      <c r="K126" s="66" t="s">
        <v>502</v>
      </c>
      <c r="L126" s="66" t="s">
        <v>541</v>
      </c>
      <c r="M126" s="66" t="s">
        <v>571</v>
      </c>
      <c r="N126" s="66" t="s">
        <v>535</v>
      </c>
      <c r="O126" s="66" t="s">
        <v>536</v>
      </c>
      <c r="P126" s="66" t="s">
        <v>503</v>
      </c>
      <c r="Q126" s="66"/>
    </row>
    <row r="127" spans="1:17" ht="39" thickBot="1" x14ac:dyDescent="0.4">
      <c r="A127" s="69" t="s">
        <v>865</v>
      </c>
      <c r="B127" s="66" t="s">
        <v>497</v>
      </c>
      <c r="C127" s="69">
        <v>2</v>
      </c>
      <c r="D127" s="66" t="s">
        <v>550</v>
      </c>
      <c r="E127" s="66" t="s">
        <v>575</v>
      </c>
      <c r="F127" s="66" t="s">
        <v>529</v>
      </c>
      <c r="G127" s="66" t="s">
        <v>866</v>
      </c>
      <c r="H127" s="66" t="s">
        <v>562</v>
      </c>
      <c r="I127" s="66" t="s">
        <v>569</v>
      </c>
      <c r="J127" s="66" t="s">
        <v>505</v>
      </c>
      <c r="K127" s="66" t="s">
        <v>502</v>
      </c>
      <c r="L127" s="66" t="s">
        <v>557</v>
      </c>
      <c r="M127" s="66" t="s">
        <v>542</v>
      </c>
      <c r="N127" s="66" t="s">
        <v>566</v>
      </c>
      <c r="O127" s="66" t="s">
        <v>548</v>
      </c>
      <c r="P127" s="66" t="s">
        <v>501</v>
      </c>
      <c r="Q127" s="66"/>
    </row>
    <row r="128" spans="1:17" ht="151.5" thickBot="1" x14ac:dyDescent="0.4">
      <c r="A128" s="69" t="s">
        <v>867</v>
      </c>
      <c r="B128" s="66" t="s">
        <v>500</v>
      </c>
      <c r="C128" s="69">
        <v>3</v>
      </c>
      <c r="D128" s="66" t="s">
        <v>527</v>
      </c>
      <c r="E128" s="66" t="s">
        <v>538</v>
      </c>
      <c r="F128" s="66" t="s">
        <v>545</v>
      </c>
      <c r="G128" s="66" t="s">
        <v>868</v>
      </c>
      <c r="H128" s="66" t="s">
        <v>631</v>
      </c>
      <c r="I128" s="66" t="s">
        <v>546</v>
      </c>
      <c r="J128" s="66" t="s">
        <v>507</v>
      </c>
      <c r="K128" s="66" t="s">
        <v>502</v>
      </c>
      <c r="L128" s="66" t="s">
        <v>669</v>
      </c>
      <c r="M128" s="66" t="s">
        <v>565</v>
      </c>
      <c r="N128" s="66" t="s">
        <v>535</v>
      </c>
      <c r="O128" s="66" t="s">
        <v>536</v>
      </c>
      <c r="P128" s="66" t="s">
        <v>501</v>
      </c>
      <c r="Q128" s="66"/>
    </row>
    <row r="129" spans="1:17" ht="76.5" thickBot="1" x14ac:dyDescent="0.4">
      <c r="A129" s="69" t="s">
        <v>869</v>
      </c>
      <c r="B129" s="66" t="s">
        <v>497</v>
      </c>
      <c r="C129" s="69">
        <v>3</v>
      </c>
      <c r="D129" s="66" t="s">
        <v>527</v>
      </c>
      <c r="E129" s="66" t="s">
        <v>572</v>
      </c>
      <c r="F129" s="66" t="s">
        <v>545</v>
      </c>
      <c r="G129" s="66"/>
      <c r="H129" s="66" t="s">
        <v>556</v>
      </c>
      <c r="I129" s="66" t="s">
        <v>582</v>
      </c>
      <c r="J129" s="66" t="s">
        <v>507</v>
      </c>
      <c r="K129" s="66" t="s">
        <v>502</v>
      </c>
      <c r="L129" s="66" t="s">
        <v>587</v>
      </c>
      <c r="M129" s="66" t="s">
        <v>534</v>
      </c>
      <c r="N129" s="66" t="s">
        <v>566</v>
      </c>
      <c r="O129" s="66" t="s">
        <v>548</v>
      </c>
      <c r="P129" s="66" t="s">
        <v>503</v>
      </c>
      <c r="Q129" s="66"/>
    </row>
    <row r="130" spans="1:17" ht="51.5" thickBot="1" x14ac:dyDescent="0.4">
      <c r="A130" s="69" t="s">
        <v>870</v>
      </c>
      <c r="B130" s="66" t="s">
        <v>498</v>
      </c>
      <c r="C130" s="69">
        <v>3</v>
      </c>
      <c r="D130" s="66" t="s">
        <v>527</v>
      </c>
      <c r="E130" s="66" t="s">
        <v>572</v>
      </c>
      <c r="F130" s="66" t="s">
        <v>529</v>
      </c>
      <c r="G130" s="66" t="s">
        <v>871</v>
      </c>
      <c r="H130" s="66" t="s">
        <v>591</v>
      </c>
      <c r="I130" s="66" t="s">
        <v>569</v>
      </c>
      <c r="J130" s="66" t="s">
        <v>505</v>
      </c>
      <c r="K130" s="66" t="s">
        <v>502</v>
      </c>
      <c r="L130" s="66" t="s">
        <v>872</v>
      </c>
      <c r="M130" s="66" t="s">
        <v>542</v>
      </c>
      <c r="N130" s="66" t="s">
        <v>123</v>
      </c>
      <c r="O130" s="66" t="s">
        <v>543</v>
      </c>
      <c r="P130" s="66" t="s">
        <v>501</v>
      </c>
      <c r="Q130" s="66" t="s">
        <v>873</v>
      </c>
    </row>
    <row r="131" spans="1:17" ht="64" thickBot="1" x14ac:dyDescent="0.4">
      <c r="A131" s="69" t="s">
        <v>874</v>
      </c>
      <c r="B131" s="66" t="s">
        <v>498</v>
      </c>
      <c r="C131" s="69">
        <v>3</v>
      </c>
      <c r="D131" s="66" t="s">
        <v>559</v>
      </c>
      <c r="E131" s="66" t="s">
        <v>575</v>
      </c>
      <c r="F131" s="66" t="s">
        <v>545</v>
      </c>
      <c r="G131" s="66" t="s">
        <v>530</v>
      </c>
      <c r="H131" s="66" t="s">
        <v>573</v>
      </c>
      <c r="I131" s="66" t="s">
        <v>642</v>
      </c>
      <c r="J131" s="66" t="s">
        <v>505</v>
      </c>
      <c r="K131" s="66" t="s">
        <v>502</v>
      </c>
      <c r="L131" s="66" t="s">
        <v>587</v>
      </c>
      <c r="M131" s="66" t="s">
        <v>601</v>
      </c>
      <c r="N131" s="66" t="s">
        <v>602</v>
      </c>
      <c r="O131" s="66" t="s">
        <v>548</v>
      </c>
      <c r="P131" s="66" t="s">
        <v>501</v>
      </c>
      <c r="Q131" s="66"/>
    </row>
    <row r="132" spans="1:17" ht="76.5" thickBot="1" x14ac:dyDescent="0.4">
      <c r="A132" s="69" t="s">
        <v>875</v>
      </c>
      <c r="B132" s="66" t="s">
        <v>497</v>
      </c>
      <c r="C132" s="69">
        <v>5</v>
      </c>
      <c r="D132" s="66" t="s">
        <v>527</v>
      </c>
      <c r="E132" s="66" t="s">
        <v>575</v>
      </c>
      <c r="F132" s="66" t="s">
        <v>529</v>
      </c>
      <c r="G132" s="66" t="s">
        <v>876</v>
      </c>
      <c r="H132" s="66" t="s">
        <v>877</v>
      </c>
      <c r="I132" s="66" t="s">
        <v>657</v>
      </c>
      <c r="J132" s="66" t="s">
        <v>506</v>
      </c>
      <c r="K132" s="66" t="s">
        <v>502</v>
      </c>
      <c r="L132" s="66" t="s">
        <v>878</v>
      </c>
      <c r="M132" s="66" t="s">
        <v>534</v>
      </c>
      <c r="N132" s="66" t="s">
        <v>535</v>
      </c>
      <c r="O132" s="66" t="s">
        <v>548</v>
      </c>
      <c r="P132" s="66" t="s">
        <v>501</v>
      </c>
      <c r="Q132" s="66"/>
    </row>
    <row r="133" spans="1:17" ht="139" thickBot="1" x14ac:dyDescent="0.4">
      <c r="A133" s="69" t="s">
        <v>879</v>
      </c>
      <c r="B133" s="66" t="s">
        <v>500</v>
      </c>
      <c r="C133" s="69">
        <v>2</v>
      </c>
      <c r="D133" s="66" t="s">
        <v>550</v>
      </c>
      <c r="E133" s="66" t="s">
        <v>575</v>
      </c>
      <c r="F133" s="66" t="s">
        <v>545</v>
      </c>
      <c r="G133" s="66" t="s">
        <v>880</v>
      </c>
      <c r="H133" s="66" t="s">
        <v>604</v>
      </c>
      <c r="I133" s="66" t="s">
        <v>569</v>
      </c>
      <c r="J133" s="66" t="s">
        <v>505</v>
      </c>
      <c r="K133" s="66" t="s">
        <v>502</v>
      </c>
      <c r="L133" s="66" t="s">
        <v>596</v>
      </c>
      <c r="M133" s="66" t="s">
        <v>881</v>
      </c>
      <c r="N133" s="66" t="s">
        <v>535</v>
      </c>
      <c r="O133" s="66" t="s">
        <v>554</v>
      </c>
      <c r="P133" s="66" t="s">
        <v>501</v>
      </c>
      <c r="Q133" s="66" t="s">
        <v>882</v>
      </c>
    </row>
    <row r="134" spans="1:17" ht="89" thickBot="1" x14ac:dyDescent="0.4">
      <c r="A134" s="69" t="s">
        <v>883</v>
      </c>
      <c r="B134" s="66" t="s">
        <v>497</v>
      </c>
      <c r="C134" s="69">
        <v>3</v>
      </c>
      <c r="D134" s="66" t="s">
        <v>559</v>
      </c>
      <c r="E134" s="66" t="s">
        <v>850</v>
      </c>
      <c r="F134" s="66" t="s">
        <v>545</v>
      </c>
      <c r="G134" s="66" t="s">
        <v>884</v>
      </c>
      <c r="H134" s="66" t="s">
        <v>802</v>
      </c>
      <c r="I134" s="66" t="s">
        <v>717</v>
      </c>
      <c r="J134" s="66" t="s">
        <v>506</v>
      </c>
      <c r="K134" s="66" t="s">
        <v>502</v>
      </c>
      <c r="L134" s="66" t="s">
        <v>587</v>
      </c>
      <c r="M134" s="66" t="s">
        <v>534</v>
      </c>
      <c r="N134" s="66" t="s">
        <v>535</v>
      </c>
      <c r="O134" s="66" t="s">
        <v>543</v>
      </c>
      <c r="P134" s="66" t="s">
        <v>501</v>
      </c>
      <c r="Q134" s="66" t="s">
        <v>885</v>
      </c>
    </row>
    <row r="135" spans="1:17" ht="114" thickBot="1" x14ac:dyDescent="0.4">
      <c r="A135" s="69" t="s">
        <v>886</v>
      </c>
      <c r="B135" s="66" t="s">
        <v>496</v>
      </c>
      <c r="C135" s="69">
        <v>2</v>
      </c>
      <c r="D135" s="66" t="s">
        <v>527</v>
      </c>
      <c r="E135" s="66" t="s">
        <v>627</v>
      </c>
      <c r="F135" s="66" t="s">
        <v>529</v>
      </c>
      <c r="G135" s="66" t="s">
        <v>887</v>
      </c>
      <c r="H135" s="66" t="s">
        <v>888</v>
      </c>
      <c r="I135" s="66" t="s">
        <v>546</v>
      </c>
      <c r="J135" s="66" t="s">
        <v>505</v>
      </c>
      <c r="K135" s="66" t="s">
        <v>502</v>
      </c>
      <c r="L135" s="66" t="s">
        <v>596</v>
      </c>
      <c r="M135" s="66" t="s">
        <v>534</v>
      </c>
      <c r="N135" s="66" t="s">
        <v>566</v>
      </c>
      <c r="O135" s="66" t="s">
        <v>554</v>
      </c>
      <c r="P135" s="66" t="s">
        <v>503</v>
      </c>
      <c r="Q135" s="66"/>
    </row>
    <row r="136" spans="1:17" ht="39" thickBot="1" x14ac:dyDescent="0.4">
      <c r="A136" s="69" t="s">
        <v>889</v>
      </c>
      <c r="B136" s="66" t="s">
        <v>499</v>
      </c>
      <c r="C136" s="69">
        <v>3</v>
      </c>
      <c r="D136" s="66" t="s">
        <v>833</v>
      </c>
      <c r="E136" s="66" t="s">
        <v>850</v>
      </c>
      <c r="F136" s="66" t="s">
        <v>545</v>
      </c>
      <c r="G136" s="66" t="s">
        <v>890</v>
      </c>
      <c r="H136" s="66" t="s">
        <v>591</v>
      </c>
      <c r="I136" s="66" t="s">
        <v>891</v>
      </c>
      <c r="J136" s="66" t="s">
        <v>505</v>
      </c>
      <c r="K136" s="66" t="s">
        <v>502</v>
      </c>
      <c r="L136" s="66" t="s">
        <v>564</v>
      </c>
      <c r="M136" s="66" t="s">
        <v>542</v>
      </c>
      <c r="N136" s="66" t="s">
        <v>535</v>
      </c>
      <c r="O136" s="66" t="s">
        <v>548</v>
      </c>
      <c r="P136" s="66" t="s">
        <v>501</v>
      </c>
      <c r="Q136" s="66" t="s">
        <v>726</v>
      </c>
    </row>
    <row r="137" spans="1:17" ht="51.5" thickBot="1" x14ac:dyDescent="0.4">
      <c r="A137" s="69" t="s">
        <v>892</v>
      </c>
      <c r="B137" s="66" t="s">
        <v>499</v>
      </c>
      <c r="C137" s="69">
        <v>3</v>
      </c>
      <c r="D137" s="66" t="s">
        <v>550</v>
      </c>
      <c r="E137" s="66" t="s">
        <v>575</v>
      </c>
      <c r="F137" s="66" t="s">
        <v>545</v>
      </c>
      <c r="G137" s="66" t="s">
        <v>530</v>
      </c>
      <c r="H137" s="66" t="s">
        <v>556</v>
      </c>
      <c r="I137" s="66" t="s">
        <v>569</v>
      </c>
      <c r="J137" s="66" t="s">
        <v>505</v>
      </c>
      <c r="K137" s="66" t="s">
        <v>502</v>
      </c>
      <c r="L137" s="66" t="s">
        <v>541</v>
      </c>
      <c r="M137" s="66" t="s">
        <v>601</v>
      </c>
      <c r="N137" s="66" t="s">
        <v>123</v>
      </c>
      <c r="O137" s="66" t="s">
        <v>543</v>
      </c>
      <c r="P137" s="66" t="s">
        <v>503</v>
      </c>
      <c r="Q137" s="66"/>
    </row>
    <row r="138" spans="1:17" ht="51.5" thickBot="1" x14ac:dyDescent="0.4">
      <c r="A138" s="69" t="s">
        <v>893</v>
      </c>
      <c r="B138" s="66" t="s">
        <v>500</v>
      </c>
      <c r="C138" s="69">
        <v>3</v>
      </c>
      <c r="D138" s="66" t="s">
        <v>559</v>
      </c>
      <c r="E138" s="66" t="s">
        <v>850</v>
      </c>
      <c r="F138" s="66" t="s">
        <v>529</v>
      </c>
      <c r="G138" s="66" t="s">
        <v>530</v>
      </c>
      <c r="H138" s="66" t="s">
        <v>581</v>
      </c>
      <c r="I138" s="66" t="s">
        <v>617</v>
      </c>
      <c r="J138" s="66" t="s">
        <v>504</v>
      </c>
      <c r="K138" s="66" t="s">
        <v>502</v>
      </c>
      <c r="L138" s="66" t="s">
        <v>541</v>
      </c>
      <c r="M138" s="66" t="s">
        <v>571</v>
      </c>
      <c r="N138" s="66" t="s">
        <v>566</v>
      </c>
      <c r="O138" s="66" t="s">
        <v>554</v>
      </c>
      <c r="P138" s="66" t="s">
        <v>503</v>
      </c>
      <c r="Q138" s="66"/>
    </row>
    <row r="139" spans="1:17" ht="51.5" thickBot="1" x14ac:dyDescent="0.4">
      <c r="A139" s="69" t="s">
        <v>894</v>
      </c>
      <c r="B139" s="66" t="s">
        <v>498</v>
      </c>
      <c r="C139" s="69">
        <v>2</v>
      </c>
      <c r="D139" s="66" t="s">
        <v>559</v>
      </c>
      <c r="E139" s="66" t="s">
        <v>575</v>
      </c>
      <c r="F139" s="66" t="s">
        <v>529</v>
      </c>
      <c r="G139" s="66" t="s">
        <v>895</v>
      </c>
      <c r="H139" s="66" t="s">
        <v>556</v>
      </c>
      <c r="I139" s="66" t="s">
        <v>569</v>
      </c>
      <c r="J139" s="66" t="s">
        <v>506</v>
      </c>
      <c r="K139" s="66" t="s">
        <v>502</v>
      </c>
      <c r="L139" s="66" t="s">
        <v>541</v>
      </c>
      <c r="M139" s="66" t="s">
        <v>601</v>
      </c>
      <c r="N139" s="66" t="s">
        <v>602</v>
      </c>
      <c r="O139" s="66" t="s">
        <v>543</v>
      </c>
      <c r="P139" s="66" t="s">
        <v>503</v>
      </c>
      <c r="Q139" s="66"/>
    </row>
    <row r="140" spans="1:17" ht="51.5" thickBot="1" x14ac:dyDescent="0.4">
      <c r="A140" s="69" t="s">
        <v>896</v>
      </c>
      <c r="B140" s="66" t="s">
        <v>499</v>
      </c>
      <c r="C140" s="69">
        <v>3</v>
      </c>
      <c r="D140" s="66" t="s">
        <v>559</v>
      </c>
      <c r="E140" s="66" t="s">
        <v>538</v>
      </c>
      <c r="F140" s="66" t="s">
        <v>545</v>
      </c>
      <c r="G140" s="66" t="s">
        <v>551</v>
      </c>
      <c r="H140" s="66" t="s">
        <v>556</v>
      </c>
      <c r="I140" s="66" t="s">
        <v>569</v>
      </c>
      <c r="J140" s="66" t="s">
        <v>504</v>
      </c>
      <c r="K140" s="66" t="s">
        <v>502</v>
      </c>
      <c r="L140" s="66" t="s">
        <v>541</v>
      </c>
      <c r="M140" s="66" t="s">
        <v>571</v>
      </c>
      <c r="N140" s="66" t="s">
        <v>535</v>
      </c>
      <c r="O140" s="66" t="s">
        <v>536</v>
      </c>
      <c r="P140" s="66" t="s">
        <v>502</v>
      </c>
      <c r="Q140" s="66" t="s">
        <v>897</v>
      </c>
    </row>
    <row r="141" spans="1:17" ht="76.5" thickBot="1" x14ac:dyDescent="0.4">
      <c r="A141" s="69" t="s">
        <v>898</v>
      </c>
      <c r="B141" s="66" t="s">
        <v>499</v>
      </c>
      <c r="C141" s="69">
        <v>3</v>
      </c>
      <c r="D141" s="66" t="s">
        <v>550</v>
      </c>
      <c r="E141" s="66" t="s">
        <v>572</v>
      </c>
      <c r="F141" s="66" t="s">
        <v>545</v>
      </c>
      <c r="G141" s="66" t="s">
        <v>530</v>
      </c>
      <c r="H141" s="66" t="s">
        <v>556</v>
      </c>
      <c r="I141" s="66" t="s">
        <v>582</v>
      </c>
      <c r="J141" s="66" t="s">
        <v>506</v>
      </c>
      <c r="K141" s="66" t="s">
        <v>502</v>
      </c>
      <c r="L141" s="66" t="s">
        <v>541</v>
      </c>
      <c r="M141" s="66" t="s">
        <v>534</v>
      </c>
      <c r="N141" s="66" t="s">
        <v>535</v>
      </c>
      <c r="O141" s="66" t="s">
        <v>543</v>
      </c>
      <c r="P141" s="66" t="s">
        <v>503</v>
      </c>
      <c r="Q141" s="66"/>
    </row>
    <row r="142" spans="1:17" ht="114" thickBot="1" x14ac:dyDescent="0.4">
      <c r="A142" s="69" t="s">
        <v>899</v>
      </c>
      <c r="B142" s="66" t="s">
        <v>497</v>
      </c>
      <c r="C142" s="69">
        <v>3</v>
      </c>
      <c r="D142" s="66" t="s">
        <v>527</v>
      </c>
      <c r="E142" s="66" t="s">
        <v>538</v>
      </c>
      <c r="F142" s="66" t="s">
        <v>545</v>
      </c>
      <c r="G142" s="66" t="s">
        <v>900</v>
      </c>
      <c r="H142" s="66" t="s">
        <v>577</v>
      </c>
      <c r="I142" s="66" t="s">
        <v>546</v>
      </c>
      <c r="J142" s="66" t="s">
        <v>506</v>
      </c>
      <c r="K142" s="66" t="s">
        <v>502</v>
      </c>
      <c r="L142" s="66" t="s">
        <v>547</v>
      </c>
      <c r="M142" s="66" t="s">
        <v>565</v>
      </c>
      <c r="N142" s="66" t="s">
        <v>566</v>
      </c>
      <c r="O142" s="66" t="s">
        <v>543</v>
      </c>
      <c r="P142" s="66" t="s">
        <v>501</v>
      </c>
      <c r="Q142" s="66"/>
    </row>
    <row r="143" spans="1:17" ht="39" thickBot="1" x14ac:dyDescent="0.4">
      <c r="A143" s="69" t="s">
        <v>901</v>
      </c>
      <c r="B143" s="66" t="s">
        <v>499</v>
      </c>
      <c r="C143" s="69">
        <v>3</v>
      </c>
      <c r="D143" s="66" t="s">
        <v>527</v>
      </c>
      <c r="E143" s="66" t="s">
        <v>850</v>
      </c>
      <c r="F143" s="66" t="s">
        <v>545</v>
      </c>
      <c r="G143" s="66" t="s">
        <v>902</v>
      </c>
      <c r="H143" s="66" t="s">
        <v>562</v>
      </c>
      <c r="I143" s="66" t="s">
        <v>592</v>
      </c>
      <c r="J143" s="66" t="s">
        <v>506</v>
      </c>
      <c r="K143" s="66" t="s">
        <v>502</v>
      </c>
      <c r="L143" s="66" t="s">
        <v>541</v>
      </c>
      <c r="M143" s="66" t="s">
        <v>571</v>
      </c>
      <c r="N143" s="66" t="s">
        <v>566</v>
      </c>
      <c r="O143" s="66" t="s">
        <v>554</v>
      </c>
      <c r="P143" s="66" t="s">
        <v>501</v>
      </c>
      <c r="Q143" s="66" t="s">
        <v>903</v>
      </c>
    </row>
    <row r="144" spans="1:17" ht="114" thickBot="1" x14ac:dyDescent="0.4">
      <c r="A144" s="69" t="s">
        <v>904</v>
      </c>
      <c r="B144" s="66" t="s">
        <v>497</v>
      </c>
      <c r="C144" s="69">
        <v>3</v>
      </c>
      <c r="D144" s="66" t="s">
        <v>550</v>
      </c>
      <c r="E144" s="66" t="s">
        <v>538</v>
      </c>
      <c r="F144" s="66" t="s">
        <v>529</v>
      </c>
      <c r="G144" s="66" t="s">
        <v>905</v>
      </c>
      <c r="H144" s="66" t="s">
        <v>802</v>
      </c>
      <c r="I144" s="66" t="s">
        <v>546</v>
      </c>
      <c r="J144" s="66" t="s">
        <v>506</v>
      </c>
      <c r="K144" s="66" t="s">
        <v>502</v>
      </c>
      <c r="L144" s="66" t="s">
        <v>587</v>
      </c>
      <c r="M144" s="66" t="s">
        <v>565</v>
      </c>
      <c r="N144" s="66" t="s">
        <v>566</v>
      </c>
      <c r="O144" s="66" t="s">
        <v>548</v>
      </c>
      <c r="P144" s="66" t="s">
        <v>501</v>
      </c>
      <c r="Q144" s="66"/>
    </row>
    <row r="145" spans="1:17" ht="76.5" thickBot="1" x14ac:dyDescent="0.4">
      <c r="A145" s="69" t="s">
        <v>906</v>
      </c>
      <c r="B145" s="66" t="s">
        <v>498</v>
      </c>
      <c r="C145" s="69">
        <v>3</v>
      </c>
      <c r="D145" s="66" t="s">
        <v>559</v>
      </c>
      <c r="E145" s="66" t="s">
        <v>572</v>
      </c>
      <c r="F145" s="66" t="s">
        <v>545</v>
      </c>
      <c r="G145" s="66" t="s">
        <v>907</v>
      </c>
      <c r="H145" s="66" t="s">
        <v>577</v>
      </c>
      <c r="I145" s="66" t="s">
        <v>621</v>
      </c>
      <c r="J145" s="66" t="s">
        <v>505</v>
      </c>
      <c r="K145" s="66" t="s">
        <v>502</v>
      </c>
      <c r="L145" s="66" t="s">
        <v>758</v>
      </c>
      <c r="M145" s="66" t="s">
        <v>571</v>
      </c>
      <c r="N145" s="66" t="s">
        <v>123</v>
      </c>
      <c r="O145" s="66" t="s">
        <v>548</v>
      </c>
      <c r="P145" s="66" t="s">
        <v>501</v>
      </c>
      <c r="Q145" s="66"/>
    </row>
    <row r="146" spans="1:17" ht="151.5" thickBot="1" x14ac:dyDescent="0.4">
      <c r="A146" s="69" t="s">
        <v>908</v>
      </c>
      <c r="B146" s="66" t="s">
        <v>500</v>
      </c>
      <c r="C146" s="69">
        <v>2</v>
      </c>
      <c r="D146" s="66" t="s">
        <v>909</v>
      </c>
      <c r="E146" s="66" t="s">
        <v>575</v>
      </c>
      <c r="F146" s="66" t="s">
        <v>529</v>
      </c>
      <c r="G146" s="66" t="s">
        <v>910</v>
      </c>
      <c r="H146" s="66" t="s">
        <v>631</v>
      </c>
      <c r="I146" s="66" t="s">
        <v>546</v>
      </c>
      <c r="J146" s="66" t="s">
        <v>505</v>
      </c>
      <c r="K146" s="66" t="s">
        <v>502</v>
      </c>
      <c r="L146" s="66" t="s">
        <v>911</v>
      </c>
      <c r="M146" s="66" t="s">
        <v>565</v>
      </c>
      <c r="N146" s="66" t="s">
        <v>912</v>
      </c>
      <c r="O146" s="66" t="s">
        <v>548</v>
      </c>
      <c r="P146" s="66" t="s">
        <v>501</v>
      </c>
      <c r="Q146" s="66" t="s">
        <v>913</v>
      </c>
    </row>
    <row r="147" spans="1:17" ht="51.5" thickBot="1" x14ac:dyDescent="0.4">
      <c r="A147" s="69" t="s">
        <v>914</v>
      </c>
      <c r="B147" s="66" t="s">
        <v>500</v>
      </c>
      <c r="C147" s="69">
        <v>3</v>
      </c>
      <c r="D147" s="66" t="s">
        <v>527</v>
      </c>
      <c r="E147" s="66" t="s">
        <v>538</v>
      </c>
      <c r="F147" s="66" t="s">
        <v>545</v>
      </c>
      <c r="G147" s="66" t="s">
        <v>530</v>
      </c>
      <c r="H147" s="66" t="s">
        <v>556</v>
      </c>
      <c r="I147" s="66" t="s">
        <v>569</v>
      </c>
      <c r="J147" s="66" t="s">
        <v>504</v>
      </c>
      <c r="K147" s="66" t="s">
        <v>502</v>
      </c>
      <c r="L147" s="66" t="s">
        <v>541</v>
      </c>
      <c r="M147" s="66" t="s">
        <v>571</v>
      </c>
      <c r="N147" s="66" t="s">
        <v>602</v>
      </c>
      <c r="O147" s="66" t="s">
        <v>548</v>
      </c>
      <c r="P147" s="66" t="s">
        <v>503</v>
      </c>
      <c r="Q147" s="66" t="s">
        <v>915</v>
      </c>
    </row>
    <row r="148" spans="1:17" ht="76.5" thickBot="1" x14ac:dyDescent="0.4">
      <c r="A148" s="69" t="s">
        <v>916</v>
      </c>
      <c r="B148" s="66" t="s">
        <v>497</v>
      </c>
      <c r="C148" s="69">
        <v>3</v>
      </c>
      <c r="D148" s="66" t="s">
        <v>527</v>
      </c>
      <c r="E148" s="66" t="s">
        <v>538</v>
      </c>
      <c r="F148" s="66" t="s">
        <v>529</v>
      </c>
      <c r="G148" s="66" t="s">
        <v>590</v>
      </c>
      <c r="H148" s="66" t="s">
        <v>581</v>
      </c>
      <c r="I148" s="66" t="s">
        <v>642</v>
      </c>
      <c r="J148" s="66" t="s">
        <v>505</v>
      </c>
      <c r="K148" s="66" t="s">
        <v>502</v>
      </c>
      <c r="L148" s="66" t="s">
        <v>553</v>
      </c>
      <c r="M148" s="66" t="s">
        <v>534</v>
      </c>
      <c r="N148" s="66" t="s">
        <v>566</v>
      </c>
      <c r="O148" s="66" t="s">
        <v>554</v>
      </c>
      <c r="P148" s="66" t="s">
        <v>503</v>
      </c>
      <c r="Q148" s="66"/>
    </row>
    <row r="149" spans="1:17" ht="15" thickBot="1" x14ac:dyDescent="0.4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</row>
    <row r="150" spans="1:17" ht="15" thickBot="1" x14ac:dyDescent="0.4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</row>
    <row r="151" spans="1:17" ht="15" thickBot="1" x14ac:dyDescent="0.4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</row>
    <row r="152" spans="1:17" ht="15" thickBot="1" x14ac:dyDescent="0.4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</row>
    <row r="153" spans="1:17" ht="15" thickBot="1" x14ac:dyDescent="0.4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</row>
    <row r="154" spans="1:17" ht="15" thickBot="1" x14ac:dyDescent="0.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</row>
    <row r="155" spans="1:17" ht="15" thickBot="1" x14ac:dyDescent="0.4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</row>
    <row r="156" spans="1:17" ht="15" thickBot="1" x14ac:dyDescent="0.4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</row>
    <row r="157" spans="1:17" ht="15" thickBot="1" x14ac:dyDescent="0.4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</row>
    <row r="158" spans="1:17" ht="15" thickBot="1" x14ac:dyDescent="0.4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</row>
    <row r="159" spans="1:17" ht="15" thickBot="1" x14ac:dyDescent="0.4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</row>
    <row r="160" spans="1:17" ht="15" thickBot="1" x14ac:dyDescent="0.4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</row>
    <row r="161" spans="1:17" ht="15" thickBot="1" x14ac:dyDescent="0.4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</row>
    <row r="162" spans="1:17" ht="15" thickBot="1" x14ac:dyDescent="0.4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</row>
    <row r="163" spans="1:17" ht="15" thickBot="1" x14ac:dyDescent="0.4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</row>
    <row r="164" spans="1:17" ht="15" thickBot="1" x14ac:dyDescent="0.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</row>
    <row r="165" spans="1:17" ht="15" thickBot="1" x14ac:dyDescent="0.4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</row>
    <row r="166" spans="1:17" ht="15" thickBot="1" x14ac:dyDescent="0.4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</row>
    <row r="167" spans="1:17" ht="15" thickBot="1" x14ac:dyDescent="0.4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</row>
    <row r="168" spans="1:17" ht="15" thickBot="1" x14ac:dyDescent="0.4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</row>
    <row r="169" spans="1:17" ht="15" thickBot="1" x14ac:dyDescent="0.4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</row>
    <row r="170" spans="1:17" ht="15" thickBot="1" x14ac:dyDescent="0.4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</row>
    <row r="171" spans="1:17" ht="15" thickBot="1" x14ac:dyDescent="0.4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</row>
    <row r="172" spans="1:17" ht="15" thickBot="1" x14ac:dyDescent="0.4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</row>
    <row r="173" spans="1:17" ht="15" thickBot="1" x14ac:dyDescent="0.4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</row>
    <row r="174" spans="1:17" ht="15" thickBot="1" x14ac:dyDescent="0.4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</row>
    <row r="175" spans="1:17" ht="15" thickBot="1" x14ac:dyDescent="0.4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</row>
    <row r="176" spans="1:17" ht="15" thickBot="1" x14ac:dyDescent="0.4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</row>
    <row r="177" spans="1:17" ht="15" thickBot="1" x14ac:dyDescent="0.4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</row>
    <row r="178" spans="1:17" ht="15" thickBot="1" x14ac:dyDescent="0.4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</row>
    <row r="179" spans="1:17" ht="15" thickBot="1" x14ac:dyDescent="0.4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</row>
    <row r="180" spans="1:17" ht="15" thickBot="1" x14ac:dyDescent="0.4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</row>
    <row r="181" spans="1:17" ht="15" thickBot="1" x14ac:dyDescent="0.4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</row>
    <row r="182" spans="1:17" ht="15" thickBot="1" x14ac:dyDescent="0.4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</row>
    <row r="183" spans="1:17" ht="15" thickBot="1" x14ac:dyDescent="0.4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</row>
    <row r="184" spans="1:17" ht="15" thickBot="1" x14ac:dyDescent="0.4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</row>
    <row r="185" spans="1:17" ht="15" thickBot="1" x14ac:dyDescent="0.4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</row>
    <row r="186" spans="1:17" ht="15" thickBot="1" x14ac:dyDescent="0.4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</row>
    <row r="187" spans="1:17" ht="15" thickBot="1" x14ac:dyDescent="0.4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</row>
    <row r="188" spans="1:17" ht="15" thickBot="1" x14ac:dyDescent="0.4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</row>
    <row r="189" spans="1:17" ht="15" thickBot="1" x14ac:dyDescent="0.4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</row>
    <row r="190" spans="1:17" ht="15" thickBot="1" x14ac:dyDescent="0.4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</row>
    <row r="191" spans="1:17" ht="15" thickBot="1" x14ac:dyDescent="0.4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</row>
    <row r="192" spans="1:17" ht="15" thickBot="1" x14ac:dyDescent="0.4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</row>
    <row r="193" spans="1:17" ht="15" thickBot="1" x14ac:dyDescent="0.4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</row>
    <row r="194" spans="1:17" ht="15" thickBot="1" x14ac:dyDescent="0.4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</row>
    <row r="195" spans="1:17" ht="15" thickBot="1" x14ac:dyDescent="0.4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</row>
    <row r="196" spans="1:17" ht="15" thickBot="1" x14ac:dyDescent="0.4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</row>
    <row r="197" spans="1:17" ht="15" thickBot="1" x14ac:dyDescent="0.4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</row>
    <row r="198" spans="1:17" ht="15" thickBot="1" x14ac:dyDescent="0.4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</row>
    <row r="199" spans="1:17" ht="15" thickBot="1" x14ac:dyDescent="0.4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</row>
    <row r="200" spans="1:17" ht="15" thickBot="1" x14ac:dyDescent="0.4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</row>
    <row r="201" spans="1:17" ht="15" thickBot="1" x14ac:dyDescent="0.4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</row>
    <row r="202" spans="1:17" ht="15" thickBot="1" x14ac:dyDescent="0.4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</row>
    <row r="203" spans="1:17" ht="15" thickBot="1" x14ac:dyDescent="0.4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</row>
    <row r="204" spans="1:17" ht="15" thickBot="1" x14ac:dyDescent="0.4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</row>
    <row r="205" spans="1:17" ht="15" thickBot="1" x14ac:dyDescent="0.4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</row>
    <row r="206" spans="1:17" ht="15" thickBot="1" x14ac:dyDescent="0.4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</row>
    <row r="207" spans="1:17" ht="15" thickBot="1" x14ac:dyDescent="0.4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</row>
    <row r="208" spans="1:17" ht="15" thickBot="1" x14ac:dyDescent="0.4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</row>
    <row r="209" spans="1:17" ht="15" thickBot="1" x14ac:dyDescent="0.4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</row>
    <row r="210" spans="1:17" ht="15" thickBot="1" x14ac:dyDescent="0.4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</row>
    <row r="211" spans="1:17" ht="15" thickBot="1" x14ac:dyDescent="0.4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</row>
    <row r="212" spans="1:17" ht="15" thickBot="1" x14ac:dyDescent="0.4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</row>
    <row r="213" spans="1:17" ht="15" thickBot="1" x14ac:dyDescent="0.4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</row>
    <row r="214" spans="1:17" ht="15" thickBot="1" x14ac:dyDescent="0.4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</row>
    <row r="215" spans="1:17" ht="15" thickBot="1" x14ac:dyDescent="0.4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</row>
    <row r="216" spans="1:17" ht="15" thickBot="1" x14ac:dyDescent="0.4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</row>
    <row r="217" spans="1:17" ht="15" thickBot="1" x14ac:dyDescent="0.4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</row>
    <row r="218" spans="1:17" ht="15" thickBot="1" x14ac:dyDescent="0.4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</row>
    <row r="219" spans="1:17" ht="15" thickBot="1" x14ac:dyDescent="0.4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</row>
    <row r="220" spans="1:17" ht="15" thickBot="1" x14ac:dyDescent="0.4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</row>
    <row r="221" spans="1:17" ht="15" thickBot="1" x14ac:dyDescent="0.4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</row>
    <row r="222" spans="1:17" ht="15" thickBot="1" x14ac:dyDescent="0.4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</row>
    <row r="223" spans="1:17" ht="15" thickBot="1" x14ac:dyDescent="0.4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</row>
    <row r="224" spans="1:17" ht="15" thickBot="1" x14ac:dyDescent="0.4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</row>
    <row r="225" spans="1:17" ht="15" thickBot="1" x14ac:dyDescent="0.4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</row>
    <row r="226" spans="1:17" ht="15" thickBot="1" x14ac:dyDescent="0.4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</row>
    <row r="227" spans="1:17" ht="15" thickBot="1" x14ac:dyDescent="0.4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</row>
    <row r="228" spans="1:17" ht="15" thickBot="1" x14ac:dyDescent="0.4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</row>
    <row r="229" spans="1:17" ht="15" thickBot="1" x14ac:dyDescent="0.4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</row>
    <row r="230" spans="1:17" ht="15" thickBot="1" x14ac:dyDescent="0.4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</row>
    <row r="231" spans="1:17" ht="15" thickBot="1" x14ac:dyDescent="0.4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</row>
    <row r="232" spans="1:17" ht="15" thickBot="1" x14ac:dyDescent="0.4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</row>
    <row r="233" spans="1:17" ht="15" thickBot="1" x14ac:dyDescent="0.4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</row>
    <row r="234" spans="1:17" ht="15" thickBot="1" x14ac:dyDescent="0.4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</row>
    <row r="235" spans="1:17" ht="15" thickBot="1" x14ac:dyDescent="0.4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</row>
    <row r="236" spans="1:17" ht="15" thickBot="1" x14ac:dyDescent="0.4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</row>
    <row r="237" spans="1:17" ht="15" thickBot="1" x14ac:dyDescent="0.4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</row>
    <row r="238" spans="1:17" ht="15" thickBot="1" x14ac:dyDescent="0.4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</row>
    <row r="239" spans="1:17" ht="15" thickBot="1" x14ac:dyDescent="0.4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</row>
    <row r="240" spans="1:17" ht="15" thickBot="1" x14ac:dyDescent="0.4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</row>
    <row r="241" spans="1:17" ht="15" thickBot="1" x14ac:dyDescent="0.4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</row>
    <row r="242" spans="1:17" ht="15" thickBot="1" x14ac:dyDescent="0.4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</row>
    <row r="243" spans="1:17" ht="15" thickBot="1" x14ac:dyDescent="0.4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</row>
    <row r="244" spans="1:17" ht="15" thickBot="1" x14ac:dyDescent="0.4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</row>
    <row r="245" spans="1:17" ht="15" thickBot="1" x14ac:dyDescent="0.4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</row>
    <row r="246" spans="1:17" ht="15" thickBot="1" x14ac:dyDescent="0.4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</row>
    <row r="247" spans="1:17" ht="15" thickBot="1" x14ac:dyDescent="0.4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</row>
    <row r="248" spans="1:17" ht="15" thickBot="1" x14ac:dyDescent="0.4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4344A-3201-446F-B285-1D8DF24096D0}">
  <dimension ref="A1:BK36"/>
  <sheetViews>
    <sheetView workbookViewId="0"/>
  </sheetViews>
  <sheetFormatPr baseColWidth="10" defaultColWidth="11.453125" defaultRowHeight="14.5" x14ac:dyDescent="0.35"/>
  <cols>
    <col min="1" max="1" width="10.81640625" bestFit="1" customWidth="1"/>
    <col min="2" max="2" width="36.26953125" bestFit="1" customWidth="1"/>
    <col min="3" max="3" width="13.1796875" bestFit="1" customWidth="1"/>
    <col min="4" max="4" width="13" bestFit="1" customWidth="1"/>
    <col min="6" max="6" width="12.1796875" bestFit="1" customWidth="1"/>
    <col min="8" max="8" width="12.1796875" bestFit="1" customWidth="1"/>
  </cols>
  <sheetData>
    <row r="1" spans="1:63" x14ac:dyDescent="0.35">
      <c r="C1">
        <v>0</v>
      </c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  <c r="P1">
        <v>13</v>
      </c>
      <c r="Q1">
        <v>14</v>
      </c>
      <c r="R1">
        <v>15</v>
      </c>
      <c r="S1">
        <v>16</v>
      </c>
      <c r="T1">
        <v>17</v>
      </c>
      <c r="U1">
        <v>18</v>
      </c>
      <c r="V1">
        <v>19</v>
      </c>
      <c r="W1">
        <v>20</v>
      </c>
      <c r="X1">
        <v>21</v>
      </c>
      <c r="Y1">
        <v>22</v>
      </c>
      <c r="Z1">
        <v>23</v>
      </c>
      <c r="AA1">
        <v>24</v>
      </c>
      <c r="AB1">
        <v>25</v>
      </c>
      <c r="AC1">
        <v>26</v>
      </c>
      <c r="AD1">
        <v>27</v>
      </c>
      <c r="AE1">
        <v>28</v>
      </c>
      <c r="AF1">
        <v>29</v>
      </c>
      <c r="AG1">
        <v>30</v>
      </c>
      <c r="AH1">
        <v>31</v>
      </c>
      <c r="AI1">
        <v>32</v>
      </c>
      <c r="AJ1">
        <v>33</v>
      </c>
      <c r="AK1">
        <v>34</v>
      </c>
      <c r="AL1">
        <v>35</v>
      </c>
      <c r="AM1">
        <v>36</v>
      </c>
      <c r="AN1">
        <v>37</v>
      </c>
      <c r="AO1">
        <v>38</v>
      </c>
      <c r="AP1">
        <v>39</v>
      </c>
      <c r="AQ1">
        <v>40</v>
      </c>
      <c r="AR1">
        <v>41</v>
      </c>
      <c r="AS1">
        <v>42</v>
      </c>
      <c r="AT1">
        <v>43</v>
      </c>
      <c r="AU1">
        <v>44</v>
      </c>
      <c r="AV1">
        <v>45</v>
      </c>
      <c r="AW1">
        <v>46</v>
      </c>
      <c r="AX1">
        <v>47</v>
      </c>
      <c r="AY1">
        <v>48</v>
      </c>
      <c r="AZ1">
        <v>49</v>
      </c>
      <c r="BA1">
        <v>50</v>
      </c>
      <c r="BB1">
        <v>51</v>
      </c>
      <c r="BC1">
        <v>52</v>
      </c>
      <c r="BD1">
        <v>53</v>
      </c>
      <c r="BE1">
        <v>54</v>
      </c>
      <c r="BF1">
        <v>55</v>
      </c>
      <c r="BG1">
        <v>56</v>
      </c>
      <c r="BH1">
        <v>57</v>
      </c>
      <c r="BI1">
        <v>58</v>
      </c>
      <c r="BJ1">
        <v>59</v>
      </c>
      <c r="BK1">
        <v>60</v>
      </c>
    </row>
    <row r="2" spans="1:63" x14ac:dyDescent="0.35">
      <c r="C2" s="104">
        <v>44682</v>
      </c>
      <c r="D2" s="104">
        <v>44713</v>
      </c>
      <c r="E2" s="104">
        <v>44743</v>
      </c>
      <c r="F2" s="104">
        <v>44774</v>
      </c>
      <c r="G2" s="104">
        <v>44805</v>
      </c>
      <c r="H2" s="104">
        <v>44835</v>
      </c>
      <c r="I2" s="104">
        <v>44866</v>
      </c>
      <c r="J2" s="104">
        <v>44896</v>
      </c>
      <c r="K2" s="104">
        <v>44927</v>
      </c>
      <c r="L2" s="104">
        <v>44958</v>
      </c>
      <c r="M2" s="104">
        <v>44986</v>
      </c>
      <c r="N2" s="104">
        <v>45017</v>
      </c>
      <c r="O2" s="104">
        <v>45047</v>
      </c>
      <c r="P2" s="104">
        <v>45078</v>
      </c>
      <c r="Q2" s="104">
        <v>45108</v>
      </c>
      <c r="R2" s="104">
        <v>45139</v>
      </c>
      <c r="S2" s="104">
        <v>45170</v>
      </c>
      <c r="T2" s="104">
        <v>45200</v>
      </c>
      <c r="U2" s="104">
        <v>45231</v>
      </c>
      <c r="V2" s="104">
        <v>45261</v>
      </c>
      <c r="W2" s="104">
        <v>45292</v>
      </c>
      <c r="X2" s="104">
        <v>45323</v>
      </c>
      <c r="Y2" s="104">
        <v>45352</v>
      </c>
      <c r="Z2" s="104">
        <v>45383</v>
      </c>
      <c r="AA2" s="104">
        <v>45413</v>
      </c>
      <c r="AB2" s="104">
        <v>45444</v>
      </c>
      <c r="AC2" s="104">
        <v>45474</v>
      </c>
      <c r="AD2" s="104">
        <v>45505</v>
      </c>
      <c r="AE2" s="104">
        <v>45536</v>
      </c>
      <c r="AF2" s="104">
        <v>45566</v>
      </c>
      <c r="AG2" s="104">
        <v>45597</v>
      </c>
      <c r="AH2" s="104">
        <v>45627</v>
      </c>
      <c r="AI2" s="104">
        <v>45658</v>
      </c>
      <c r="AJ2" s="104">
        <v>45689</v>
      </c>
      <c r="AK2" s="104">
        <v>45717</v>
      </c>
      <c r="AL2" s="104">
        <v>45748</v>
      </c>
      <c r="AM2" s="104">
        <v>45778</v>
      </c>
      <c r="AN2" s="104">
        <v>45809</v>
      </c>
      <c r="AO2" s="104">
        <v>45839</v>
      </c>
      <c r="AP2" s="104">
        <v>45870</v>
      </c>
      <c r="AQ2" s="104">
        <v>45901</v>
      </c>
      <c r="AR2" s="104">
        <v>45931</v>
      </c>
      <c r="AS2" s="104">
        <v>45962</v>
      </c>
      <c r="AT2" s="104">
        <v>45992</v>
      </c>
      <c r="AU2" s="104">
        <v>46023</v>
      </c>
      <c r="AV2" s="104">
        <v>46054</v>
      </c>
      <c r="AW2" s="104">
        <v>46082</v>
      </c>
      <c r="AX2" s="104">
        <v>46113</v>
      </c>
      <c r="AY2" s="104">
        <v>46143</v>
      </c>
      <c r="AZ2" s="104">
        <v>46174</v>
      </c>
      <c r="BA2" s="104">
        <v>46204</v>
      </c>
      <c r="BB2" s="104">
        <v>46235</v>
      </c>
      <c r="BC2" s="104">
        <v>46266</v>
      </c>
      <c r="BD2" s="104">
        <v>46296</v>
      </c>
      <c r="BE2" s="104">
        <v>46327</v>
      </c>
      <c r="BF2" s="104">
        <v>46357</v>
      </c>
      <c r="BG2" s="104">
        <v>46388</v>
      </c>
      <c r="BH2" s="104">
        <v>46419</v>
      </c>
      <c r="BI2" s="104">
        <v>46447</v>
      </c>
      <c r="BJ2" s="104">
        <v>46478</v>
      </c>
      <c r="BK2" s="104">
        <v>46508</v>
      </c>
    </row>
    <row r="3" spans="1:63" x14ac:dyDescent="0.35"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</row>
    <row r="4" spans="1:63" x14ac:dyDescent="0.35">
      <c r="C4" s="2">
        <f>C19-C26-C36</f>
        <v>1240254.698310107</v>
      </c>
      <c r="D4" s="2">
        <f>D19-D26-D36</f>
        <v>-679454.79673329741</v>
      </c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</row>
    <row r="5" spans="1:63" x14ac:dyDescent="0.35">
      <c r="A5" s="15" t="s">
        <v>917</v>
      </c>
    </row>
    <row r="6" spans="1:63" x14ac:dyDescent="0.35">
      <c r="A6">
        <v>110510</v>
      </c>
      <c r="B6" s="15" t="s">
        <v>918</v>
      </c>
      <c r="C6" s="8">
        <f>'Estado.Gen.Costos.Gastos'!C43</f>
        <v>50000</v>
      </c>
      <c r="D6" s="8">
        <v>0</v>
      </c>
    </row>
    <row r="7" spans="1:63" x14ac:dyDescent="0.35">
      <c r="A7">
        <v>1110</v>
      </c>
      <c r="B7" s="15" t="s">
        <v>919</v>
      </c>
      <c r="C7" s="8">
        <v>0</v>
      </c>
      <c r="D7" s="8"/>
    </row>
    <row r="8" spans="1:63" x14ac:dyDescent="0.35">
      <c r="A8">
        <v>14</v>
      </c>
      <c r="B8" s="15" t="s">
        <v>920</v>
      </c>
      <c r="C8" s="8">
        <f>'Estado.Gen.Costos.Gastos'!C7</f>
        <v>4000000</v>
      </c>
      <c r="D8" s="8">
        <f>C8+C9+C10</f>
        <v>15590490.666666666</v>
      </c>
    </row>
    <row r="9" spans="1:63" x14ac:dyDescent="0.35">
      <c r="A9">
        <v>1405</v>
      </c>
      <c r="B9" s="15" t="s">
        <v>256</v>
      </c>
      <c r="C9" s="8">
        <f>'Estado.Gen.Costos.Gastos'!C9</f>
        <v>10425020.666666666</v>
      </c>
      <c r="D9" s="8">
        <v>0</v>
      </c>
    </row>
    <row r="10" spans="1:63" x14ac:dyDescent="0.35">
      <c r="B10" s="15" t="s">
        <v>921</v>
      </c>
      <c r="C10" s="8">
        <f>'Estado.Gen.Costos.Gastos'!C10</f>
        <v>1165470</v>
      </c>
      <c r="D10" s="8">
        <v>0</v>
      </c>
    </row>
    <row r="11" spans="1:63" x14ac:dyDescent="0.35">
      <c r="A11">
        <v>1410</v>
      </c>
      <c r="B11" s="15" t="s">
        <v>922</v>
      </c>
      <c r="C11" s="8">
        <v>0</v>
      </c>
      <c r="D11">
        <v>0</v>
      </c>
    </row>
    <row r="12" spans="1:63" x14ac:dyDescent="0.35">
      <c r="A12">
        <v>1520</v>
      </c>
      <c r="B12" s="15" t="s">
        <v>923</v>
      </c>
      <c r="C12" s="82">
        <f>'Estado.Gen.Costos.Gastos'!C11</f>
        <v>3688750</v>
      </c>
      <c r="D12" s="82">
        <f>'Costo.Herr.Serv.'!$D$31</f>
        <v>3688750</v>
      </c>
      <c r="F12" s="8"/>
    </row>
    <row r="13" spans="1:63" x14ac:dyDescent="0.35">
      <c r="A13">
        <v>1524</v>
      </c>
      <c r="B13" s="15" t="s">
        <v>924</v>
      </c>
      <c r="C13" s="82">
        <f>'Estado.Gen.Costos.Gastos'!C40+'Estado.Gen.Costos.Gastos'!C39</f>
        <v>50000</v>
      </c>
      <c r="D13" s="82">
        <f>'Costo.Herr.Serv.'!$D$18</f>
        <v>50000</v>
      </c>
    </row>
    <row r="14" spans="1:63" x14ac:dyDescent="0.35">
      <c r="A14">
        <v>1528</v>
      </c>
      <c r="B14" s="15" t="s">
        <v>925</v>
      </c>
      <c r="C14" s="82">
        <f>'Estado.Gen.Costos.Gastos'!C37</f>
        <v>4370000</v>
      </c>
      <c r="D14" s="82">
        <f>'Costo.Herr.Serv.'!$J$25</f>
        <v>4370000</v>
      </c>
    </row>
    <row r="15" spans="1:63" x14ac:dyDescent="0.35">
      <c r="A15">
        <v>1592</v>
      </c>
      <c r="B15" s="15" t="s">
        <v>926</v>
      </c>
      <c r="C15" s="82">
        <v>0</v>
      </c>
      <c r="D15" s="82"/>
    </row>
    <row r="16" spans="1:63" x14ac:dyDescent="0.35">
      <c r="B16" s="15" t="s">
        <v>927</v>
      </c>
      <c r="C16" s="82">
        <f>'Estado.Gen.Costos.Gastos'!C55</f>
        <v>112500</v>
      </c>
      <c r="D16" s="82"/>
    </row>
    <row r="17" spans="1:8" x14ac:dyDescent="0.35">
      <c r="B17" s="15" t="s">
        <v>237</v>
      </c>
      <c r="D17" s="82"/>
    </row>
    <row r="18" spans="1:8" x14ac:dyDescent="0.35">
      <c r="B18" s="15"/>
      <c r="C18" s="82"/>
      <c r="D18" s="82"/>
    </row>
    <row r="19" spans="1:8" x14ac:dyDescent="0.35">
      <c r="B19" s="15" t="s">
        <v>928</v>
      </c>
      <c r="C19" s="111">
        <f>SUM(C6:C18)</f>
        <v>23861740.666666664</v>
      </c>
      <c r="D19" s="111">
        <f>SUM(D6:D18)</f>
        <v>23699240.666666664</v>
      </c>
    </row>
    <row r="20" spans="1:8" x14ac:dyDescent="0.35">
      <c r="A20" s="15" t="s">
        <v>929</v>
      </c>
      <c r="C20" s="8"/>
      <c r="D20" s="8"/>
    </row>
    <row r="21" spans="1:8" x14ac:dyDescent="0.35">
      <c r="A21">
        <v>233540</v>
      </c>
      <c r="B21" s="15" t="s">
        <v>930</v>
      </c>
      <c r="C21" s="82">
        <f>'Estado.Gen.Costos.Gastos'!C21+'Estado.Gen.Costos.Gastos'!C33</f>
        <v>200000</v>
      </c>
      <c r="D21" s="82">
        <f>Arriendo!$J$18</f>
        <v>1139000</v>
      </c>
    </row>
    <row r="22" spans="1:8" x14ac:dyDescent="0.35">
      <c r="A22">
        <v>233550</v>
      </c>
      <c r="B22" s="15" t="s">
        <v>297</v>
      </c>
      <c r="C22" s="82">
        <f>'Estado.Gen.Costos.Gastos'!C22+'Estado.Gen.Costos.Gastos'!C34</f>
        <v>0</v>
      </c>
      <c r="D22" s="82">
        <f>Arriendo!$J$17</f>
        <v>60663.385519999996</v>
      </c>
    </row>
    <row r="23" spans="1:8" x14ac:dyDescent="0.35">
      <c r="A23" s="110" t="s">
        <v>931</v>
      </c>
      <c r="B23" s="15" t="s">
        <v>932</v>
      </c>
      <c r="C23" s="82">
        <f>'Estado.Gen.Costos.Gastos'!C13+'Estado.Gen.Costos.Gastos'!C27</f>
        <v>3702432.6568135372</v>
      </c>
      <c r="D23" s="82">
        <f>Nomina!$BB$8</f>
        <v>3806726.2170228162</v>
      </c>
    </row>
    <row r="24" spans="1:8" x14ac:dyDescent="0.35">
      <c r="A24" s="110"/>
      <c r="B24" s="15"/>
      <c r="C24" s="82"/>
      <c r="D24" s="82"/>
    </row>
    <row r="25" spans="1:8" x14ac:dyDescent="0.35">
      <c r="A25" s="110"/>
      <c r="B25" s="15"/>
      <c r="C25" s="82"/>
      <c r="D25" s="82"/>
      <c r="H25" s="8">
        <f>+Nomina!$BB$8*2+Arriendo!$J$16*2</f>
        <v>10012779.205085631</v>
      </c>
    </row>
    <row r="26" spans="1:8" x14ac:dyDescent="0.35">
      <c r="B26" s="15" t="s">
        <v>933</v>
      </c>
      <c r="C26" s="111">
        <f>SUM(C21:C25)</f>
        <v>3902432.6568135372</v>
      </c>
      <c r="D26" s="111">
        <f>SUM(D21:D25)</f>
        <v>5006389.6025428157</v>
      </c>
    </row>
    <row r="27" spans="1:8" x14ac:dyDescent="0.35">
      <c r="A27" s="15" t="s">
        <v>934</v>
      </c>
      <c r="C27" s="8"/>
      <c r="D27" s="8"/>
    </row>
    <row r="28" spans="1:8" x14ac:dyDescent="0.35">
      <c r="A28">
        <v>3130</v>
      </c>
      <c r="B28" s="15" t="s">
        <v>935</v>
      </c>
      <c r="C28" s="82">
        <f>'Estado.Gen.Costos.Gastos'!F67*2</f>
        <v>18719053.311543021</v>
      </c>
      <c r="D28" s="82">
        <f>'Estado.Gen.Costos.Gastos'!$F$67+Nomina!$BB$8*2+Arriendo!$J$16*2</f>
        <v>19372305.860857144</v>
      </c>
    </row>
    <row r="29" spans="1:8" x14ac:dyDescent="0.35">
      <c r="B29" s="15"/>
      <c r="C29" s="82"/>
      <c r="D29" s="82"/>
    </row>
    <row r="30" spans="1:8" x14ac:dyDescent="0.35">
      <c r="B30" s="15"/>
      <c r="C30" s="82"/>
      <c r="D30" s="82"/>
    </row>
    <row r="31" spans="1:8" x14ac:dyDescent="0.35">
      <c r="A31">
        <v>3510</v>
      </c>
      <c r="B31" s="15" t="s">
        <v>936</v>
      </c>
      <c r="C31" s="82">
        <f>C34*11%</f>
        <v>0</v>
      </c>
      <c r="D31" s="82">
        <f>D34*30%</f>
        <v>0</v>
      </c>
    </row>
    <row r="32" spans="1:8" x14ac:dyDescent="0.35">
      <c r="A32">
        <v>3605</v>
      </c>
      <c r="B32" s="15" t="s">
        <v>937</v>
      </c>
      <c r="C32" s="82">
        <v>0</v>
      </c>
      <c r="D32" s="82"/>
    </row>
    <row r="33" spans="1:4" x14ac:dyDescent="0.35">
      <c r="A33">
        <v>3610</v>
      </c>
      <c r="B33" s="15" t="s">
        <v>938</v>
      </c>
      <c r="C33" s="82">
        <v>0</v>
      </c>
      <c r="D33" s="82"/>
    </row>
    <row r="34" spans="1:4" x14ac:dyDescent="0.35">
      <c r="A34" s="110" t="s">
        <v>939</v>
      </c>
      <c r="B34" s="15" t="s">
        <v>940</v>
      </c>
      <c r="C34" s="82">
        <f>ProyeccionEstadoVentas!M6</f>
        <v>0</v>
      </c>
      <c r="D34" s="82">
        <f>ProyeccionEstadoVentas!M7</f>
        <v>0</v>
      </c>
    </row>
    <row r="35" spans="1:4" x14ac:dyDescent="0.35">
      <c r="B35" s="15"/>
      <c r="C35" s="82"/>
      <c r="D35" s="82"/>
    </row>
    <row r="36" spans="1:4" x14ac:dyDescent="0.35">
      <c r="B36" s="15" t="s">
        <v>941</v>
      </c>
      <c r="C36" s="81">
        <f>SUM(C28:C35)</f>
        <v>18719053.311543021</v>
      </c>
      <c r="D36" s="81">
        <f>SUM(D28:D35)</f>
        <v>19372305.860857144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E0D52-3F07-4A66-A45C-D4EA603416BF}">
  <dimension ref="A2:K163"/>
  <sheetViews>
    <sheetView topLeftCell="A34" workbookViewId="0">
      <selection activeCell="E5" sqref="E5"/>
    </sheetView>
  </sheetViews>
  <sheetFormatPr baseColWidth="10" defaultColWidth="11.453125" defaultRowHeight="14.5" x14ac:dyDescent="0.35"/>
  <cols>
    <col min="1" max="1" width="16.54296875" style="4" customWidth="1"/>
    <col min="2" max="2" width="13.7265625" style="16" bestFit="1" customWidth="1"/>
    <col min="3" max="3" width="11.1796875" style="1" bestFit="1" customWidth="1"/>
    <col min="4" max="4" width="15.1796875" style="16" bestFit="1" customWidth="1"/>
    <col min="5" max="5" width="11.54296875" style="16" bestFit="1" customWidth="1"/>
    <col min="6" max="6" width="11.54296875" style="16" customWidth="1"/>
    <col min="7" max="7" width="15.1796875" style="16" bestFit="1" customWidth="1"/>
    <col min="8" max="8" width="15.1796875" style="16" customWidth="1"/>
    <col min="9" max="9" width="32.81640625" style="37" customWidth="1"/>
  </cols>
  <sheetData>
    <row r="2" spans="1:9" x14ac:dyDescent="0.35">
      <c r="A2" s="391" t="s">
        <v>21</v>
      </c>
      <c r="B2" s="391"/>
      <c r="C2" s="391"/>
      <c r="D2" s="391"/>
      <c r="E2" s="391"/>
      <c r="F2" s="391"/>
      <c r="G2" s="391"/>
      <c r="H2" s="391"/>
      <c r="I2" s="391"/>
    </row>
    <row r="3" spans="1:9" ht="29" x14ac:dyDescent="0.35">
      <c r="A3" s="13" t="s">
        <v>22</v>
      </c>
      <c r="B3" s="12" t="s">
        <v>23</v>
      </c>
      <c r="C3" s="12" t="s">
        <v>24</v>
      </c>
      <c r="D3" s="12" t="s">
        <v>25</v>
      </c>
      <c r="E3" s="12" t="s">
        <v>26</v>
      </c>
      <c r="F3" s="13" t="s">
        <v>27</v>
      </c>
      <c r="G3" s="12" t="s">
        <v>28</v>
      </c>
      <c r="H3" s="12" t="s">
        <v>29</v>
      </c>
      <c r="I3" s="13" t="s">
        <v>30</v>
      </c>
    </row>
    <row r="4" spans="1:9" ht="15" customHeight="1" x14ac:dyDescent="0.35">
      <c r="A4" s="138" t="s">
        <v>31</v>
      </c>
      <c r="B4" s="51">
        <v>15800</v>
      </c>
      <c r="C4" s="12">
        <v>200</v>
      </c>
      <c r="D4" s="28">
        <f t="shared" ref="D4:D12" si="0">B4*C4</f>
        <v>3160000</v>
      </c>
      <c r="E4" s="12">
        <v>10000</v>
      </c>
      <c r="F4" s="13"/>
      <c r="G4" s="12"/>
      <c r="H4" s="176"/>
      <c r="I4" s="138" t="s">
        <v>32</v>
      </c>
    </row>
    <row r="5" spans="1:9" ht="15" customHeight="1" x14ac:dyDescent="0.35">
      <c r="A5" s="394" t="s">
        <v>33</v>
      </c>
      <c r="B5" s="28">
        <v>32130</v>
      </c>
      <c r="C5" s="30">
        <v>10</v>
      </c>
      <c r="D5" s="28">
        <f t="shared" si="0"/>
        <v>321300</v>
      </c>
      <c r="E5" s="28">
        <v>3927</v>
      </c>
      <c r="F5" s="28">
        <f>E5/C5</f>
        <v>392.7</v>
      </c>
      <c r="G5" s="28">
        <f t="shared" ref="G5:G12" si="1">D5+E5</f>
        <v>325227</v>
      </c>
      <c r="H5" s="38">
        <f>B5+F5</f>
        <v>32522.7</v>
      </c>
      <c r="I5" s="404" t="s">
        <v>34</v>
      </c>
    </row>
    <row r="6" spans="1:9" x14ac:dyDescent="0.35">
      <c r="A6" s="403"/>
      <c r="B6" s="28">
        <v>31416</v>
      </c>
      <c r="C6" s="30">
        <v>25</v>
      </c>
      <c r="D6" s="28">
        <f t="shared" si="0"/>
        <v>785400</v>
      </c>
      <c r="E6" s="28">
        <v>3927</v>
      </c>
      <c r="F6" s="28">
        <f t="shared" ref="F6:F12" si="2">E6/C6</f>
        <v>157.08000000000001</v>
      </c>
      <c r="G6" s="28">
        <f t="shared" si="1"/>
        <v>789327</v>
      </c>
      <c r="H6" s="38">
        <f t="shared" ref="H6:H12" si="3">B6+F6</f>
        <v>31573.08</v>
      </c>
      <c r="I6" s="405"/>
    </row>
    <row r="7" spans="1:9" x14ac:dyDescent="0.35">
      <c r="A7" s="395"/>
      <c r="B7" s="28">
        <v>30345</v>
      </c>
      <c r="C7" s="30">
        <v>50</v>
      </c>
      <c r="D7" s="28">
        <f t="shared" si="0"/>
        <v>1517250</v>
      </c>
      <c r="E7" s="28">
        <v>3927</v>
      </c>
      <c r="F7" s="28">
        <f t="shared" si="2"/>
        <v>78.540000000000006</v>
      </c>
      <c r="G7" s="28">
        <f t="shared" si="1"/>
        <v>1521177</v>
      </c>
      <c r="H7" s="38">
        <f t="shared" si="3"/>
        <v>30423.54</v>
      </c>
      <c r="I7" s="406"/>
    </row>
    <row r="8" spans="1:9" ht="15" customHeight="1" x14ac:dyDescent="0.35">
      <c r="A8" s="394" t="s">
        <v>35</v>
      </c>
      <c r="B8" s="28">
        <v>39200</v>
      </c>
      <c r="C8" s="30">
        <v>10</v>
      </c>
      <c r="D8" s="28">
        <f t="shared" si="0"/>
        <v>392000</v>
      </c>
      <c r="E8" s="28">
        <v>0</v>
      </c>
      <c r="F8" s="28">
        <f t="shared" si="2"/>
        <v>0</v>
      </c>
      <c r="G8" s="28">
        <f t="shared" si="1"/>
        <v>392000</v>
      </c>
      <c r="H8" s="38">
        <f t="shared" si="3"/>
        <v>39200</v>
      </c>
      <c r="I8" s="394" t="s">
        <v>36</v>
      </c>
    </row>
    <row r="9" spans="1:9" x14ac:dyDescent="0.35">
      <c r="A9" s="395"/>
      <c r="B9" s="28">
        <v>39200</v>
      </c>
      <c r="C9" s="30">
        <v>25</v>
      </c>
      <c r="D9" s="28">
        <f t="shared" si="0"/>
        <v>980000</v>
      </c>
      <c r="E9" s="28">
        <v>0</v>
      </c>
      <c r="F9" s="28">
        <f t="shared" si="2"/>
        <v>0</v>
      </c>
      <c r="G9" s="28">
        <f t="shared" si="1"/>
        <v>980000</v>
      </c>
      <c r="H9" s="38">
        <f t="shared" si="3"/>
        <v>39200</v>
      </c>
      <c r="I9" s="395"/>
    </row>
    <row r="10" spans="1:9" ht="15" customHeight="1" x14ac:dyDescent="0.35">
      <c r="A10" s="394" t="s">
        <v>37</v>
      </c>
      <c r="B10" s="28">
        <v>26179</v>
      </c>
      <c r="C10" s="30">
        <v>10</v>
      </c>
      <c r="D10" s="28">
        <f t="shared" si="0"/>
        <v>261790</v>
      </c>
      <c r="E10" s="28">
        <v>8450</v>
      </c>
      <c r="F10" s="28">
        <f t="shared" si="2"/>
        <v>845</v>
      </c>
      <c r="G10" s="28">
        <f t="shared" si="1"/>
        <v>270240</v>
      </c>
      <c r="H10" s="38">
        <f t="shared" si="3"/>
        <v>27024</v>
      </c>
      <c r="I10" s="394" t="s">
        <v>38</v>
      </c>
    </row>
    <row r="11" spans="1:9" x14ac:dyDescent="0.35">
      <c r="A11" s="403"/>
      <c r="B11" s="28">
        <v>26179</v>
      </c>
      <c r="C11" s="30">
        <v>25</v>
      </c>
      <c r="D11" s="28">
        <f t="shared" si="0"/>
        <v>654475</v>
      </c>
      <c r="E11" s="28">
        <v>8450</v>
      </c>
      <c r="F11" s="28">
        <f t="shared" si="2"/>
        <v>338</v>
      </c>
      <c r="G11" s="28">
        <f t="shared" si="1"/>
        <v>662925</v>
      </c>
      <c r="H11" s="38">
        <f t="shared" si="3"/>
        <v>26517</v>
      </c>
      <c r="I11" s="403"/>
    </row>
    <row r="12" spans="1:9" x14ac:dyDescent="0.35">
      <c r="A12" s="395"/>
      <c r="B12" s="28">
        <v>26179</v>
      </c>
      <c r="C12" s="30">
        <v>50</v>
      </c>
      <c r="D12" s="28">
        <f t="shared" si="0"/>
        <v>1308950</v>
      </c>
      <c r="E12" s="28">
        <v>8450</v>
      </c>
      <c r="F12" s="28">
        <f t="shared" si="2"/>
        <v>169</v>
      </c>
      <c r="G12" s="28">
        <f t="shared" si="1"/>
        <v>1317400</v>
      </c>
      <c r="H12" s="28">
        <f t="shared" si="3"/>
        <v>26348</v>
      </c>
      <c r="I12" s="395"/>
    </row>
    <row r="14" spans="1:9" x14ac:dyDescent="0.35">
      <c r="B14" s="33"/>
      <c r="D14" s="33"/>
      <c r="E14" s="33"/>
      <c r="F14" s="33"/>
      <c r="G14" s="33"/>
      <c r="H14" s="33"/>
      <c r="I14" s="35"/>
    </row>
    <row r="15" spans="1:9" x14ac:dyDescent="0.35">
      <c r="B15" s="33"/>
      <c r="D15" s="33"/>
      <c r="E15" s="33"/>
      <c r="F15" s="33"/>
      <c r="G15" s="33"/>
      <c r="H15" s="33"/>
      <c r="I15" s="35"/>
    </row>
    <row r="16" spans="1:9" x14ac:dyDescent="0.35">
      <c r="A16" s="391" t="s">
        <v>39</v>
      </c>
      <c r="B16" s="391"/>
      <c r="C16" s="391"/>
      <c r="D16" s="391"/>
      <c r="E16" s="391"/>
      <c r="F16" s="391"/>
      <c r="G16" s="391"/>
      <c r="H16" s="391"/>
      <c r="I16" s="391"/>
    </row>
    <row r="17" spans="1:9" ht="29" x14ac:dyDescent="0.35">
      <c r="A17" s="13" t="s">
        <v>22</v>
      </c>
      <c r="B17" s="12" t="s">
        <v>23</v>
      </c>
      <c r="C17" s="12" t="s">
        <v>40</v>
      </c>
      <c r="D17" s="12" t="s">
        <v>25</v>
      </c>
      <c r="E17" s="12" t="s">
        <v>26</v>
      </c>
      <c r="F17" s="13" t="s">
        <v>27</v>
      </c>
      <c r="G17" s="12" t="s">
        <v>28</v>
      </c>
      <c r="H17" s="12" t="s">
        <v>29</v>
      </c>
      <c r="I17" s="13" t="s">
        <v>30</v>
      </c>
    </row>
    <row r="18" spans="1:9" ht="15" customHeight="1" x14ac:dyDescent="0.35">
      <c r="A18" s="394" t="s">
        <v>41</v>
      </c>
      <c r="B18" s="28">
        <v>6900</v>
      </c>
      <c r="C18" s="30">
        <v>10</v>
      </c>
      <c r="D18" s="28">
        <f t="shared" ref="D18:D26" si="4">B18*C18</f>
        <v>69000</v>
      </c>
      <c r="E18" s="28">
        <v>0</v>
      </c>
      <c r="F18" s="28">
        <f>E18/C18</f>
        <v>0</v>
      </c>
      <c r="G18" s="28">
        <f t="shared" ref="G18:G26" si="5">D18+E18</f>
        <v>69000</v>
      </c>
      <c r="H18" s="38">
        <f>B18+F18</f>
        <v>6900</v>
      </c>
      <c r="I18" s="407" t="s">
        <v>42</v>
      </c>
    </row>
    <row r="19" spans="1:9" x14ac:dyDescent="0.35">
      <c r="A19" s="403"/>
      <c r="B19" s="28">
        <v>6900</v>
      </c>
      <c r="C19" s="30">
        <v>25</v>
      </c>
      <c r="D19" s="28">
        <f t="shared" si="4"/>
        <v>172500</v>
      </c>
      <c r="E19" s="28">
        <v>0</v>
      </c>
      <c r="F19" s="28">
        <f t="shared" ref="F19:F26" si="6">E19/C19</f>
        <v>0</v>
      </c>
      <c r="G19" s="28">
        <f t="shared" si="5"/>
        <v>172500</v>
      </c>
      <c r="H19" s="38">
        <f t="shared" ref="H19:H26" si="7">B19+F19</f>
        <v>6900</v>
      </c>
      <c r="I19" s="407"/>
    </row>
    <row r="20" spans="1:9" x14ac:dyDescent="0.35">
      <c r="A20" s="395"/>
      <c r="B20" s="28">
        <v>6900</v>
      </c>
      <c r="C20" s="30">
        <v>50</v>
      </c>
      <c r="D20" s="28">
        <f t="shared" si="4"/>
        <v>345000</v>
      </c>
      <c r="E20" s="28">
        <v>0</v>
      </c>
      <c r="F20" s="28">
        <f t="shared" si="6"/>
        <v>0</v>
      </c>
      <c r="G20" s="28">
        <f t="shared" si="5"/>
        <v>345000</v>
      </c>
      <c r="H20" s="38">
        <f t="shared" si="7"/>
        <v>6900</v>
      </c>
      <c r="I20" s="407"/>
    </row>
    <row r="21" spans="1:9" ht="15" customHeight="1" x14ac:dyDescent="0.35">
      <c r="A21" s="394" t="s">
        <v>43</v>
      </c>
      <c r="B21" s="28">
        <v>2750</v>
      </c>
      <c r="C21" s="30">
        <v>10</v>
      </c>
      <c r="D21" s="28">
        <f t="shared" si="4"/>
        <v>27500</v>
      </c>
      <c r="E21" s="28">
        <v>8200</v>
      </c>
      <c r="F21" s="28">
        <f t="shared" si="6"/>
        <v>820</v>
      </c>
      <c r="G21" s="28">
        <f t="shared" si="5"/>
        <v>35700</v>
      </c>
      <c r="H21" s="38">
        <f t="shared" si="7"/>
        <v>3570</v>
      </c>
      <c r="I21" s="394" t="s">
        <v>44</v>
      </c>
    </row>
    <row r="22" spans="1:9" x14ac:dyDescent="0.35">
      <c r="A22" s="403"/>
      <c r="B22" s="28">
        <v>2750</v>
      </c>
      <c r="C22" s="30">
        <v>25</v>
      </c>
      <c r="D22" s="28">
        <f t="shared" si="4"/>
        <v>68750</v>
      </c>
      <c r="E22" s="28">
        <v>8200</v>
      </c>
      <c r="F22" s="28">
        <f t="shared" si="6"/>
        <v>328</v>
      </c>
      <c r="G22" s="28">
        <f t="shared" si="5"/>
        <v>76950</v>
      </c>
      <c r="H22" s="38">
        <f t="shared" si="7"/>
        <v>3078</v>
      </c>
      <c r="I22" s="403"/>
    </row>
    <row r="23" spans="1:9" x14ac:dyDescent="0.35">
      <c r="A23" s="395"/>
      <c r="B23" s="28">
        <v>2750</v>
      </c>
      <c r="C23" s="30">
        <v>50</v>
      </c>
      <c r="D23" s="28">
        <f t="shared" si="4"/>
        <v>137500</v>
      </c>
      <c r="E23" s="28">
        <v>8200</v>
      </c>
      <c r="F23" s="28">
        <f t="shared" si="6"/>
        <v>164</v>
      </c>
      <c r="G23" s="28">
        <f t="shared" si="5"/>
        <v>145700</v>
      </c>
      <c r="H23" s="38">
        <f t="shared" si="7"/>
        <v>2914</v>
      </c>
      <c r="I23" s="395"/>
    </row>
    <row r="24" spans="1:9" ht="15" customHeight="1" x14ac:dyDescent="0.35">
      <c r="A24" s="394" t="s">
        <v>45</v>
      </c>
      <c r="B24" s="28">
        <v>2000</v>
      </c>
      <c r="C24" s="30">
        <v>10</v>
      </c>
      <c r="D24" s="28">
        <f t="shared" si="4"/>
        <v>20000</v>
      </c>
      <c r="E24" s="28">
        <v>0</v>
      </c>
      <c r="F24" s="28">
        <f t="shared" si="6"/>
        <v>0</v>
      </c>
      <c r="G24" s="28">
        <f t="shared" si="5"/>
        <v>20000</v>
      </c>
      <c r="H24" s="38">
        <f t="shared" si="7"/>
        <v>2000</v>
      </c>
      <c r="I24" s="394" t="s">
        <v>46</v>
      </c>
    </row>
    <row r="25" spans="1:9" x14ac:dyDescent="0.35">
      <c r="A25" s="403"/>
      <c r="B25" s="28">
        <v>2000</v>
      </c>
      <c r="C25" s="30">
        <v>25</v>
      </c>
      <c r="D25" s="28">
        <f t="shared" si="4"/>
        <v>50000</v>
      </c>
      <c r="E25" s="28">
        <v>0</v>
      </c>
      <c r="F25" s="28">
        <f t="shared" si="6"/>
        <v>0</v>
      </c>
      <c r="G25" s="28">
        <f t="shared" si="5"/>
        <v>50000</v>
      </c>
      <c r="H25" s="38">
        <f t="shared" si="7"/>
        <v>2000</v>
      </c>
      <c r="I25" s="403"/>
    </row>
    <row r="26" spans="1:9" x14ac:dyDescent="0.35">
      <c r="A26" s="395"/>
      <c r="B26" s="28">
        <v>2000</v>
      </c>
      <c r="C26" s="30">
        <v>50</v>
      </c>
      <c r="D26" s="28">
        <f t="shared" si="4"/>
        <v>100000</v>
      </c>
      <c r="E26" s="28">
        <v>0</v>
      </c>
      <c r="F26" s="28">
        <f t="shared" si="6"/>
        <v>0</v>
      </c>
      <c r="G26" s="28">
        <f t="shared" si="5"/>
        <v>100000</v>
      </c>
      <c r="H26" s="38">
        <f t="shared" si="7"/>
        <v>2000</v>
      </c>
      <c r="I26" s="395"/>
    </row>
    <row r="30" spans="1:9" x14ac:dyDescent="0.35">
      <c r="A30" s="391" t="s">
        <v>47</v>
      </c>
      <c r="B30" s="391"/>
      <c r="C30" s="391"/>
      <c r="D30" s="391"/>
      <c r="E30" s="391"/>
      <c r="F30" s="391"/>
      <c r="G30" s="391"/>
      <c r="H30" s="391"/>
      <c r="I30" s="391"/>
    </row>
    <row r="31" spans="1:9" ht="29" x14ac:dyDescent="0.35">
      <c r="A31" s="13" t="s">
        <v>22</v>
      </c>
      <c r="B31" s="12" t="s">
        <v>23</v>
      </c>
      <c r="C31" s="12" t="s">
        <v>24</v>
      </c>
      <c r="D31" s="12" t="s">
        <v>25</v>
      </c>
      <c r="E31" s="12" t="s">
        <v>26</v>
      </c>
      <c r="F31" s="13" t="s">
        <v>27</v>
      </c>
      <c r="G31" s="12" t="s">
        <v>28</v>
      </c>
      <c r="H31" s="12" t="s">
        <v>29</v>
      </c>
      <c r="I31" s="13" t="s">
        <v>30</v>
      </c>
    </row>
    <row r="32" spans="1:9" ht="15" customHeight="1" x14ac:dyDescent="0.35">
      <c r="A32" s="394" t="s">
        <v>48</v>
      </c>
      <c r="B32" s="28">
        <v>250</v>
      </c>
      <c r="C32" s="30">
        <v>20</v>
      </c>
      <c r="D32" s="28">
        <f>C32*B32</f>
        <v>5000</v>
      </c>
      <c r="E32" s="28">
        <v>7300</v>
      </c>
      <c r="F32" s="28">
        <f>E32/C32</f>
        <v>365</v>
      </c>
      <c r="G32" s="28">
        <f>D32+E32</f>
        <v>12300</v>
      </c>
      <c r="H32" s="28">
        <f>B32+F32</f>
        <v>615</v>
      </c>
      <c r="I32" s="394" t="s">
        <v>49</v>
      </c>
    </row>
    <row r="33" spans="1:9" x14ac:dyDescent="0.35">
      <c r="A33" s="395"/>
      <c r="B33" s="28">
        <v>250</v>
      </c>
      <c r="C33" s="30">
        <v>40</v>
      </c>
      <c r="D33" s="28">
        <f>C33*B33</f>
        <v>10000</v>
      </c>
      <c r="E33" s="28">
        <v>7300</v>
      </c>
      <c r="F33" s="28">
        <f t="shared" ref="F33:F35" si="8">E33/C33</f>
        <v>182.5</v>
      </c>
      <c r="G33" s="28">
        <f>D33+E33</f>
        <v>17300</v>
      </c>
      <c r="H33" s="28">
        <f t="shared" ref="H33:H35" si="9">B33+F33</f>
        <v>432.5</v>
      </c>
      <c r="I33" s="395"/>
    </row>
    <row r="34" spans="1:9" ht="37" customHeight="1" x14ac:dyDescent="0.35">
      <c r="A34" s="13" t="s">
        <v>50</v>
      </c>
      <c r="B34" s="28">
        <v>100</v>
      </c>
      <c r="C34" s="30">
        <v>100</v>
      </c>
      <c r="D34" s="28">
        <f>C34*B34</f>
        <v>10000</v>
      </c>
      <c r="E34" s="28">
        <v>8200</v>
      </c>
      <c r="F34" s="28">
        <f t="shared" si="8"/>
        <v>82</v>
      </c>
      <c r="G34" s="28">
        <f>D34+E34</f>
        <v>18200</v>
      </c>
      <c r="H34" s="28">
        <f t="shared" si="9"/>
        <v>182</v>
      </c>
      <c r="I34" s="13" t="s">
        <v>51</v>
      </c>
    </row>
    <row r="35" spans="1:9" ht="30" customHeight="1" x14ac:dyDescent="0.35">
      <c r="A35" s="13" t="s">
        <v>41</v>
      </c>
      <c r="B35" s="28">
        <v>480</v>
      </c>
      <c r="C35" s="30">
        <v>20</v>
      </c>
      <c r="D35" s="28">
        <f>C35*B35</f>
        <v>9600</v>
      </c>
      <c r="E35" s="28">
        <v>0</v>
      </c>
      <c r="F35" s="28">
        <f t="shared" si="8"/>
        <v>0</v>
      </c>
      <c r="G35" s="28">
        <f>D35+E35</f>
        <v>9600</v>
      </c>
      <c r="H35" s="28">
        <f t="shared" si="9"/>
        <v>480</v>
      </c>
      <c r="I35" s="13" t="s">
        <v>52</v>
      </c>
    </row>
    <row r="39" spans="1:9" x14ac:dyDescent="0.35">
      <c r="A39" s="391" t="s">
        <v>53</v>
      </c>
      <c r="B39" s="391"/>
      <c r="C39" s="391"/>
      <c r="D39" s="391"/>
      <c r="E39" s="391"/>
      <c r="F39" s="391"/>
      <c r="G39" s="391"/>
      <c r="H39" s="391"/>
      <c r="I39" s="391"/>
    </row>
    <row r="40" spans="1:9" ht="29" x14ac:dyDescent="0.35">
      <c r="A40" s="13" t="s">
        <v>22</v>
      </c>
      <c r="B40" s="12" t="s">
        <v>23</v>
      </c>
      <c r="C40" s="12" t="s">
        <v>24</v>
      </c>
      <c r="D40" s="12" t="s">
        <v>25</v>
      </c>
      <c r="E40" s="12" t="s">
        <v>26</v>
      </c>
      <c r="F40" s="13" t="s">
        <v>27</v>
      </c>
      <c r="G40" s="12" t="s">
        <v>28</v>
      </c>
      <c r="H40" s="12" t="s">
        <v>29</v>
      </c>
      <c r="I40" s="13" t="s">
        <v>30</v>
      </c>
    </row>
    <row r="41" spans="1:9" ht="15" customHeight="1" x14ac:dyDescent="0.35">
      <c r="A41" s="394" t="s">
        <v>54</v>
      </c>
      <c r="B41" s="28">
        <v>1900</v>
      </c>
      <c r="C41" s="30">
        <v>10</v>
      </c>
      <c r="D41" s="28">
        <f t="shared" ref="D41:D49" si="10">C41*B41</f>
        <v>19000</v>
      </c>
      <c r="E41" s="28">
        <v>7225</v>
      </c>
      <c r="F41" s="28">
        <f>E41/C41</f>
        <v>722.5</v>
      </c>
      <c r="G41" s="28">
        <f t="shared" ref="G41:G49" si="11">E41+D41</f>
        <v>26225</v>
      </c>
      <c r="H41" s="38">
        <f>B41+F41</f>
        <v>2622.5</v>
      </c>
      <c r="I41" s="394" t="s">
        <v>55</v>
      </c>
    </row>
    <row r="42" spans="1:9" x14ac:dyDescent="0.35">
      <c r="A42" s="403"/>
      <c r="B42" s="28">
        <v>1900</v>
      </c>
      <c r="C42" s="30">
        <v>25</v>
      </c>
      <c r="D42" s="28">
        <f t="shared" si="10"/>
        <v>47500</v>
      </c>
      <c r="E42" s="28">
        <v>7225</v>
      </c>
      <c r="F42" s="28">
        <f t="shared" ref="F42:F49" si="12">E42/C42</f>
        <v>289</v>
      </c>
      <c r="G42" s="28">
        <f t="shared" si="11"/>
        <v>54725</v>
      </c>
      <c r="H42" s="38">
        <f t="shared" ref="H42:H49" si="13">B42+F42</f>
        <v>2189</v>
      </c>
      <c r="I42" s="403"/>
    </row>
    <row r="43" spans="1:9" x14ac:dyDescent="0.35">
      <c r="A43" s="395"/>
      <c r="B43" s="28">
        <v>1900</v>
      </c>
      <c r="C43" s="30">
        <v>50</v>
      </c>
      <c r="D43" s="28">
        <f t="shared" si="10"/>
        <v>95000</v>
      </c>
      <c r="E43" s="28">
        <v>7225</v>
      </c>
      <c r="F43" s="28">
        <f t="shared" si="12"/>
        <v>144.5</v>
      </c>
      <c r="G43" s="28">
        <f t="shared" si="11"/>
        <v>102225</v>
      </c>
      <c r="H43" s="38">
        <f t="shared" si="13"/>
        <v>2044.5</v>
      </c>
      <c r="I43" s="395"/>
    </row>
    <row r="44" spans="1:9" ht="15" customHeight="1" x14ac:dyDescent="0.35">
      <c r="A44" s="394" t="s">
        <v>56</v>
      </c>
      <c r="B44" s="28">
        <v>1998</v>
      </c>
      <c r="C44" s="30">
        <v>10</v>
      </c>
      <c r="D44" s="28">
        <f t="shared" si="10"/>
        <v>19980</v>
      </c>
      <c r="E44" s="28">
        <v>8200</v>
      </c>
      <c r="F44" s="28">
        <f t="shared" si="12"/>
        <v>820</v>
      </c>
      <c r="G44" s="28">
        <f t="shared" si="11"/>
        <v>28180</v>
      </c>
      <c r="H44" s="38">
        <f t="shared" si="13"/>
        <v>2818</v>
      </c>
      <c r="I44" s="394" t="s">
        <v>57</v>
      </c>
    </row>
    <row r="45" spans="1:9" x14ac:dyDescent="0.35">
      <c r="A45" s="403"/>
      <c r="B45" s="28">
        <v>1998</v>
      </c>
      <c r="C45" s="30">
        <v>25</v>
      </c>
      <c r="D45" s="28">
        <f t="shared" si="10"/>
        <v>49950</v>
      </c>
      <c r="E45" s="28">
        <v>8200</v>
      </c>
      <c r="F45" s="28">
        <f t="shared" si="12"/>
        <v>328</v>
      </c>
      <c r="G45" s="28">
        <f t="shared" si="11"/>
        <v>58150</v>
      </c>
      <c r="H45" s="38">
        <f t="shared" si="13"/>
        <v>2326</v>
      </c>
      <c r="I45" s="403"/>
    </row>
    <row r="46" spans="1:9" x14ac:dyDescent="0.35">
      <c r="A46" s="395"/>
      <c r="B46" s="28">
        <v>1998</v>
      </c>
      <c r="C46" s="30">
        <v>50</v>
      </c>
      <c r="D46" s="28">
        <f t="shared" si="10"/>
        <v>99900</v>
      </c>
      <c r="E46" s="28">
        <v>8200</v>
      </c>
      <c r="F46" s="28">
        <f t="shared" si="12"/>
        <v>164</v>
      </c>
      <c r="G46" s="28">
        <f t="shared" si="11"/>
        <v>108100</v>
      </c>
      <c r="H46" s="38">
        <f t="shared" si="13"/>
        <v>2162</v>
      </c>
      <c r="I46" s="395"/>
    </row>
    <row r="47" spans="1:9" ht="15" customHeight="1" x14ac:dyDescent="0.35">
      <c r="A47" s="394" t="s">
        <v>58</v>
      </c>
      <c r="B47" s="28">
        <v>9500</v>
      </c>
      <c r="C47" s="30">
        <v>10</v>
      </c>
      <c r="D47" s="28">
        <f t="shared" si="10"/>
        <v>95000</v>
      </c>
      <c r="E47" s="28">
        <v>8200</v>
      </c>
      <c r="F47" s="28">
        <f t="shared" si="12"/>
        <v>820</v>
      </c>
      <c r="G47" s="28">
        <f t="shared" si="11"/>
        <v>103200</v>
      </c>
      <c r="H47" s="38">
        <f t="shared" si="13"/>
        <v>10320</v>
      </c>
      <c r="I47" s="394" t="s">
        <v>59</v>
      </c>
    </row>
    <row r="48" spans="1:9" x14ac:dyDescent="0.35">
      <c r="A48" s="403"/>
      <c r="B48" s="28">
        <v>9500</v>
      </c>
      <c r="C48" s="30">
        <v>25</v>
      </c>
      <c r="D48" s="28">
        <f t="shared" si="10"/>
        <v>237500</v>
      </c>
      <c r="E48" s="28">
        <v>8200</v>
      </c>
      <c r="F48" s="28">
        <f t="shared" si="12"/>
        <v>328</v>
      </c>
      <c r="G48" s="28">
        <f t="shared" si="11"/>
        <v>245700</v>
      </c>
      <c r="H48" s="38">
        <f t="shared" si="13"/>
        <v>9828</v>
      </c>
      <c r="I48" s="403"/>
    </row>
    <row r="49" spans="1:9" x14ac:dyDescent="0.35">
      <c r="A49" s="395"/>
      <c r="B49" s="28">
        <v>9500</v>
      </c>
      <c r="C49" s="30">
        <v>50</v>
      </c>
      <c r="D49" s="28">
        <f t="shared" si="10"/>
        <v>475000</v>
      </c>
      <c r="E49" s="28">
        <v>8200</v>
      </c>
      <c r="F49" s="28">
        <f t="shared" si="12"/>
        <v>164</v>
      </c>
      <c r="G49" s="28">
        <f t="shared" si="11"/>
        <v>483200</v>
      </c>
      <c r="H49" s="38">
        <f t="shared" si="13"/>
        <v>9664</v>
      </c>
      <c r="I49" s="395"/>
    </row>
    <row r="50" spans="1:9" x14ac:dyDescent="0.35">
      <c r="A50" s="13"/>
      <c r="B50" s="34"/>
      <c r="C50" s="12"/>
      <c r="D50" s="14"/>
      <c r="E50" s="14"/>
      <c r="F50" s="14"/>
      <c r="G50" s="14"/>
      <c r="H50" s="14"/>
      <c r="I50" s="36"/>
    </row>
    <row r="53" spans="1:9" x14ac:dyDescent="0.35">
      <c r="A53" s="391" t="s">
        <v>60</v>
      </c>
      <c r="B53" s="391"/>
      <c r="C53" s="391"/>
      <c r="D53" s="391"/>
      <c r="E53" s="391"/>
      <c r="F53" s="391"/>
      <c r="G53" s="391"/>
      <c r="H53" s="391"/>
      <c r="I53" s="391"/>
    </row>
    <row r="54" spans="1:9" ht="29" x14ac:dyDescent="0.35">
      <c r="A54" s="13" t="s">
        <v>22</v>
      </c>
      <c r="B54" s="12" t="s">
        <v>23</v>
      </c>
      <c r="C54" s="12" t="s">
        <v>24</v>
      </c>
      <c r="D54" s="12" t="s">
        <v>25</v>
      </c>
      <c r="E54" s="12" t="s">
        <v>26</v>
      </c>
      <c r="F54" s="13" t="s">
        <v>27</v>
      </c>
      <c r="G54" s="12" t="s">
        <v>28</v>
      </c>
      <c r="H54" s="12" t="s">
        <v>29</v>
      </c>
      <c r="I54" s="13" t="s">
        <v>30</v>
      </c>
    </row>
    <row r="55" spans="1:9" ht="15" customHeight="1" x14ac:dyDescent="0.35">
      <c r="A55" s="394" t="s">
        <v>35</v>
      </c>
      <c r="B55" s="28">
        <v>720</v>
      </c>
      <c r="C55" s="30">
        <v>10</v>
      </c>
      <c r="D55" s="28">
        <f t="shared" ref="D55:D63" si="14">C55*B55</f>
        <v>7200</v>
      </c>
      <c r="E55" s="28">
        <v>9100</v>
      </c>
      <c r="F55" s="28">
        <f>E55/C55</f>
        <v>910</v>
      </c>
      <c r="G55" s="28">
        <f t="shared" ref="G55:G63" si="15">E55+D55</f>
        <v>16300</v>
      </c>
      <c r="H55" s="38">
        <f>B55+F55</f>
        <v>1630</v>
      </c>
      <c r="I55" s="394" t="s">
        <v>61</v>
      </c>
    </row>
    <row r="56" spans="1:9" x14ac:dyDescent="0.35">
      <c r="A56" s="403"/>
      <c r="B56" s="28">
        <v>720</v>
      </c>
      <c r="C56" s="30">
        <v>25</v>
      </c>
      <c r="D56" s="28">
        <f t="shared" si="14"/>
        <v>18000</v>
      </c>
      <c r="E56" s="28">
        <v>9100</v>
      </c>
      <c r="F56" s="28">
        <f t="shared" ref="F56:F63" si="16">E56/C56</f>
        <v>364</v>
      </c>
      <c r="G56" s="28">
        <f t="shared" si="15"/>
        <v>27100</v>
      </c>
      <c r="H56" s="38">
        <f t="shared" ref="H56:H63" si="17">B56+F56</f>
        <v>1084</v>
      </c>
      <c r="I56" s="403"/>
    </row>
    <row r="57" spans="1:9" x14ac:dyDescent="0.35">
      <c r="A57" s="395"/>
      <c r="B57" s="28">
        <v>720</v>
      </c>
      <c r="C57" s="30">
        <v>50</v>
      </c>
      <c r="D57" s="28">
        <f t="shared" si="14"/>
        <v>36000</v>
      </c>
      <c r="E57" s="28">
        <v>9100</v>
      </c>
      <c r="F57" s="28">
        <f t="shared" si="16"/>
        <v>182</v>
      </c>
      <c r="G57" s="28">
        <f t="shared" si="15"/>
        <v>45100</v>
      </c>
      <c r="H57" s="38">
        <f t="shared" si="17"/>
        <v>902</v>
      </c>
      <c r="I57" s="395"/>
    </row>
    <row r="58" spans="1:9" ht="15" customHeight="1" x14ac:dyDescent="0.35">
      <c r="A58" s="394" t="s">
        <v>62</v>
      </c>
      <c r="B58" s="28">
        <v>4112</v>
      </c>
      <c r="C58" s="30">
        <v>10</v>
      </c>
      <c r="D58" s="28">
        <f t="shared" si="14"/>
        <v>41120</v>
      </c>
      <c r="E58" s="28">
        <v>10500</v>
      </c>
      <c r="F58" s="28">
        <f t="shared" si="16"/>
        <v>1050</v>
      </c>
      <c r="G58" s="28">
        <f t="shared" si="15"/>
        <v>51620</v>
      </c>
      <c r="H58" s="38">
        <f t="shared" si="17"/>
        <v>5162</v>
      </c>
      <c r="I58" s="394" t="s">
        <v>63</v>
      </c>
    </row>
    <row r="59" spans="1:9" x14ac:dyDescent="0.35">
      <c r="A59" s="403"/>
      <c r="B59" s="28">
        <v>4112</v>
      </c>
      <c r="C59" s="30">
        <v>25</v>
      </c>
      <c r="D59" s="28">
        <f t="shared" si="14"/>
        <v>102800</v>
      </c>
      <c r="E59" s="28">
        <v>10500</v>
      </c>
      <c r="F59" s="28">
        <f t="shared" si="16"/>
        <v>420</v>
      </c>
      <c r="G59" s="28">
        <f t="shared" si="15"/>
        <v>113300</v>
      </c>
      <c r="H59" s="38">
        <f t="shared" si="17"/>
        <v>4532</v>
      </c>
      <c r="I59" s="403"/>
    </row>
    <row r="60" spans="1:9" x14ac:dyDescent="0.35">
      <c r="A60" s="395"/>
      <c r="B60" s="28">
        <v>4112</v>
      </c>
      <c r="C60" s="30">
        <v>50</v>
      </c>
      <c r="D60" s="28">
        <f t="shared" si="14"/>
        <v>205600</v>
      </c>
      <c r="E60" s="28">
        <v>10500</v>
      </c>
      <c r="F60" s="28">
        <f t="shared" si="16"/>
        <v>210</v>
      </c>
      <c r="G60" s="28">
        <f t="shared" si="15"/>
        <v>216100</v>
      </c>
      <c r="H60" s="38">
        <f t="shared" si="17"/>
        <v>4322</v>
      </c>
      <c r="I60" s="395"/>
    </row>
    <row r="61" spans="1:9" ht="15" customHeight="1" x14ac:dyDescent="0.35">
      <c r="A61" s="394" t="s">
        <v>64</v>
      </c>
      <c r="B61" s="28">
        <v>2333</v>
      </c>
      <c r="C61" s="30">
        <v>10</v>
      </c>
      <c r="D61" s="28">
        <f t="shared" si="14"/>
        <v>23330</v>
      </c>
      <c r="E61" s="28">
        <v>7300</v>
      </c>
      <c r="F61" s="28">
        <f t="shared" si="16"/>
        <v>730</v>
      </c>
      <c r="G61" s="28">
        <f t="shared" si="15"/>
        <v>30630</v>
      </c>
      <c r="H61" s="38">
        <f t="shared" si="17"/>
        <v>3063</v>
      </c>
      <c r="I61" s="394" t="s">
        <v>65</v>
      </c>
    </row>
    <row r="62" spans="1:9" x14ac:dyDescent="0.35">
      <c r="A62" s="403"/>
      <c r="B62" s="28">
        <v>2333</v>
      </c>
      <c r="C62" s="30">
        <v>25</v>
      </c>
      <c r="D62" s="28">
        <f t="shared" si="14"/>
        <v>58325</v>
      </c>
      <c r="E62" s="28">
        <v>7300</v>
      </c>
      <c r="F62" s="28">
        <f t="shared" si="16"/>
        <v>292</v>
      </c>
      <c r="G62" s="28">
        <f t="shared" si="15"/>
        <v>65625</v>
      </c>
      <c r="H62" s="38">
        <f t="shared" si="17"/>
        <v>2625</v>
      </c>
      <c r="I62" s="403"/>
    </row>
    <row r="63" spans="1:9" x14ac:dyDescent="0.35">
      <c r="A63" s="395"/>
      <c r="B63" s="28">
        <v>2333</v>
      </c>
      <c r="C63" s="30">
        <v>50</v>
      </c>
      <c r="D63" s="28">
        <f t="shared" si="14"/>
        <v>116650</v>
      </c>
      <c r="E63" s="28">
        <v>7300</v>
      </c>
      <c r="F63" s="28">
        <f t="shared" si="16"/>
        <v>146</v>
      </c>
      <c r="G63" s="28">
        <f t="shared" si="15"/>
        <v>123950</v>
      </c>
      <c r="H63" s="28">
        <f t="shared" si="17"/>
        <v>2479</v>
      </c>
      <c r="I63" s="395"/>
    </row>
    <row r="66" spans="1:9" x14ac:dyDescent="0.35">
      <c r="A66" s="391" t="s">
        <v>66</v>
      </c>
      <c r="B66" s="391"/>
      <c r="C66" s="391"/>
      <c r="D66" s="391"/>
      <c r="E66" s="391"/>
      <c r="F66" s="391"/>
      <c r="G66" s="391"/>
      <c r="H66" s="391"/>
      <c r="I66" s="391"/>
    </row>
    <row r="67" spans="1:9" ht="29" x14ac:dyDescent="0.35">
      <c r="A67" s="13" t="s">
        <v>22</v>
      </c>
      <c r="B67" s="12" t="s">
        <v>23</v>
      </c>
      <c r="C67" s="12" t="s">
        <v>24</v>
      </c>
      <c r="D67" s="12" t="s">
        <v>25</v>
      </c>
      <c r="E67" s="12" t="s">
        <v>26</v>
      </c>
      <c r="F67" s="13" t="s">
        <v>27</v>
      </c>
      <c r="G67" s="12" t="s">
        <v>28</v>
      </c>
      <c r="H67" s="12" t="s">
        <v>29</v>
      </c>
      <c r="I67" s="13" t="s">
        <v>30</v>
      </c>
    </row>
    <row r="68" spans="1:9" x14ac:dyDescent="0.35">
      <c r="A68" s="401" t="s">
        <v>67</v>
      </c>
      <c r="B68" s="400">
        <f>5700/10</f>
        <v>570</v>
      </c>
      <c r="C68" s="402">
        <v>50</v>
      </c>
      <c r="D68" s="400">
        <f t="shared" ref="D68" si="18">C68*B68</f>
        <v>28500</v>
      </c>
      <c r="E68" s="400">
        <v>9100</v>
      </c>
      <c r="F68" s="396">
        <f>E68/C68</f>
        <v>182</v>
      </c>
      <c r="G68" s="400">
        <f>E68+D68</f>
        <v>37600</v>
      </c>
      <c r="H68" s="396">
        <f>B68+F68</f>
        <v>752</v>
      </c>
      <c r="I68" s="401" t="s">
        <v>68</v>
      </c>
    </row>
    <row r="69" spans="1:9" x14ac:dyDescent="0.35">
      <c r="A69" s="401"/>
      <c r="B69" s="400"/>
      <c r="C69" s="402"/>
      <c r="D69" s="400"/>
      <c r="E69" s="400"/>
      <c r="F69" s="397"/>
      <c r="G69" s="400"/>
      <c r="H69" s="397"/>
      <c r="I69" s="401"/>
    </row>
    <row r="70" spans="1:9" x14ac:dyDescent="0.35">
      <c r="A70" s="401" t="s">
        <v>69</v>
      </c>
      <c r="B70" s="400">
        <v>200</v>
      </c>
      <c r="C70" s="402">
        <v>50</v>
      </c>
      <c r="D70" s="400">
        <f>C70*B70</f>
        <v>10000</v>
      </c>
      <c r="E70" s="400">
        <v>6800</v>
      </c>
      <c r="F70" s="396">
        <f t="shared" ref="F70:F72" si="19">E70/C70</f>
        <v>136</v>
      </c>
      <c r="G70" s="400">
        <f>E70+D70</f>
        <v>16800</v>
      </c>
      <c r="H70" s="396">
        <f t="shared" ref="H70:H72" si="20">B70+F70</f>
        <v>336</v>
      </c>
      <c r="I70" s="401" t="s">
        <v>70</v>
      </c>
    </row>
    <row r="71" spans="1:9" x14ac:dyDescent="0.35">
      <c r="A71" s="401"/>
      <c r="B71" s="400"/>
      <c r="C71" s="402"/>
      <c r="D71" s="400"/>
      <c r="E71" s="400"/>
      <c r="F71" s="397"/>
      <c r="G71" s="400"/>
      <c r="H71" s="397"/>
      <c r="I71" s="401"/>
    </row>
    <row r="72" spans="1:9" x14ac:dyDescent="0.35">
      <c r="A72" s="401" t="s">
        <v>71</v>
      </c>
      <c r="B72" s="400">
        <v>250</v>
      </c>
      <c r="C72" s="402">
        <v>50</v>
      </c>
      <c r="D72" s="400">
        <f>C72*B72</f>
        <v>12500</v>
      </c>
      <c r="E72" s="400">
        <v>6800</v>
      </c>
      <c r="F72" s="396">
        <f t="shared" si="19"/>
        <v>136</v>
      </c>
      <c r="G72" s="400">
        <f>E72+D72</f>
        <v>19300</v>
      </c>
      <c r="H72" s="400">
        <f t="shared" si="20"/>
        <v>386</v>
      </c>
      <c r="I72" s="401" t="s">
        <v>72</v>
      </c>
    </row>
    <row r="73" spans="1:9" x14ac:dyDescent="0.35">
      <c r="A73" s="401"/>
      <c r="B73" s="400"/>
      <c r="C73" s="402"/>
      <c r="D73" s="400"/>
      <c r="E73" s="400"/>
      <c r="F73" s="397"/>
      <c r="G73" s="400"/>
      <c r="H73" s="400"/>
      <c r="I73" s="401"/>
    </row>
    <row r="74" spans="1:9" x14ac:dyDescent="0.35">
      <c r="B74" s="41"/>
      <c r="C74" s="42"/>
      <c r="D74" s="41"/>
      <c r="E74" s="41"/>
      <c r="F74" s="41"/>
      <c r="G74" s="41"/>
      <c r="H74" s="41"/>
      <c r="I74" s="4"/>
    </row>
    <row r="75" spans="1:9" x14ac:dyDescent="0.35">
      <c r="B75" s="41"/>
      <c r="C75" s="42"/>
      <c r="D75" s="41"/>
      <c r="E75" s="41"/>
      <c r="F75" s="41"/>
      <c r="G75" s="41"/>
      <c r="H75" s="41"/>
      <c r="I75" s="43"/>
    </row>
    <row r="76" spans="1:9" x14ac:dyDescent="0.35">
      <c r="A76" s="391" t="s">
        <v>73</v>
      </c>
      <c r="B76" s="391"/>
      <c r="C76" s="391"/>
      <c r="D76" s="391"/>
      <c r="E76" s="391"/>
      <c r="F76" s="391"/>
      <c r="G76" s="391"/>
      <c r="H76" s="391"/>
      <c r="I76" s="391"/>
    </row>
    <row r="77" spans="1:9" ht="29" x14ac:dyDescent="0.35">
      <c r="A77" s="13" t="s">
        <v>22</v>
      </c>
      <c r="B77" s="12" t="s">
        <v>23</v>
      </c>
      <c r="C77" s="12" t="s">
        <v>24</v>
      </c>
      <c r="D77" s="12" t="s">
        <v>25</v>
      </c>
      <c r="E77" s="12" t="s">
        <v>26</v>
      </c>
      <c r="F77" s="13" t="s">
        <v>27</v>
      </c>
      <c r="G77" s="12" t="s">
        <v>28</v>
      </c>
      <c r="H77" s="12" t="s">
        <v>29</v>
      </c>
      <c r="I77" s="13" t="s">
        <v>30</v>
      </c>
    </row>
    <row r="78" spans="1:9" ht="14.5" customHeight="1" x14ac:dyDescent="0.35">
      <c r="A78" s="401" t="s">
        <v>74</v>
      </c>
      <c r="B78" s="400">
        <f>23431/C78</f>
        <v>39.051666666666669</v>
      </c>
      <c r="C78" s="402">
        <v>600</v>
      </c>
      <c r="D78" s="400">
        <f>C78*B78</f>
        <v>23431</v>
      </c>
      <c r="E78" s="400">
        <v>8450</v>
      </c>
      <c r="F78" s="396">
        <f>E78/C78</f>
        <v>14.083333333333334</v>
      </c>
      <c r="G78" s="400">
        <f>E78+D78</f>
        <v>31881</v>
      </c>
      <c r="H78" s="396">
        <f>B78+F78</f>
        <v>53.135000000000005</v>
      </c>
      <c r="I78" s="401" t="s">
        <v>75</v>
      </c>
    </row>
    <row r="79" spans="1:9" x14ac:dyDescent="0.35">
      <c r="A79" s="401"/>
      <c r="B79" s="400"/>
      <c r="C79" s="402"/>
      <c r="D79" s="400"/>
      <c r="E79" s="400"/>
      <c r="F79" s="397"/>
      <c r="G79" s="400"/>
      <c r="H79" s="397"/>
      <c r="I79" s="401"/>
    </row>
    <row r="80" spans="1:9" x14ac:dyDescent="0.35">
      <c r="A80" s="27"/>
      <c r="B80" s="39"/>
      <c r="C80" s="40"/>
      <c r="D80" s="39"/>
      <c r="E80" s="39"/>
      <c r="F80" s="39"/>
      <c r="G80" s="39"/>
      <c r="H80" s="39"/>
      <c r="I80" s="32"/>
    </row>
    <row r="82" spans="1:9" x14ac:dyDescent="0.35">
      <c r="A82" s="391" t="s">
        <v>76</v>
      </c>
      <c r="B82" s="391"/>
      <c r="C82" s="391"/>
      <c r="D82" s="391"/>
      <c r="E82" s="391"/>
      <c r="F82" s="391"/>
      <c r="G82" s="391"/>
      <c r="H82" s="391"/>
      <c r="I82" s="391"/>
    </row>
    <row r="83" spans="1:9" ht="29" x14ac:dyDescent="0.35">
      <c r="A83" s="13" t="s">
        <v>22</v>
      </c>
      <c r="B83" s="12" t="s">
        <v>23</v>
      </c>
      <c r="C83" s="12" t="s">
        <v>24</v>
      </c>
      <c r="D83" s="12" t="s">
        <v>25</v>
      </c>
      <c r="E83" s="12" t="s">
        <v>26</v>
      </c>
      <c r="F83" s="13" t="s">
        <v>27</v>
      </c>
      <c r="G83" s="12" t="s">
        <v>28</v>
      </c>
      <c r="H83" s="12" t="s">
        <v>29</v>
      </c>
      <c r="I83" s="13" t="s">
        <v>30</v>
      </c>
    </row>
    <row r="84" spans="1:9" x14ac:dyDescent="0.35">
      <c r="A84" s="401" t="s">
        <v>77</v>
      </c>
      <c r="B84" s="400">
        <v>10900</v>
      </c>
      <c r="C84" s="402">
        <v>10</v>
      </c>
      <c r="D84" s="400">
        <f>C84*B84</f>
        <v>109000</v>
      </c>
      <c r="E84" s="400">
        <v>8500</v>
      </c>
      <c r="F84" s="400">
        <f>E84/C84</f>
        <v>850</v>
      </c>
      <c r="G84" s="400">
        <f>E84+D84</f>
        <v>117500</v>
      </c>
      <c r="H84" s="400">
        <f>B84+F84</f>
        <v>11750</v>
      </c>
      <c r="I84" s="408" t="s">
        <v>78</v>
      </c>
    </row>
    <row r="85" spans="1:9" x14ac:dyDescent="0.35">
      <c r="A85" s="401"/>
      <c r="B85" s="400"/>
      <c r="C85" s="402"/>
      <c r="D85" s="400"/>
      <c r="E85" s="400"/>
      <c r="F85" s="400"/>
      <c r="G85" s="400"/>
      <c r="H85" s="400"/>
      <c r="I85" s="408"/>
    </row>
    <row r="86" spans="1:9" x14ac:dyDescent="0.35">
      <c r="A86" s="401" t="s">
        <v>79</v>
      </c>
      <c r="B86" s="400">
        <v>29750</v>
      </c>
      <c r="C86" s="402">
        <v>10</v>
      </c>
      <c r="D86" s="400">
        <f>C86*B86</f>
        <v>297500</v>
      </c>
      <c r="E86" s="400">
        <v>40511</v>
      </c>
      <c r="F86" s="400">
        <f>E86/C86</f>
        <v>4051.1</v>
      </c>
      <c r="G86" s="400">
        <f>E86+D86</f>
        <v>338011</v>
      </c>
      <c r="H86" s="400">
        <f>B86+F86</f>
        <v>33801.1</v>
      </c>
      <c r="I86" s="401" t="s">
        <v>80</v>
      </c>
    </row>
    <row r="87" spans="1:9" x14ac:dyDescent="0.35">
      <c r="A87" s="401"/>
      <c r="B87" s="400"/>
      <c r="C87" s="402"/>
      <c r="D87" s="400"/>
      <c r="E87" s="400"/>
      <c r="F87" s="400"/>
      <c r="G87" s="400"/>
      <c r="H87" s="400"/>
      <c r="I87" s="401"/>
    </row>
    <row r="88" spans="1:9" x14ac:dyDescent="0.35">
      <c r="A88" s="394"/>
      <c r="B88" s="396"/>
      <c r="C88" s="398"/>
      <c r="D88" s="396"/>
      <c r="E88" s="396"/>
      <c r="F88" s="396"/>
      <c r="G88" s="396"/>
      <c r="H88" s="396"/>
      <c r="I88" s="394"/>
    </row>
    <row r="89" spans="1:9" x14ac:dyDescent="0.35">
      <c r="A89" s="395"/>
      <c r="B89" s="397"/>
      <c r="C89" s="399"/>
      <c r="D89" s="397"/>
      <c r="E89" s="397"/>
      <c r="F89" s="397"/>
      <c r="G89" s="397"/>
      <c r="H89" s="397"/>
      <c r="I89" s="395"/>
    </row>
    <row r="90" spans="1:9" x14ac:dyDescent="0.35">
      <c r="A90" s="401" t="s">
        <v>81</v>
      </c>
      <c r="B90" s="400">
        <v>10853</v>
      </c>
      <c r="C90" s="402">
        <v>10</v>
      </c>
      <c r="D90" s="400">
        <f>C90*B90</f>
        <v>108530</v>
      </c>
      <c r="E90" s="400">
        <v>8450</v>
      </c>
      <c r="F90" s="400">
        <f>E90/C90</f>
        <v>845</v>
      </c>
      <c r="G90" s="400">
        <f>E90+D90</f>
        <v>116980</v>
      </c>
      <c r="H90" s="400">
        <f>B90+F90</f>
        <v>11698</v>
      </c>
      <c r="I90" s="401" t="s">
        <v>82</v>
      </c>
    </row>
    <row r="91" spans="1:9" x14ac:dyDescent="0.35">
      <c r="A91" s="401"/>
      <c r="B91" s="400"/>
      <c r="C91" s="402"/>
      <c r="D91" s="400"/>
      <c r="E91" s="400"/>
      <c r="F91" s="400"/>
      <c r="G91" s="400"/>
      <c r="H91" s="400"/>
      <c r="I91" s="401"/>
    </row>
    <row r="92" spans="1:9" ht="14.5" customHeight="1" x14ac:dyDescent="0.35">
      <c r="I92" s="48"/>
    </row>
    <row r="93" spans="1:9" x14ac:dyDescent="0.35">
      <c r="B93" s="41"/>
      <c r="C93" s="42"/>
      <c r="D93" s="41"/>
      <c r="E93" s="41"/>
      <c r="F93" s="41"/>
      <c r="G93" s="41"/>
      <c r="H93" s="41"/>
      <c r="I93" s="43"/>
    </row>
    <row r="94" spans="1:9" x14ac:dyDescent="0.35">
      <c r="B94" s="41"/>
      <c r="C94" s="42"/>
      <c r="D94" s="41"/>
      <c r="E94" s="41"/>
      <c r="F94" s="41"/>
      <c r="G94" s="41"/>
      <c r="H94" s="41"/>
      <c r="I94" s="43"/>
    </row>
    <row r="97" spans="1:9" x14ac:dyDescent="0.35">
      <c r="A97" s="391" t="s">
        <v>83</v>
      </c>
      <c r="B97" s="391"/>
      <c r="C97" s="391"/>
      <c r="D97" s="391"/>
      <c r="E97" s="391"/>
      <c r="F97" s="391"/>
      <c r="G97" s="391"/>
      <c r="H97" s="391"/>
      <c r="I97" s="391"/>
    </row>
    <row r="98" spans="1:9" ht="29" x14ac:dyDescent="0.35">
      <c r="A98" s="13" t="s">
        <v>22</v>
      </c>
      <c r="B98" s="12" t="s">
        <v>23</v>
      </c>
      <c r="C98" s="12" t="s">
        <v>84</v>
      </c>
      <c r="D98" s="12" t="s">
        <v>25</v>
      </c>
      <c r="E98" s="12" t="s">
        <v>26</v>
      </c>
      <c r="F98" s="13" t="s">
        <v>27</v>
      </c>
      <c r="G98" s="12" t="s">
        <v>28</v>
      </c>
      <c r="H98" s="12" t="s">
        <v>29</v>
      </c>
      <c r="I98" s="13" t="s">
        <v>30</v>
      </c>
    </row>
    <row r="99" spans="1:9" ht="14.5" customHeight="1" x14ac:dyDescent="0.35">
      <c r="A99" s="394" t="s">
        <v>85</v>
      </c>
      <c r="B99" s="396">
        <v>75000</v>
      </c>
      <c r="C99" s="398">
        <v>1</v>
      </c>
      <c r="D99" s="396">
        <f>B99</f>
        <v>75000</v>
      </c>
      <c r="E99" s="396">
        <v>0</v>
      </c>
      <c r="F99" s="396">
        <f>E99/C99</f>
        <v>0</v>
      </c>
      <c r="G99" s="396">
        <f>E99+D99</f>
        <v>75000</v>
      </c>
      <c r="H99" s="396">
        <f>B99+F99</f>
        <v>75000</v>
      </c>
      <c r="I99" s="401" t="s">
        <v>86</v>
      </c>
    </row>
    <row r="100" spans="1:9" x14ac:dyDescent="0.35">
      <c r="A100" s="395"/>
      <c r="B100" s="397"/>
      <c r="C100" s="399"/>
      <c r="D100" s="397"/>
      <c r="E100" s="397"/>
      <c r="F100" s="397"/>
      <c r="G100" s="397"/>
      <c r="H100" s="397"/>
      <c r="I100" s="401"/>
    </row>
    <row r="101" spans="1:9" x14ac:dyDescent="0.35">
      <c r="B101" s="41"/>
      <c r="C101" s="42"/>
      <c r="D101" s="41"/>
      <c r="E101" s="41"/>
      <c r="F101" s="41"/>
      <c r="G101" s="41"/>
      <c r="H101" s="41"/>
      <c r="I101" s="43"/>
    </row>
    <row r="102" spans="1:9" ht="15" customHeight="1" x14ac:dyDescent="0.35">
      <c r="B102" s="41"/>
      <c r="C102" s="42"/>
      <c r="D102" s="41"/>
      <c r="E102" s="41"/>
      <c r="F102" s="41"/>
      <c r="G102" s="41"/>
      <c r="H102" s="41"/>
      <c r="I102" s="4"/>
    </row>
    <row r="103" spans="1:9" ht="15" customHeight="1" x14ac:dyDescent="0.35">
      <c r="B103" s="41"/>
      <c r="C103" s="42"/>
      <c r="D103" s="41"/>
      <c r="E103" s="41"/>
      <c r="F103" s="41"/>
      <c r="G103" s="41"/>
      <c r="H103" s="41"/>
      <c r="I103" s="4"/>
    </row>
    <row r="104" spans="1:9" x14ac:dyDescent="0.35">
      <c r="A104" s="391" t="s">
        <v>87</v>
      </c>
      <c r="B104" s="391"/>
      <c r="C104" s="391"/>
      <c r="D104" s="391"/>
      <c r="E104" s="391"/>
      <c r="F104" s="391"/>
      <c r="G104" s="391"/>
      <c r="H104" s="391"/>
      <c r="I104" s="391"/>
    </row>
    <row r="105" spans="1:9" ht="29" x14ac:dyDescent="0.35">
      <c r="A105" s="13" t="s">
        <v>22</v>
      </c>
      <c r="B105" s="12" t="s">
        <v>23</v>
      </c>
      <c r="C105" s="12" t="s">
        <v>24</v>
      </c>
      <c r="D105" s="12" t="s">
        <v>25</v>
      </c>
      <c r="E105" s="12" t="s">
        <v>26</v>
      </c>
      <c r="F105" s="13" t="s">
        <v>27</v>
      </c>
      <c r="G105" s="12" t="s">
        <v>28</v>
      </c>
      <c r="H105" s="12" t="s">
        <v>29</v>
      </c>
      <c r="I105" s="13" t="s">
        <v>30</v>
      </c>
    </row>
    <row r="106" spans="1:9" ht="14.5" customHeight="1" x14ac:dyDescent="0.35">
      <c r="A106" s="401" t="s">
        <v>88</v>
      </c>
      <c r="B106" s="400">
        <f>32500/C106</f>
        <v>650</v>
      </c>
      <c r="C106" s="398">
        <v>50</v>
      </c>
      <c r="D106" s="396">
        <f>C106*B106</f>
        <v>32500</v>
      </c>
      <c r="E106" s="396">
        <v>9700</v>
      </c>
      <c r="F106" s="396">
        <f>E106/C106</f>
        <v>194</v>
      </c>
      <c r="G106" s="396">
        <f>E106+D106</f>
        <v>42200</v>
      </c>
      <c r="H106" s="396">
        <f>B106+F106</f>
        <v>844</v>
      </c>
      <c r="I106" s="401" t="s">
        <v>89</v>
      </c>
    </row>
    <row r="107" spans="1:9" x14ac:dyDescent="0.35">
      <c r="A107" s="401"/>
      <c r="B107" s="400"/>
      <c r="C107" s="399"/>
      <c r="D107" s="397"/>
      <c r="E107" s="397"/>
      <c r="F107" s="397"/>
      <c r="G107" s="397"/>
      <c r="H107" s="397"/>
      <c r="I107" s="401"/>
    </row>
    <row r="108" spans="1:9" x14ac:dyDescent="0.35">
      <c r="A108" s="401" t="s">
        <v>90</v>
      </c>
      <c r="B108" s="400">
        <v>690</v>
      </c>
      <c r="C108" s="398">
        <v>50</v>
      </c>
      <c r="D108" s="396">
        <f>C108*B108</f>
        <v>34500</v>
      </c>
      <c r="E108" s="396">
        <v>9100</v>
      </c>
      <c r="F108" s="396">
        <f>E108/C108</f>
        <v>182</v>
      </c>
      <c r="G108" s="396">
        <f>E108+D108</f>
        <v>43600</v>
      </c>
      <c r="H108" s="396">
        <f t="shared" ref="H108" si="21">B108+F108</f>
        <v>872</v>
      </c>
      <c r="I108" s="401" t="s">
        <v>91</v>
      </c>
    </row>
    <row r="109" spans="1:9" x14ac:dyDescent="0.35">
      <c r="A109" s="401"/>
      <c r="B109" s="400"/>
      <c r="C109" s="399"/>
      <c r="D109" s="397"/>
      <c r="E109" s="397"/>
      <c r="F109" s="397"/>
      <c r="G109" s="397"/>
      <c r="H109" s="397"/>
      <c r="I109" s="401"/>
    </row>
    <row r="110" spans="1:9" ht="14.5" customHeight="1" x14ac:dyDescent="0.35">
      <c r="A110" s="401" t="s">
        <v>71</v>
      </c>
      <c r="B110" s="400">
        <v>70</v>
      </c>
      <c r="C110" s="402">
        <v>50</v>
      </c>
      <c r="D110" s="400">
        <f>C110*B110</f>
        <v>3500</v>
      </c>
      <c r="E110" s="400">
        <v>6800</v>
      </c>
      <c r="F110" s="396">
        <f t="shared" ref="F110" si="22">E110/C110</f>
        <v>136</v>
      </c>
      <c r="G110" s="400">
        <f>E110+D110</f>
        <v>10300</v>
      </c>
      <c r="H110" s="396">
        <f t="shared" ref="H110" si="23">B110+F110</f>
        <v>206</v>
      </c>
      <c r="I110" s="401" t="s">
        <v>92</v>
      </c>
    </row>
    <row r="111" spans="1:9" x14ac:dyDescent="0.35">
      <c r="A111" s="401"/>
      <c r="B111" s="400"/>
      <c r="C111" s="402"/>
      <c r="D111" s="400"/>
      <c r="E111" s="400"/>
      <c r="F111" s="397"/>
      <c r="G111" s="400"/>
      <c r="H111" s="397"/>
      <c r="I111" s="401"/>
    </row>
    <row r="114" spans="1:10" x14ac:dyDescent="0.35">
      <c r="A114" s="391" t="s">
        <v>93</v>
      </c>
      <c r="B114" s="391"/>
      <c r="C114" s="391"/>
      <c r="D114" s="391"/>
      <c r="E114" s="391"/>
      <c r="F114" s="391"/>
      <c r="G114" s="391"/>
      <c r="H114" s="391"/>
      <c r="I114" s="391"/>
    </row>
    <row r="115" spans="1:10" ht="29" x14ac:dyDescent="0.35">
      <c r="A115" s="13" t="s">
        <v>22</v>
      </c>
      <c r="B115" s="12" t="s">
        <v>23</v>
      </c>
      <c r="C115" s="12" t="s">
        <v>24</v>
      </c>
      <c r="D115" s="12" t="s">
        <v>25</v>
      </c>
      <c r="E115" s="12" t="s">
        <v>26</v>
      </c>
      <c r="F115" s="13" t="s">
        <v>27</v>
      </c>
      <c r="G115" s="12" t="s">
        <v>28</v>
      </c>
      <c r="H115" s="12" t="s">
        <v>29</v>
      </c>
      <c r="I115" s="13" t="s">
        <v>30</v>
      </c>
    </row>
    <row r="116" spans="1:10" ht="14.5" customHeight="1" x14ac:dyDescent="0.35">
      <c r="A116" s="13" t="s">
        <v>94</v>
      </c>
      <c r="B116" s="29">
        <v>49900</v>
      </c>
      <c r="C116" s="31">
        <v>1</v>
      </c>
      <c r="D116" s="29">
        <f>C116*B116</f>
        <v>49900</v>
      </c>
      <c r="E116" s="29">
        <v>7735</v>
      </c>
      <c r="F116" s="29">
        <f>E116/C116</f>
        <v>7735</v>
      </c>
      <c r="G116" s="29">
        <f>E116+D116</f>
        <v>57635</v>
      </c>
      <c r="H116" s="28">
        <f>B116+F116</f>
        <v>57635</v>
      </c>
      <c r="I116" s="44" t="s">
        <v>95</v>
      </c>
    </row>
    <row r="117" spans="1:10" x14ac:dyDescent="0.35">
      <c r="B117" s="45"/>
      <c r="C117" s="46"/>
      <c r="D117" s="45"/>
      <c r="E117" s="45"/>
      <c r="F117" s="45"/>
      <c r="G117" s="45"/>
      <c r="H117" s="45"/>
      <c r="I117" s="43"/>
    </row>
    <row r="118" spans="1:10" x14ac:dyDescent="0.35">
      <c r="A118" s="391" t="s">
        <v>96</v>
      </c>
      <c r="B118" s="391"/>
      <c r="C118" s="391"/>
      <c r="D118" s="391"/>
      <c r="E118" s="391"/>
      <c r="F118" s="391"/>
      <c r="G118" s="391"/>
      <c r="H118" s="391"/>
      <c r="I118" s="391"/>
    </row>
    <row r="119" spans="1:10" ht="29" x14ac:dyDescent="0.35">
      <c r="A119" s="13" t="s">
        <v>22</v>
      </c>
      <c r="B119" s="12" t="s">
        <v>23</v>
      </c>
      <c r="C119" s="12" t="s">
        <v>24</v>
      </c>
      <c r="D119" s="12" t="s">
        <v>25</v>
      </c>
      <c r="E119" s="12" t="s">
        <v>26</v>
      </c>
      <c r="F119" s="13" t="s">
        <v>27</v>
      </c>
      <c r="G119" s="12" t="s">
        <v>28</v>
      </c>
      <c r="H119" s="12" t="s">
        <v>29</v>
      </c>
      <c r="I119" s="13" t="s">
        <v>30</v>
      </c>
    </row>
    <row r="120" spans="1:10" ht="36.75" customHeight="1" x14ac:dyDescent="0.35">
      <c r="A120" s="13" t="s">
        <v>97</v>
      </c>
      <c r="B120" s="29">
        <v>33500</v>
      </c>
      <c r="C120" s="31">
        <v>1</v>
      </c>
      <c r="D120" s="29">
        <f>C120*B120</f>
        <v>33500</v>
      </c>
      <c r="E120" s="29">
        <v>6970</v>
      </c>
      <c r="F120" s="29">
        <f>E120/C120</f>
        <v>6970</v>
      </c>
      <c r="G120" s="29">
        <f>E120+D120</f>
        <v>40470</v>
      </c>
      <c r="H120" s="28">
        <f>B120+F120</f>
        <v>40470</v>
      </c>
      <c r="I120" s="44" t="s">
        <v>98</v>
      </c>
    </row>
    <row r="122" spans="1:10" x14ac:dyDescent="0.35">
      <c r="A122" s="391" t="s">
        <v>99</v>
      </c>
      <c r="B122" s="391"/>
      <c r="C122" s="391"/>
      <c r="D122" s="391"/>
      <c r="E122" s="391"/>
      <c r="F122" s="391"/>
      <c r="G122" s="391"/>
      <c r="H122" s="391"/>
      <c r="I122" s="391"/>
    </row>
    <row r="123" spans="1:10" ht="29" x14ac:dyDescent="0.35">
      <c r="A123" s="13" t="s">
        <v>22</v>
      </c>
      <c r="B123" s="12" t="s">
        <v>23</v>
      </c>
      <c r="C123" s="12" t="s">
        <v>24</v>
      </c>
      <c r="D123" s="12" t="s">
        <v>25</v>
      </c>
      <c r="E123" s="12" t="s">
        <v>26</v>
      </c>
      <c r="F123" s="13" t="s">
        <v>27</v>
      </c>
      <c r="G123" s="12" t="s">
        <v>28</v>
      </c>
      <c r="H123" s="12" t="s">
        <v>29</v>
      </c>
      <c r="I123" s="13" t="s">
        <v>30</v>
      </c>
    </row>
    <row r="124" spans="1:10" ht="19.5" customHeight="1" x14ac:dyDescent="0.35">
      <c r="A124" s="13"/>
      <c r="B124" s="29">
        <v>0</v>
      </c>
      <c r="C124" s="31">
        <v>1</v>
      </c>
      <c r="D124" s="29">
        <f>C124*B124</f>
        <v>0</v>
      </c>
      <c r="E124" s="29">
        <v>0</v>
      </c>
      <c r="F124" s="29">
        <f>E124/C124</f>
        <v>0</v>
      </c>
      <c r="G124" s="29">
        <f>E124+D124</f>
        <v>0</v>
      </c>
      <c r="H124" s="28">
        <f>B124+F124</f>
        <v>0</v>
      </c>
      <c r="I124" s="44" t="s">
        <v>98</v>
      </c>
    </row>
    <row r="126" spans="1:10" x14ac:dyDescent="0.35">
      <c r="A126" s="391" t="s">
        <v>100</v>
      </c>
      <c r="B126" s="391"/>
      <c r="C126" s="391"/>
      <c r="D126" s="391"/>
      <c r="E126" s="391"/>
      <c r="F126" s="391"/>
      <c r="G126" s="391"/>
      <c r="H126" s="391"/>
      <c r="I126" s="391"/>
    </row>
    <row r="127" spans="1:10" ht="29" x14ac:dyDescent="0.35">
      <c r="A127" s="13" t="s">
        <v>22</v>
      </c>
      <c r="B127" s="12" t="s">
        <v>23</v>
      </c>
      <c r="C127" s="12" t="s">
        <v>24</v>
      </c>
      <c r="D127" s="12" t="s">
        <v>25</v>
      </c>
      <c r="E127" s="12" t="s">
        <v>26</v>
      </c>
      <c r="F127" s="13" t="s">
        <v>27</v>
      </c>
      <c r="G127" s="12" t="s">
        <v>28</v>
      </c>
      <c r="H127" s="12" t="s">
        <v>29</v>
      </c>
      <c r="I127" s="13" t="s">
        <v>30</v>
      </c>
    </row>
    <row r="128" spans="1:10" ht="27" customHeight="1" x14ac:dyDescent="0.35">
      <c r="A128" s="13" t="s">
        <v>101</v>
      </c>
      <c r="B128" s="29">
        <v>6900</v>
      </c>
      <c r="C128" s="31">
        <v>1</v>
      </c>
      <c r="D128" s="29">
        <f>C128*B128</f>
        <v>6900</v>
      </c>
      <c r="E128" s="29">
        <v>8200</v>
      </c>
      <c r="F128" s="29">
        <f>E128/C128</f>
        <v>8200</v>
      </c>
      <c r="G128" s="29">
        <f>E128+D128</f>
        <v>15100</v>
      </c>
      <c r="H128" s="28">
        <f>B128+F128</f>
        <v>15100</v>
      </c>
      <c r="I128" s="15" t="s">
        <v>102</v>
      </c>
      <c r="J128" t="s">
        <v>40</v>
      </c>
    </row>
    <row r="130" spans="1:11" x14ac:dyDescent="0.35">
      <c r="A130" s="391" t="s">
        <v>103</v>
      </c>
      <c r="B130" s="391"/>
      <c r="C130" s="391"/>
      <c r="D130" s="391"/>
      <c r="E130" s="391"/>
      <c r="F130" s="391"/>
      <c r="G130" s="391"/>
      <c r="H130" s="391"/>
      <c r="I130" s="391"/>
    </row>
    <row r="131" spans="1:11" ht="29" x14ac:dyDescent="0.35">
      <c r="A131" s="13" t="s">
        <v>22</v>
      </c>
      <c r="B131" s="12" t="s">
        <v>23</v>
      </c>
      <c r="C131" s="12" t="s">
        <v>24</v>
      </c>
      <c r="D131" s="12" t="s">
        <v>25</v>
      </c>
      <c r="E131" s="12" t="s">
        <v>26</v>
      </c>
      <c r="F131" s="13" t="s">
        <v>27</v>
      </c>
      <c r="G131" s="12" t="s">
        <v>28</v>
      </c>
      <c r="H131" s="12" t="s">
        <v>29</v>
      </c>
      <c r="I131" s="13" t="s">
        <v>30</v>
      </c>
    </row>
    <row r="132" spans="1:11" x14ac:dyDescent="0.35">
      <c r="A132" s="13" t="s">
        <v>104</v>
      </c>
      <c r="B132" s="29">
        <v>13990</v>
      </c>
      <c r="C132" s="31">
        <v>1</v>
      </c>
      <c r="D132" s="29">
        <f>C132*B132</f>
        <v>13990</v>
      </c>
      <c r="E132" s="29">
        <v>8500</v>
      </c>
      <c r="F132" s="29">
        <f>E132/C132</f>
        <v>8500</v>
      </c>
      <c r="G132" s="29">
        <f>E132+D132</f>
        <v>22490</v>
      </c>
      <c r="H132" s="28">
        <f>B132+F132</f>
        <v>22490</v>
      </c>
      <c r="I132" s="15" t="s">
        <v>102</v>
      </c>
      <c r="J132" t="s">
        <v>40</v>
      </c>
    </row>
    <row r="133" spans="1:11" x14ac:dyDescent="0.35">
      <c r="K133" t="s">
        <v>105</v>
      </c>
    </row>
    <row r="134" spans="1:11" x14ac:dyDescent="0.35">
      <c r="A134" s="391" t="s">
        <v>106</v>
      </c>
      <c r="B134" s="391"/>
      <c r="C134" s="391"/>
      <c r="D134" s="391"/>
      <c r="E134" s="391"/>
      <c r="F134" s="391"/>
      <c r="G134" s="391"/>
      <c r="H134" s="391"/>
      <c r="I134" s="391"/>
    </row>
    <row r="135" spans="1:11" ht="29" x14ac:dyDescent="0.35">
      <c r="A135" s="13" t="s">
        <v>22</v>
      </c>
      <c r="B135" s="12" t="s">
        <v>23</v>
      </c>
      <c r="C135" s="12" t="s">
        <v>24</v>
      </c>
      <c r="D135" s="12" t="s">
        <v>25</v>
      </c>
      <c r="E135" s="12" t="s">
        <v>26</v>
      </c>
      <c r="F135" s="13" t="s">
        <v>27</v>
      </c>
      <c r="G135" s="12" t="s">
        <v>28</v>
      </c>
      <c r="H135" s="12" t="s">
        <v>29</v>
      </c>
      <c r="I135" s="13" t="s">
        <v>30</v>
      </c>
    </row>
    <row r="136" spans="1:11" ht="15" customHeight="1" x14ac:dyDescent="0.35">
      <c r="A136" s="13" t="s">
        <v>107</v>
      </c>
      <c r="B136" s="51">
        <v>1650000</v>
      </c>
      <c r="C136" s="12">
        <v>1</v>
      </c>
      <c r="D136" s="29">
        <f>C136*B136</f>
        <v>1650000</v>
      </c>
      <c r="E136" s="29">
        <v>0</v>
      </c>
      <c r="F136" s="29">
        <f>E136/C136</f>
        <v>0</v>
      </c>
      <c r="G136" s="29">
        <f>E136+D136</f>
        <v>1650000</v>
      </c>
      <c r="H136" s="28">
        <f>B136+F136</f>
        <v>1650000</v>
      </c>
      <c r="I136" s="13" t="s">
        <v>108</v>
      </c>
    </row>
    <row r="137" spans="1:11" x14ac:dyDescent="0.35">
      <c r="A137" s="13" t="s">
        <v>109</v>
      </c>
      <c r="B137" s="175">
        <v>3989000</v>
      </c>
      <c r="C137" s="31">
        <v>1</v>
      </c>
      <c r="D137" s="29">
        <f>C137*B137</f>
        <v>3989000</v>
      </c>
      <c r="E137" s="29">
        <v>0</v>
      </c>
      <c r="F137" s="29">
        <f>E137/C137</f>
        <v>0</v>
      </c>
      <c r="G137" s="29">
        <f>E137+D137</f>
        <v>3989000</v>
      </c>
      <c r="H137" s="28">
        <f>B137+F137</f>
        <v>3989000</v>
      </c>
      <c r="I137" s="15" t="s">
        <v>102</v>
      </c>
      <c r="J137" t="s">
        <v>40</v>
      </c>
    </row>
    <row r="139" spans="1:11" x14ac:dyDescent="0.35">
      <c r="A139" s="391" t="s">
        <v>110</v>
      </c>
      <c r="B139" s="391"/>
      <c r="C139" s="391"/>
      <c r="D139" s="391"/>
      <c r="E139" s="391"/>
      <c r="F139" s="391"/>
      <c r="G139" s="391"/>
      <c r="H139" s="391"/>
      <c r="I139" s="391"/>
    </row>
    <row r="140" spans="1:11" ht="29" x14ac:dyDescent="0.35">
      <c r="A140" s="13" t="s">
        <v>22</v>
      </c>
      <c r="B140" s="12" t="s">
        <v>23</v>
      </c>
      <c r="C140" s="12" t="s">
        <v>24</v>
      </c>
      <c r="D140" s="12" t="s">
        <v>25</v>
      </c>
      <c r="E140" s="12" t="s">
        <v>26</v>
      </c>
      <c r="F140" s="13" t="s">
        <v>27</v>
      </c>
      <c r="G140" s="12" t="s">
        <v>28</v>
      </c>
      <c r="H140" s="12" t="s">
        <v>29</v>
      </c>
      <c r="I140" s="13" t="s">
        <v>30</v>
      </c>
      <c r="J140" s="99" t="s">
        <v>40</v>
      </c>
    </row>
    <row r="141" spans="1:11" x14ac:dyDescent="0.35">
      <c r="A141" s="13"/>
      <c r="B141" s="12"/>
      <c r="C141" s="12"/>
      <c r="D141" s="12"/>
      <c r="E141" s="12"/>
      <c r="F141" s="13"/>
      <c r="G141" s="12"/>
      <c r="H141" s="12"/>
      <c r="I141" s="13"/>
      <c r="J141" s="1"/>
    </row>
    <row r="142" spans="1:11" x14ac:dyDescent="0.35">
      <c r="A142" s="13" t="s">
        <v>97</v>
      </c>
      <c r="B142" s="47">
        <v>80000</v>
      </c>
      <c r="C142" s="31">
        <v>1</v>
      </c>
      <c r="D142" s="29">
        <f>C142*B142</f>
        <v>80000</v>
      </c>
      <c r="E142" s="29">
        <v>0</v>
      </c>
      <c r="F142" s="29">
        <f>E142/C142</f>
        <v>0</v>
      </c>
      <c r="G142" s="29">
        <f>E142+D142</f>
        <v>80000</v>
      </c>
      <c r="H142" s="28">
        <f>B142+F142</f>
        <v>80000</v>
      </c>
      <c r="I142" s="15" t="s">
        <v>102</v>
      </c>
      <c r="J142" t="s">
        <v>40</v>
      </c>
    </row>
    <row r="144" spans="1:11" x14ac:dyDescent="0.35">
      <c r="A144" s="391" t="s">
        <v>111</v>
      </c>
      <c r="B144" s="391"/>
      <c r="C144" s="391"/>
      <c r="D144" s="391"/>
      <c r="E144" s="391"/>
      <c r="F144" s="391"/>
      <c r="G144" s="391"/>
      <c r="H144" s="391"/>
      <c r="I144" s="391"/>
    </row>
    <row r="145" spans="1:10" ht="29" x14ac:dyDescent="0.35">
      <c r="A145" s="13" t="s">
        <v>22</v>
      </c>
      <c r="B145" s="12" t="s">
        <v>23</v>
      </c>
      <c r="C145" s="12" t="s">
        <v>24</v>
      </c>
      <c r="D145" s="12" t="s">
        <v>25</v>
      </c>
      <c r="E145" s="12" t="s">
        <v>26</v>
      </c>
      <c r="F145" s="13" t="s">
        <v>27</v>
      </c>
      <c r="G145" s="12" t="s">
        <v>28</v>
      </c>
      <c r="H145" s="12" t="s">
        <v>29</v>
      </c>
      <c r="I145" s="13" t="s">
        <v>30</v>
      </c>
    </row>
    <row r="146" spans="1:10" x14ac:dyDescent="0.35">
      <c r="A146" s="13"/>
      <c r="B146" s="12"/>
      <c r="C146" s="12"/>
      <c r="D146" s="12"/>
      <c r="E146" s="12"/>
      <c r="F146" s="13"/>
      <c r="G146" s="12"/>
      <c r="H146" s="12"/>
      <c r="I146" s="13"/>
    </row>
    <row r="147" spans="1:10" x14ac:dyDescent="0.35">
      <c r="A147" s="13" t="s">
        <v>112</v>
      </c>
      <c r="B147" s="47">
        <v>35990</v>
      </c>
      <c r="C147" s="31">
        <v>1</v>
      </c>
      <c r="D147" s="29">
        <f>C147*B147</f>
        <v>35990</v>
      </c>
      <c r="E147" s="29">
        <v>7225</v>
      </c>
      <c r="F147" s="29">
        <f>E147/C147</f>
        <v>7225</v>
      </c>
      <c r="G147" s="29">
        <f>E147+D147</f>
        <v>43215</v>
      </c>
      <c r="H147" s="28">
        <f>B147+F147</f>
        <v>43215</v>
      </c>
      <c r="I147" s="15" t="s">
        <v>102</v>
      </c>
      <c r="J147" t="s">
        <v>40</v>
      </c>
    </row>
    <row r="149" spans="1:10" x14ac:dyDescent="0.35">
      <c r="A149" s="391" t="s">
        <v>113</v>
      </c>
      <c r="B149" s="391"/>
      <c r="C149" s="391"/>
      <c r="D149" s="391"/>
      <c r="E149" s="391"/>
      <c r="F149" s="391"/>
      <c r="G149" s="391"/>
      <c r="H149" s="391"/>
      <c r="I149" s="391"/>
    </row>
    <row r="150" spans="1:10" ht="29" x14ac:dyDescent="0.35">
      <c r="A150" s="13" t="s">
        <v>22</v>
      </c>
      <c r="B150" s="12" t="s">
        <v>23</v>
      </c>
      <c r="C150" s="12" t="s">
        <v>24</v>
      </c>
      <c r="D150" s="12" t="s">
        <v>25</v>
      </c>
      <c r="E150" s="12" t="s">
        <v>26</v>
      </c>
      <c r="F150" s="13" t="s">
        <v>27</v>
      </c>
      <c r="G150" s="12" t="s">
        <v>28</v>
      </c>
      <c r="H150" s="12" t="s">
        <v>29</v>
      </c>
      <c r="I150" s="13" t="s">
        <v>30</v>
      </c>
    </row>
    <row r="151" spans="1:10" x14ac:dyDescent="0.35">
      <c r="A151" s="13" t="s">
        <v>114</v>
      </c>
      <c r="B151" s="47">
        <v>9900</v>
      </c>
      <c r="C151" s="31">
        <v>1</v>
      </c>
      <c r="D151" s="29">
        <f>C151*B151</f>
        <v>9900</v>
      </c>
      <c r="E151" s="29">
        <v>8200</v>
      </c>
      <c r="F151" s="29">
        <f>E151/C151</f>
        <v>8200</v>
      </c>
      <c r="G151" s="29">
        <f>E151+D151</f>
        <v>18100</v>
      </c>
      <c r="H151" s="28">
        <f>B151+F151</f>
        <v>18100</v>
      </c>
      <c r="I151" s="15" t="s">
        <v>102</v>
      </c>
      <c r="J151" t="s">
        <v>40</v>
      </c>
    </row>
    <row r="153" spans="1:10" x14ac:dyDescent="0.35">
      <c r="A153" s="391" t="s">
        <v>115</v>
      </c>
      <c r="B153" s="391"/>
      <c r="C153" s="391"/>
      <c r="D153" s="391"/>
      <c r="E153" s="391"/>
      <c r="F153" s="391"/>
      <c r="G153" s="391"/>
      <c r="H153" s="391"/>
      <c r="I153" s="391"/>
    </row>
    <row r="154" spans="1:10" ht="29" x14ac:dyDescent="0.35">
      <c r="A154" s="13" t="s">
        <v>22</v>
      </c>
      <c r="B154" s="12" t="s">
        <v>23</v>
      </c>
      <c r="C154" s="12" t="s">
        <v>24</v>
      </c>
      <c r="D154" s="12" t="s">
        <v>25</v>
      </c>
      <c r="E154" s="12" t="s">
        <v>26</v>
      </c>
      <c r="F154" s="13" t="s">
        <v>27</v>
      </c>
      <c r="G154" s="12" t="s">
        <v>28</v>
      </c>
      <c r="H154" s="12" t="s">
        <v>29</v>
      </c>
      <c r="I154" s="13" t="s">
        <v>30</v>
      </c>
    </row>
    <row r="155" spans="1:10" x14ac:dyDescent="0.35">
      <c r="A155" s="13" t="s">
        <v>114</v>
      </c>
      <c r="B155" s="47">
        <v>24990</v>
      </c>
      <c r="C155" s="31">
        <v>1</v>
      </c>
      <c r="D155" s="29">
        <f>C155*B155</f>
        <v>24990</v>
      </c>
      <c r="E155" s="29">
        <v>7220</v>
      </c>
      <c r="F155" s="29">
        <f>E155/C155</f>
        <v>7220</v>
      </c>
      <c r="G155" s="29">
        <f>E155+D155</f>
        <v>32210</v>
      </c>
      <c r="H155" s="28">
        <f>B155+F155</f>
        <v>32210</v>
      </c>
      <c r="I155" s="15" t="s">
        <v>102</v>
      </c>
      <c r="J155" t="s">
        <v>40</v>
      </c>
    </row>
    <row r="157" spans="1:10" x14ac:dyDescent="0.35">
      <c r="A157" s="391" t="s">
        <v>115</v>
      </c>
      <c r="B157" s="391"/>
      <c r="C157" s="391"/>
      <c r="D157" s="391"/>
      <c r="E157" s="391"/>
      <c r="F157" s="391"/>
      <c r="G157" s="391"/>
      <c r="H157" s="391"/>
      <c r="I157" s="391"/>
    </row>
    <row r="158" spans="1:10" ht="29" x14ac:dyDescent="0.35">
      <c r="A158" s="13" t="s">
        <v>22</v>
      </c>
      <c r="B158" s="12" t="s">
        <v>23</v>
      </c>
      <c r="C158" s="12" t="s">
        <v>24</v>
      </c>
      <c r="D158" s="12" t="s">
        <v>25</v>
      </c>
      <c r="E158" s="12" t="s">
        <v>26</v>
      </c>
      <c r="F158" s="13" t="s">
        <v>27</v>
      </c>
      <c r="G158" s="12" t="s">
        <v>28</v>
      </c>
      <c r="H158" s="12" t="s">
        <v>29</v>
      </c>
      <c r="I158" s="13" t="s">
        <v>30</v>
      </c>
    </row>
    <row r="159" spans="1:10" ht="29" x14ac:dyDescent="0.35">
      <c r="A159" s="13" t="s">
        <v>116</v>
      </c>
      <c r="B159" s="47">
        <v>1770000</v>
      </c>
      <c r="C159" s="31">
        <v>1</v>
      </c>
      <c r="D159" s="29">
        <f>C159*B159</f>
        <v>1770000</v>
      </c>
      <c r="E159" s="29">
        <v>0</v>
      </c>
      <c r="F159" s="29">
        <f>E159/C159</f>
        <v>0</v>
      </c>
      <c r="G159" s="29">
        <f>E159+D159</f>
        <v>1770000</v>
      </c>
      <c r="H159" s="28">
        <f>B159+F159</f>
        <v>1770000</v>
      </c>
      <c r="I159" s="15" t="s">
        <v>102</v>
      </c>
      <c r="J159" t="s">
        <v>40</v>
      </c>
    </row>
    <row r="161" spans="1:10" x14ac:dyDescent="0.35">
      <c r="A161" s="49"/>
      <c r="B161" s="49"/>
      <c r="C161" s="49"/>
      <c r="D161" s="49"/>
      <c r="E161" s="49"/>
      <c r="F161" s="49"/>
      <c r="G161" s="49"/>
      <c r="H161" s="49"/>
      <c r="I161" s="49"/>
    </row>
    <row r="162" spans="1:10" x14ac:dyDescent="0.35">
      <c r="B162" s="1"/>
      <c r="D162" s="1"/>
      <c r="E162" s="1"/>
      <c r="F162" s="4"/>
      <c r="G162" s="1"/>
      <c r="H162" s="1"/>
      <c r="I162" s="4"/>
    </row>
    <row r="163" spans="1:10" x14ac:dyDescent="0.35">
      <c r="B163" s="100"/>
      <c r="C163" s="101"/>
      <c r="D163" s="102"/>
      <c r="E163" s="102"/>
      <c r="F163" s="102"/>
      <c r="G163" s="102"/>
      <c r="H163" s="103"/>
      <c r="I163"/>
      <c r="J163" t="s">
        <v>40</v>
      </c>
    </row>
  </sheetData>
  <mergeCells count="155">
    <mergeCell ref="A139:I139"/>
    <mergeCell ref="A144:I144"/>
    <mergeCell ref="A149:I149"/>
    <mergeCell ref="A153:I153"/>
    <mergeCell ref="A157:I157"/>
    <mergeCell ref="A118:I118"/>
    <mergeCell ref="A122:I122"/>
    <mergeCell ref="A126:I126"/>
    <mergeCell ref="A130:I130"/>
    <mergeCell ref="A134:I134"/>
    <mergeCell ref="A114:I114"/>
    <mergeCell ref="F68:F69"/>
    <mergeCell ref="F70:F71"/>
    <mergeCell ref="F72:F73"/>
    <mergeCell ref="F78:F79"/>
    <mergeCell ref="C106:C107"/>
    <mergeCell ref="D106:D107"/>
    <mergeCell ref="E106:E107"/>
    <mergeCell ref="F106:F107"/>
    <mergeCell ref="D70:D71"/>
    <mergeCell ref="E70:E71"/>
    <mergeCell ref="G70:G71"/>
    <mergeCell ref="B72:B73"/>
    <mergeCell ref="C72:C73"/>
    <mergeCell ref="D72:D73"/>
    <mergeCell ref="E72:E73"/>
    <mergeCell ref="G72:G73"/>
    <mergeCell ref="I110:I111"/>
    <mergeCell ref="I68:I69"/>
    <mergeCell ref="I70:I71"/>
    <mergeCell ref="I72:I73"/>
    <mergeCell ref="A110:A111"/>
    <mergeCell ref="B110:B111"/>
    <mergeCell ref="C110:C111"/>
    <mergeCell ref="I78:I79"/>
    <mergeCell ref="C78:C79"/>
    <mergeCell ref="A104:I104"/>
    <mergeCell ref="I106:I107"/>
    <mergeCell ref="I99:I100"/>
    <mergeCell ref="I108:I109"/>
    <mergeCell ref="G106:G107"/>
    <mergeCell ref="A97:I97"/>
    <mergeCell ref="A82:I82"/>
    <mergeCell ref="B78:B79"/>
    <mergeCell ref="A78:A79"/>
    <mergeCell ref="I90:I91"/>
    <mergeCell ref="I84:I85"/>
    <mergeCell ref="A84:A85"/>
    <mergeCell ref="A86:A87"/>
    <mergeCell ref="B84:B85"/>
    <mergeCell ref="C84:C85"/>
    <mergeCell ref="D84:D85"/>
    <mergeCell ref="E84:E85"/>
    <mergeCell ref="F84:F85"/>
    <mergeCell ref="I86:I87"/>
    <mergeCell ref="A99:A100"/>
    <mergeCell ref="B99:B100"/>
    <mergeCell ref="C99:C100"/>
    <mergeCell ref="A76:I76"/>
    <mergeCell ref="A72:A73"/>
    <mergeCell ref="A68:A69"/>
    <mergeCell ref="A70:A71"/>
    <mergeCell ref="B68:B69"/>
    <mergeCell ref="C68:C69"/>
    <mergeCell ref="D68:D69"/>
    <mergeCell ref="E68:E69"/>
    <mergeCell ref="G68:G69"/>
    <mergeCell ref="B70:B71"/>
    <mergeCell ref="C70:C71"/>
    <mergeCell ref="A24:A26"/>
    <mergeCell ref="I24:I26"/>
    <mergeCell ref="A2:I2"/>
    <mergeCell ref="A5:A7"/>
    <mergeCell ref="I5:I7"/>
    <mergeCell ref="A8:A9"/>
    <mergeCell ref="I8:I9"/>
    <mergeCell ref="A10:A12"/>
    <mergeCell ref="I10:I12"/>
    <mergeCell ref="A16:I16"/>
    <mergeCell ref="A18:A20"/>
    <mergeCell ref="I18:I20"/>
    <mergeCell ref="A21:A23"/>
    <mergeCell ref="I21:I23"/>
    <mergeCell ref="E90:E91"/>
    <mergeCell ref="F90:F91"/>
    <mergeCell ref="G90:G91"/>
    <mergeCell ref="H90:H91"/>
    <mergeCell ref="H99:H100"/>
    <mergeCell ref="G99:G100"/>
    <mergeCell ref="A30:I30"/>
    <mergeCell ref="A32:A33"/>
    <mergeCell ref="I32:I33"/>
    <mergeCell ref="A39:I39"/>
    <mergeCell ref="A41:A43"/>
    <mergeCell ref="I41:I43"/>
    <mergeCell ref="A58:A60"/>
    <mergeCell ref="I58:I60"/>
    <mergeCell ref="A61:A63"/>
    <mergeCell ref="I61:I63"/>
    <mergeCell ref="A44:A46"/>
    <mergeCell ref="I44:I46"/>
    <mergeCell ref="A47:A49"/>
    <mergeCell ref="I47:I49"/>
    <mergeCell ref="A53:I53"/>
    <mergeCell ref="A55:A57"/>
    <mergeCell ref="I55:I57"/>
    <mergeCell ref="A66:I66"/>
    <mergeCell ref="B86:B87"/>
    <mergeCell ref="C86:C87"/>
    <mergeCell ref="D86:D87"/>
    <mergeCell ref="E86:E87"/>
    <mergeCell ref="F86:F87"/>
    <mergeCell ref="G86:G87"/>
    <mergeCell ref="H86:H87"/>
    <mergeCell ref="I88:I89"/>
    <mergeCell ref="H68:H69"/>
    <mergeCell ref="H70:H71"/>
    <mergeCell ref="H72:H73"/>
    <mergeCell ref="D78:D79"/>
    <mergeCell ref="E78:E79"/>
    <mergeCell ref="G78:G79"/>
    <mergeCell ref="H78:H79"/>
    <mergeCell ref="G84:G85"/>
    <mergeCell ref="H84:H85"/>
    <mergeCell ref="H88:H89"/>
    <mergeCell ref="G88:G89"/>
    <mergeCell ref="F88:F89"/>
    <mergeCell ref="E88:E89"/>
    <mergeCell ref="D88:D89"/>
    <mergeCell ref="C88:C89"/>
    <mergeCell ref="B88:B89"/>
    <mergeCell ref="A88:A89"/>
    <mergeCell ref="H108:H109"/>
    <mergeCell ref="H110:H111"/>
    <mergeCell ref="C108:C109"/>
    <mergeCell ref="D108:D109"/>
    <mergeCell ref="E108:E109"/>
    <mergeCell ref="F108:F109"/>
    <mergeCell ref="G108:G109"/>
    <mergeCell ref="F110:F111"/>
    <mergeCell ref="D110:D111"/>
    <mergeCell ref="E110:E111"/>
    <mergeCell ref="G110:G111"/>
    <mergeCell ref="A108:A109"/>
    <mergeCell ref="B108:B109"/>
    <mergeCell ref="A106:A107"/>
    <mergeCell ref="B106:B107"/>
    <mergeCell ref="D99:D100"/>
    <mergeCell ref="E99:E100"/>
    <mergeCell ref="F99:F100"/>
    <mergeCell ref="H106:H107"/>
    <mergeCell ref="A90:A91"/>
    <mergeCell ref="B90:B91"/>
    <mergeCell ref="C90:C91"/>
    <mergeCell ref="D90:D91"/>
  </mergeCells>
  <hyperlinks>
    <hyperlink ref="I5" r:id="rId1" xr:uid="{ED327699-C932-4B1F-A7E1-4B6E37516AB4}"/>
    <hyperlink ref="I84" r:id="rId2" display="https://articulo.mercadolibre.com.co/MCO-613131508-cable-adaptador-usb-tipo-c-macho-a-micro-usb-macho-30cm-_JM?matt_tool=18952288&amp;matt_word=&amp;matt_source=google&amp;matt_campaign_id=14634237782&amp;matt_ad_group_id=122266243850&amp;matt_match_type=&amp;matt_network=g&amp;matt_device=c&amp;matt_creative=545507349329&amp;matt_keyword=&amp;matt_ad_position=&amp;matt_ad_type=pla&amp;matt_merchant_id=266161627&amp;matt_product_id=MCO613131508&amp;matt_product_partition_id=1636560501819&amp;matt_target_id=aud-978541508365:pla-1636560501819&amp;gclid=Cj0KCQjwmPSSBhCNARIsAH3cYgYXayAXE4ems0sOi9kKL96Qe5tHnmu7_rb5RMor5geYMgWZr2aV8cAaAkrGEALw_wcB" xr:uid="{AFB436D5-3F7F-4F23-978F-D5ADB04104E8}"/>
    <hyperlink ref="I116" r:id="rId3" display="https://articulo.mercadolibre.com.co/MCO-551550492-cautin-110v-60w-regulable-soldadura-200-450c-_JM?matt_tool=70147493&amp;matt_word=&amp;matt_source=google&amp;matt_campaign_id=14633851809&amp;matt_ad_group_id=122277564930&amp;matt_match_type=&amp;matt_network=g&amp;matt_device=c&amp;matt_creative=545410559217&amp;matt_keyword=&amp;matt_ad_position=&amp;matt_ad_type=pla&amp;matt_merchant_id=281818756&amp;matt_product_id=MCO551550492&amp;matt_product_partition_id=1403869200214&amp;matt_target_id=aud-978541508365:pla-1403869200214&amp;gclid=Cj0KCQjwmPSSBhCNARIsAH3cYgZ7k1KthNSp8a1K2d2_R5XZnZQd5Vkprl6nbhr_Bovo-NisFeZzRzUaAjJSEALw_wcB" xr:uid="{B45C7231-50CE-483F-9E9D-F4555F5C5906}"/>
    <hyperlink ref="I120" r:id="rId4" location="position=1&amp;search_layout=stack&amp;type=item&amp;tracking_id=58b870c4-f29f-450d-89d8-2247f1f9ac7d" xr:uid="{A97173F7-78F3-40E1-B425-F9EB6CFD4453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26CD3-3632-4EDD-A99F-2AC8F229C6E7}">
  <dimension ref="A1:R108"/>
  <sheetViews>
    <sheetView workbookViewId="0">
      <selection activeCell="I15" sqref="I15"/>
    </sheetView>
  </sheetViews>
  <sheetFormatPr baseColWidth="10" defaultColWidth="11.453125" defaultRowHeight="14.5" x14ac:dyDescent="0.35"/>
  <cols>
    <col min="2" max="2" width="14.7265625" bestFit="1" customWidth="1"/>
    <col min="3" max="3" width="15.81640625" customWidth="1"/>
    <col min="4" max="4" width="22.81640625" bestFit="1" customWidth="1"/>
    <col min="5" max="5" width="15" bestFit="1" customWidth="1"/>
    <col min="6" max="6" width="13" bestFit="1" customWidth="1"/>
    <col min="7" max="7" width="10.54296875" bestFit="1" customWidth="1"/>
    <col min="8" max="8" width="17" bestFit="1" customWidth="1"/>
    <col min="9" max="9" width="14.81640625" bestFit="1" customWidth="1"/>
    <col min="10" max="10" width="14" customWidth="1"/>
    <col min="11" max="11" width="21.7265625" bestFit="1" customWidth="1"/>
    <col min="12" max="12" width="15.81640625" customWidth="1"/>
    <col min="13" max="13" width="12.81640625" customWidth="1"/>
    <col min="14" max="14" width="13.26953125" customWidth="1"/>
    <col min="15" max="15" width="12" bestFit="1" customWidth="1"/>
    <col min="16" max="16" width="10.7265625" customWidth="1"/>
    <col min="18" max="18" width="15" customWidth="1"/>
    <col min="19" max="19" width="12" bestFit="1" customWidth="1"/>
    <col min="22" max="22" width="12" bestFit="1" customWidth="1"/>
  </cols>
  <sheetData>
    <row r="1" spans="3:12" ht="55.5" customHeight="1" x14ac:dyDescent="0.35">
      <c r="K1" s="26" t="s">
        <v>117</v>
      </c>
      <c r="L1" s="186">
        <f>G11</f>
        <v>5827.35</v>
      </c>
    </row>
    <row r="2" spans="3:12" ht="43.5" x14ac:dyDescent="0.35">
      <c r="K2" s="61" t="s">
        <v>118</v>
      </c>
      <c r="L2" s="187">
        <f>D31</f>
        <v>3688750</v>
      </c>
    </row>
    <row r="3" spans="3:12" ht="43.5" x14ac:dyDescent="0.35">
      <c r="K3" s="61" t="s">
        <v>119</v>
      </c>
      <c r="L3" s="187">
        <f>J25</f>
        <v>4370000</v>
      </c>
    </row>
    <row r="4" spans="3:12" ht="29" x14ac:dyDescent="0.35">
      <c r="K4" s="61" t="s">
        <v>120</v>
      </c>
      <c r="L4" s="187">
        <f>J11</f>
        <v>1165470</v>
      </c>
    </row>
    <row r="6" spans="3:12" x14ac:dyDescent="0.35">
      <c r="C6" s="410" t="s">
        <v>121</v>
      </c>
      <c r="D6" s="411"/>
      <c r="E6" s="411"/>
      <c r="F6" s="411"/>
      <c r="G6" s="411"/>
      <c r="H6" s="411"/>
      <c r="I6" s="411"/>
      <c r="J6" s="412"/>
    </row>
    <row r="7" spans="3:12" ht="58" x14ac:dyDescent="0.35">
      <c r="C7" s="24" t="s">
        <v>122</v>
      </c>
      <c r="D7" s="24" t="s">
        <v>123</v>
      </c>
      <c r="E7" s="26" t="s">
        <v>124</v>
      </c>
      <c r="F7" s="26" t="s">
        <v>125</v>
      </c>
      <c r="G7" s="26" t="s">
        <v>126</v>
      </c>
      <c r="H7" s="26" t="s">
        <v>127</v>
      </c>
      <c r="I7" s="26" t="s">
        <v>128</v>
      </c>
      <c r="J7" s="26" t="s">
        <v>129</v>
      </c>
    </row>
    <row r="8" spans="3:12" ht="29" x14ac:dyDescent="0.35">
      <c r="C8" s="13" t="s">
        <v>130</v>
      </c>
      <c r="D8" s="188">
        <f>ListaDeProveedores!G99</f>
        <v>75000</v>
      </c>
      <c r="E8" s="189">
        <v>1000</v>
      </c>
      <c r="F8" s="12">
        <v>75</v>
      </c>
      <c r="G8" s="50">
        <f>D8*F8/E8</f>
        <v>5625</v>
      </c>
      <c r="H8" s="15">
        <f>ROUNDDOWN(E8/F8,0)</f>
        <v>13</v>
      </c>
      <c r="I8" s="15">
        <f>F8*200/1000</f>
        <v>15</v>
      </c>
      <c r="J8" s="50">
        <f>D8*I8</f>
        <v>1125000</v>
      </c>
    </row>
    <row r="9" spans="3:12" x14ac:dyDescent="0.35">
      <c r="C9" s="12" t="s">
        <v>131</v>
      </c>
      <c r="D9" s="188">
        <f>ListaDeProveedores!G120/2</f>
        <v>20235</v>
      </c>
      <c r="E9" s="189">
        <v>100</v>
      </c>
      <c r="F9" s="12">
        <f>E9/200</f>
        <v>0.5</v>
      </c>
      <c r="G9" s="50">
        <f t="shared" ref="G9:G10" si="0">D9*F9/E9</f>
        <v>101.175</v>
      </c>
      <c r="H9" s="15">
        <f t="shared" ref="H9:H10" si="1">E9/F9</f>
        <v>200</v>
      </c>
      <c r="I9" s="15">
        <v>1</v>
      </c>
      <c r="J9" s="50">
        <f t="shared" ref="J9:J10" si="2">D9*I9</f>
        <v>20235</v>
      </c>
    </row>
    <row r="10" spans="3:12" ht="29" x14ac:dyDescent="0.35">
      <c r="C10" s="13" t="s">
        <v>132</v>
      </c>
      <c r="D10" s="188">
        <f>ListaDeProveedores!G120/2</f>
        <v>20235</v>
      </c>
      <c r="E10" s="189">
        <v>8</v>
      </c>
      <c r="F10" s="12">
        <f>E10/200</f>
        <v>0.04</v>
      </c>
      <c r="G10" s="50">
        <f t="shared" si="0"/>
        <v>101.175</v>
      </c>
      <c r="H10" s="15">
        <f t="shared" si="1"/>
        <v>200</v>
      </c>
      <c r="I10" s="15">
        <v>1</v>
      </c>
      <c r="J10" s="50">
        <f t="shared" si="2"/>
        <v>20235</v>
      </c>
      <c r="K10" s="7"/>
    </row>
    <row r="11" spans="3:12" x14ac:dyDescent="0.35">
      <c r="C11" s="9" t="s">
        <v>28</v>
      </c>
      <c r="D11" s="52">
        <f>SUM(D8:D10)</f>
        <v>115470</v>
      </c>
      <c r="E11" s="50"/>
      <c r="F11" s="9" t="s">
        <v>28</v>
      </c>
      <c r="G11" s="52">
        <f>SUM(G8:G10)</f>
        <v>5827.35</v>
      </c>
      <c r="H11" s="50"/>
      <c r="I11" s="9" t="s">
        <v>28</v>
      </c>
      <c r="J11" s="52">
        <f>SUM(J8:J10)</f>
        <v>1165470</v>
      </c>
    </row>
    <row r="13" spans="3:12" x14ac:dyDescent="0.35">
      <c r="C13" s="410" t="s">
        <v>133</v>
      </c>
      <c r="D13" s="411"/>
      <c r="E13" s="411"/>
      <c r="F13" s="412"/>
    </row>
    <row r="14" spans="3:12" ht="58" x14ac:dyDescent="0.35">
      <c r="C14" s="24" t="s">
        <v>134</v>
      </c>
      <c r="D14" s="24" t="s">
        <v>123</v>
      </c>
      <c r="E14" s="26" t="s">
        <v>135</v>
      </c>
      <c r="F14" s="26" t="s">
        <v>125</v>
      </c>
    </row>
    <row r="15" spans="3:12" x14ac:dyDescent="0.35">
      <c r="C15" s="13" t="s">
        <v>136</v>
      </c>
      <c r="D15" s="181">
        <v>50000</v>
      </c>
      <c r="E15" s="79">
        <v>1</v>
      </c>
      <c r="F15" s="12">
        <v>1</v>
      </c>
      <c r="G15" s="4"/>
      <c r="H15" s="4"/>
      <c r="I15" s="4"/>
    </row>
    <row r="16" spans="3:12" x14ac:dyDescent="0.35">
      <c r="C16" s="12"/>
      <c r="D16" s="51"/>
      <c r="E16" s="79"/>
      <c r="F16" s="12"/>
      <c r="I16" s="2"/>
    </row>
    <row r="17" spans="3:13" x14ac:dyDescent="0.35">
      <c r="C17" s="13"/>
      <c r="D17" s="51"/>
      <c r="E17" s="79"/>
      <c r="F17" s="12"/>
      <c r="I17" s="2"/>
    </row>
    <row r="18" spans="3:13" x14ac:dyDescent="0.35">
      <c r="C18" s="9" t="s">
        <v>28</v>
      </c>
      <c r="D18" s="52">
        <f>SUM(D15:D17)</f>
        <v>50000</v>
      </c>
      <c r="E18" s="50"/>
      <c r="F18" s="9"/>
      <c r="I18" s="2"/>
    </row>
    <row r="19" spans="3:13" x14ac:dyDescent="0.35">
      <c r="F19" s="2"/>
      <c r="G19" s="2"/>
      <c r="I19" s="2"/>
    </row>
    <row r="20" spans="3:13" x14ac:dyDescent="0.35">
      <c r="C20" s="410" t="s">
        <v>137</v>
      </c>
      <c r="D20" s="411"/>
      <c r="E20" s="411"/>
      <c r="F20" s="411"/>
      <c r="G20" s="412"/>
      <c r="I20" s="415" t="s">
        <v>138</v>
      </c>
      <c r="J20" s="415"/>
      <c r="K20" s="415"/>
      <c r="L20" s="415"/>
      <c r="M20" s="415"/>
    </row>
    <row r="21" spans="3:13" ht="29" x14ac:dyDescent="0.35">
      <c r="C21" s="24" t="s">
        <v>139</v>
      </c>
      <c r="D21" s="24" t="s">
        <v>123</v>
      </c>
      <c r="E21" s="24" t="s">
        <v>140</v>
      </c>
      <c r="F21" s="26" t="s">
        <v>141</v>
      </c>
      <c r="G21" s="26" t="s">
        <v>142</v>
      </c>
      <c r="I21" s="24" t="s">
        <v>139</v>
      </c>
      <c r="J21" s="24" t="s">
        <v>123</v>
      </c>
      <c r="K21" s="24" t="s">
        <v>140</v>
      </c>
      <c r="L21" s="26" t="s">
        <v>141</v>
      </c>
      <c r="M21" s="26" t="s">
        <v>142</v>
      </c>
    </row>
    <row r="22" spans="3:13" x14ac:dyDescent="0.35">
      <c r="C22" s="12" t="s">
        <v>143</v>
      </c>
      <c r="D22" s="188">
        <f>ListaDeProveedores!G116</f>
        <v>57635</v>
      </c>
      <c r="E22" s="79">
        <v>10</v>
      </c>
      <c r="F22" s="83">
        <f>1/E22</f>
        <v>0.1</v>
      </c>
      <c r="G22" s="50">
        <f>D22/(E22*12)</f>
        <v>480.29166666666669</v>
      </c>
      <c r="I22" s="93" t="s">
        <v>144</v>
      </c>
      <c r="J22" s="188">
        <f>ListaDeProveedores!G159</f>
        <v>1770000</v>
      </c>
      <c r="K22" s="79">
        <v>20</v>
      </c>
      <c r="L22" s="83">
        <f t="shared" ref="L22" si="3">1/K22</f>
        <v>0.05</v>
      </c>
      <c r="M22" s="50">
        <f t="shared" ref="M22" si="4">J22/(K22*12)</f>
        <v>7375</v>
      </c>
    </row>
    <row r="23" spans="3:13" ht="29" x14ac:dyDescent="0.35">
      <c r="C23" s="13" t="s">
        <v>145</v>
      </c>
      <c r="D23" s="188">
        <f>ListaDeProveedores!H136</f>
        <v>1650000</v>
      </c>
      <c r="E23" s="79">
        <v>20</v>
      </c>
      <c r="F23" s="83">
        <f t="shared" ref="F23:F28" si="5">1/E23</f>
        <v>0.05</v>
      </c>
      <c r="G23" s="50">
        <f t="shared" ref="G23:G28" si="6">D23/(E23*12)</f>
        <v>6875</v>
      </c>
      <c r="I23" s="92" t="s">
        <v>146</v>
      </c>
      <c r="J23" s="181">
        <v>2000000</v>
      </c>
      <c r="K23" s="79">
        <v>20</v>
      </c>
      <c r="L23" s="83">
        <f t="shared" ref="L23" si="7">1/K23</f>
        <v>0.05</v>
      </c>
      <c r="M23" s="50">
        <f t="shared" ref="M23" si="8">J23/(K23*12)</f>
        <v>8333.3333333333339</v>
      </c>
    </row>
    <row r="24" spans="3:13" x14ac:dyDescent="0.35">
      <c r="C24" s="13" t="s">
        <v>147</v>
      </c>
      <c r="D24" s="188">
        <f>ListaDeProveedores!G142</f>
        <v>80000</v>
      </c>
      <c r="E24" s="79">
        <v>10</v>
      </c>
      <c r="F24" s="83">
        <f t="shared" si="5"/>
        <v>0.1</v>
      </c>
      <c r="G24" s="50">
        <f t="shared" si="6"/>
        <v>666.66666666666663</v>
      </c>
      <c r="I24" s="92" t="s">
        <v>148</v>
      </c>
      <c r="J24" s="181">
        <v>600000</v>
      </c>
      <c r="K24" s="79">
        <v>20</v>
      </c>
      <c r="L24" s="83">
        <f t="shared" ref="L24" si="9">1/K24</f>
        <v>0.05</v>
      </c>
      <c r="M24" s="50">
        <f t="shared" ref="M24" si="10">J24/(K24*12)</f>
        <v>2500</v>
      </c>
    </row>
    <row r="25" spans="3:13" x14ac:dyDescent="0.35">
      <c r="C25" s="13" t="s">
        <v>149</v>
      </c>
      <c r="D25" s="188">
        <f>ListaDeProveedores!G147</f>
        <v>43215</v>
      </c>
      <c r="E25" s="79">
        <v>10</v>
      </c>
      <c r="F25" s="83">
        <f t="shared" si="5"/>
        <v>0.1</v>
      </c>
      <c r="G25" s="50">
        <f t="shared" si="6"/>
        <v>360.125</v>
      </c>
      <c r="I25" s="9" t="s">
        <v>28</v>
      </c>
      <c r="J25" s="52">
        <f>SUM(J22:J24)</f>
        <v>4370000</v>
      </c>
      <c r="K25" s="52"/>
      <c r="L25" s="9" t="s">
        <v>28</v>
      </c>
      <c r="M25" s="52">
        <f>SUM(M22:M24)</f>
        <v>18208.333333333336</v>
      </c>
    </row>
    <row r="26" spans="3:13" ht="29" x14ac:dyDescent="0.35">
      <c r="C26" s="13" t="s">
        <v>150</v>
      </c>
      <c r="D26" s="188">
        <f>ListaDeProveedores!G151</f>
        <v>18100</v>
      </c>
      <c r="E26" s="79">
        <v>5</v>
      </c>
      <c r="F26" s="83">
        <f t="shared" si="5"/>
        <v>0.2</v>
      </c>
      <c r="G26" s="50">
        <f t="shared" si="6"/>
        <v>301.66666666666669</v>
      </c>
    </row>
    <row r="27" spans="3:13" ht="29" x14ac:dyDescent="0.35">
      <c r="C27" s="13" t="s">
        <v>151</v>
      </c>
      <c r="D27" s="188">
        <f>ListaDeProveedores!G155</f>
        <v>32210</v>
      </c>
      <c r="E27" s="79">
        <v>5</v>
      </c>
      <c r="F27" s="83">
        <f t="shared" si="5"/>
        <v>0.2</v>
      </c>
      <c r="G27" s="50">
        <f t="shared" si="6"/>
        <v>536.83333333333337</v>
      </c>
    </row>
    <row r="28" spans="3:13" x14ac:dyDescent="0.35">
      <c r="C28" s="13" t="s">
        <v>152</v>
      </c>
      <c r="D28" s="188">
        <f>ListaDeProveedores!G159</f>
        <v>1770000</v>
      </c>
      <c r="E28" s="79">
        <v>20</v>
      </c>
      <c r="F28" s="83">
        <f t="shared" si="5"/>
        <v>0.05</v>
      </c>
      <c r="G28" s="50">
        <f t="shared" si="6"/>
        <v>7375</v>
      </c>
    </row>
    <row r="29" spans="3:13" x14ac:dyDescent="0.35">
      <c r="C29" s="12" t="s">
        <v>153</v>
      </c>
      <c r="D29" s="188">
        <f>ListaDeProveedores!G128</f>
        <v>15100</v>
      </c>
      <c r="E29" s="79">
        <v>10</v>
      </c>
      <c r="F29" s="83">
        <f>1/E29</f>
        <v>0.1</v>
      </c>
      <c r="G29" s="50">
        <f>D29/(E29*12)</f>
        <v>125.83333333333333</v>
      </c>
      <c r="K29" s="2"/>
    </row>
    <row r="30" spans="3:13" x14ac:dyDescent="0.35">
      <c r="C30" s="12" t="s">
        <v>154</v>
      </c>
      <c r="D30" s="188">
        <f>ListaDeProveedores!G132</f>
        <v>22490</v>
      </c>
      <c r="E30" s="79">
        <v>10</v>
      </c>
      <c r="F30" s="83">
        <f>1/E30</f>
        <v>0.1</v>
      </c>
      <c r="G30" s="50">
        <f>D30/(E30*12)</f>
        <v>187.41666666666666</v>
      </c>
    </row>
    <row r="31" spans="3:13" x14ac:dyDescent="0.35">
      <c r="C31" s="9" t="s">
        <v>28</v>
      </c>
      <c r="D31" s="52">
        <f>SUM(D22:D30)</f>
        <v>3688750</v>
      </c>
      <c r="E31" s="52"/>
      <c r="F31" s="9" t="s">
        <v>28</v>
      </c>
      <c r="G31" s="52">
        <f>SUM(G22:G30)</f>
        <v>16908.833333333336</v>
      </c>
    </row>
    <row r="33" spans="1:18" x14ac:dyDescent="0.35">
      <c r="H33" s="4"/>
      <c r="I33" s="64"/>
      <c r="J33" s="90"/>
      <c r="K33" s="91"/>
      <c r="L33" s="2"/>
    </row>
    <row r="34" spans="1:18" x14ac:dyDescent="0.35">
      <c r="H34" s="4"/>
      <c r="I34" s="64"/>
      <c r="J34" s="90"/>
      <c r="K34" s="91"/>
      <c r="L34" s="2"/>
    </row>
    <row r="35" spans="1:18" x14ac:dyDescent="0.35">
      <c r="H35" s="4"/>
      <c r="I35" s="64"/>
      <c r="J35" s="90"/>
      <c r="K35" s="91"/>
      <c r="L35" s="2"/>
    </row>
    <row r="36" spans="1:18" x14ac:dyDescent="0.35">
      <c r="H36" s="4"/>
      <c r="I36" s="64"/>
      <c r="J36" s="90"/>
      <c r="K36" s="91"/>
      <c r="L36" s="2"/>
    </row>
    <row r="37" spans="1:18" x14ac:dyDescent="0.35">
      <c r="H37" s="1"/>
      <c r="I37" s="64"/>
      <c r="J37" s="90"/>
      <c r="K37" s="91"/>
      <c r="L37" s="2"/>
    </row>
    <row r="41" spans="1:18" x14ac:dyDescent="0.35">
      <c r="B41" s="413" t="s">
        <v>155</v>
      </c>
      <c r="C41" s="414"/>
      <c r="D41" s="414"/>
      <c r="E41" s="414"/>
      <c r="F41" s="414"/>
      <c r="G41" s="414"/>
      <c r="H41" s="414"/>
      <c r="I41" s="414"/>
      <c r="J41" s="414"/>
      <c r="K41" s="414"/>
      <c r="L41" s="414"/>
    </row>
    <row r="42" spans="1:18" ht="43.5" x14ac:dyDescent="0.35">
      <c r="B42" s="24" t="s">
        <v>156</v>
      </c>
      <c r="C42" s="24" t="s">
        <v>157</v>
      </c>
      <c r="D42" s="26" t="s">
        <v>158</v>
      </c>
      <c r="E42" s="61" t="s">
        <v>159</v>
      </c>
      <c r="F42" s="9" t="s">
        <v>160</v>
      </c>
      <c r="G42" s="61" t="s">
        <v>161</v>
      </c>
      <c r="H42" s="61" t="s">
        <v>162</v>
      </c>
      <c r="I42" s="61" t="s">
        <v>163</v>
      </c>
      <c r="J42" s="26" t="s">
        <v>164</v>
      </c>
      <c r="K42" s="24" t="s">
        <v>165</v>
      </c>
      <c r="L42" s="61" t="s">
        <v>166</v>
      </c>
    </row>
    <row r="43" spans="1:18" x14ac:dyDescent="0.35">
      <c r="B43" s="12" t="s">
        <v>167</v>
      </c>
      <c r="C43" s="25">
        <v>731.10839999999996</v>
      </c>
      <c r="D43" s="30">
        <v>3</v>
      </c>
      <c r="E43" s="15">
        <v>1.2E-2</v>
      </c>
      <c r="F43" s="15">
        <v>1</v>
      </c>
      <c r="G43" s="15">
        <v>0.06</v>
      </c>
      <c r="H43" s="15">
        <v>1</v>
      </c>
      <c r="I43" s="15">
        <v>0.05</v>
      </c>
      <c r="J43" s="12">
        <f>(0.06*2)+(0.012*3)</f>
        <v>0.156</v>
      </c>
      <c r="K43" s="50">
        <f>J43*C43</f>
        <v>114.05291039999999</v>
      </c>
      <c r="L43" s="50">
        <f>K43*200</f>
        <v>22810.582079999996</v>
      </c>
    </row>
    <row r="44" spans="1:18" x14ac:dyDescent="0.35">
      <c r="B44" s="4"/>
      <c r="C44" s="64"/>
      <c r="D44" s="64"/>
      <c r="J44" s="9" t="s">
        <v>28</v>
      </c>
      <c r="K44" s="65">
        <f>K43</f>
        <v>114.05291039999999</v>
      </c>
      <c r="L44" s="15"/>
    </row>
    <row r="46" spans="1:18" x14ac:dyDescent="0.35">
      <c r="C46" s="415" t="s">
        <v>168</v>
      </c>
      <c r="D46" s="415"/>
      <c r="E46" s="415"/>
      <c r="F46" s="415"/>
      <c r="G46" s="415"/>
      <c r="H46" s="415"/>
      <c r="I46" s="415"/>
      <c r="J46" s="415"/>
      <c r="K46" s="415"/>
      <c r="L46" s="415" t="s">
        <v>169</v>
      </c>
      <c r="M46" s="415"/>
      <c r="N46" s="415"/>
    </row>
    <row r="47" spans="1:18" s="1" customFormat="1" ht="15" thickBot="1" x14ac:dyDescent="0.4">
      <c r="B47" s="3" t="s">
        <v>170</v>
      </c>
      <c r="C47" s="94" t="str">
        <f>C22</f>
        <v>Cautín*</v>
      </c>
      <c r="D47" s="95" t="str">
        <f>C23</f>
        <v>Lápiz 3D
/Impresora 3D*</v>
      </c>
      <c r="E47" s="95" t="str">
        <f>C24</f>
        <v>Tercera Mano*</v>
      </c>
      <c r="F47" s="95" t="str">
        <f>C25</f>
        <v>Multímetro*</v>
      </c>
      <c r="G47" s="95" t="str">
        <f>C26</f>
        <v>Guantes Seguridad*</v>
      </c>
      <c r="H47" s="95" t="str">
        <f>C27</f>
        <v>Gafas
Seguridad*</v>
      </c>
      <c r="I47" s="95" t="str">
        <f>C28</f>
        <v>Computador 1</v>
      </c>
      <c r="J47" s="95" t="str">
        <f>C29</f>
        <v>Destornillador*</v>
      </c>
      <c r="K47" s="96" t="str">
        <f>C30</f>
        <v>Pinzas*</v>
      </c>
      <c r="L47" s="94" t="str">
        <f>I22</f>
        <v>Computador 2</v>
      </c>
      <c r="M47" s="95" t="str">
        <f>I23</f>
        <v>Muebles</v>
      </c>
      <c r="N47" s="96" t="s">
        <v>148</v>
      </c>
      <c r="R47" s="3" t="s">
        <v>28</v>
      </c>
    </row>
    <row r="48" spans="1:18" x14ac:dyDescent="0.35">
      <c r="A48" s="409">
        <v>1</v>
      </c>
      <c r="B48" s="123">
        <v>0</v>
      </c>
      <c r="C48" s="124">
        <f>D22</f>
        <v>57635</v>
      </c>
      <c r="D48" s="125">
        <f>D23</f>
        <v>1650000</v>
      </c>
      <c r="E48" s="125">
        <f>D24</f>
        <v>80000</v>
      </c>
      <c r="F48" s="125">
        <f>D25</f>
        <v>43215</v>
      </c>
      <c r="G48" s="125">
        <f>$D$26</f>
        <v>18100</v>
      </c>
      <c r="H48" s="125">
        <f>D27</f>
        <v>32210</v>
      </c>
      <c r="I48" s="125">
        <f>D28</f>
        <v>1770000</v>
      </c>
      <c r="J48" s="125">
        <f>D29</f>
        <v>15100</v>
      </c>
      <c r="K48" s="126">
        <f>D30</f>
        <v>22490</v>
      </c>
      <c r="L48" s="127">
        <f>J22</f>
        <v>1770000</v>
      </c>
      <c r="M48" s="128">
        <f>J23</f>
        <v>2000000</v>
      </c>
      <c r="N48" s="129">
        <f>J24</f>
        <v>600000</v>
      </c>
      <c r="R48" s="80">
        <f>SUM(C48:N48)</f>
        <v>8058750</v>
      </c>
    </row>
    <row r="49" spans="1:18" x14ac:dyDescent="0.35">
      <c r="A49" s="409"/>
      <c r="B49" s="130">
        <v>1</v>
      </c>
      <c r="C49" s="97">
        <f t="shared" ref="C49:C80" si="11">C48-$G$22</f>
        <v>57154.708333333336</v>
      </c>
      <c r="D49" s="2">
        <f t="shared" ref="D49:D80" si="12">D48-$G$23</f>
        <v>1643125</v>
      </c>
      <c r="E49" s="2">
        <f t="shared" ref="E49:E80" si="13">E48-$G$24</f>
        <v>79333.333333333328</v>
      </c>
      <c r="F49" s="2">
        <f t="shared" ref="F49:F80" si="14">F48-$G$25</f>
        <v>42854.875</v>
      </c>
      <c r="G49" s="2">
        <f t="shared" ref="G49:G80" si="15">G48-$G$26</f>
        <v>17798.333333333332</v>
      </c>
      <c r="H49" s="2">
        <f t="shared" ref="H49:H80" si="16">H48-$G$27</f>
        <v>31673.166666666668</v>
      </c>
      <c r="I49" s="2">
        <f t="shared" ref="I49:I80" si="17">I48-$G$28</f>
        <v>1762625</v>
      </c>
      <c r="J49" s="2">
        <f t="shared" ref="J49:J80" si="18">J48-$G$29</f>
        <v>14974.166666666666</v>
      </c>
      <c r="K49" s="98">
        <f t="shared" ref="K49:K80" si="19">K48-$G$30</f>
        <v>22302.583333333332</v>
      </c>
      <c r="L49" s="97">
        <f t="shared" ref="L49:L80" si="20">L48-$M$22</f>
        <v>1762625</v>
      </c>
      <c r="M49" s="2">
        <f t="shared" ref="M49:M80" si="21">M48-$M$23</f>
        <v>1991666.6666666667</v>
      </c>
      <c r="N49" s="76">
        <f t="shared" ref="N49:N80" si="22">N48-$M$24</f>
        <v>597500</v>
      </c>
      <c r="R49" s="80">
        <f t="shared" ref="R49:R108" si="23">SUM(C49:N49)</f>
        <v>8023632.833333333</v>
      </c>
    </row>
    <row r="50" spans="1:18" x14ac:dyDescent="0.35">
      <c r="A50" s="409"/>
      <c r="B50" s="130">
        <v>2</v>
      </c>
      <c r="C50" s="97">
        <f t="shared" si="11"/>
        <v>56674.416666666672</v>
      </c>
      <c r="D50" s="2">
        <f t="shared" si="12"/>
        <v>1636250</v>
      </c>
      <c r="E50" s="2">
        <f t="shared" si="13"/>
        <v>78666.666666666657</v>
      </c>
      <c r="F50" s="2">
        <f t="shared" si="14"/>
        <v>42494.75</v>
      </c>
      <c r="G50" s="2">
        <f t="shared" si="15"/>
        <v>17496.666666666664</v>
      </c>
      <c r="H50" s="2">
        <f t="shared" si="16"/>
        <v>31136.333333333336</v>
      </c>
      <c r="I50" s="2">
        <f t="shared" si="17"/>
        <v>1755250</v>
      </c>
      <c r="J50" s="2">
        <f t="shared" si="18"/>
        <v>14848.333333333332</v>
      </c>
      <c r="K50" s="98">
        <f t="shared" si="19"/>
        <v>22115.166666666664</v>
      </c>
      <c r="L50" s="97">
        <f t="shared" si="20"/>
        <v>1755250</v>
      </c>
      <c r="M50" s="2">
        <f t="shared" si="21"/>
        <v>1983333.3333333335</v>
      </c>
      <c r="N50" s="76">
        <f t="shared" si="22"/>
        <v>595000</v>
      </c>
      <c r="R50" s="80">
        <f t="shared" si="23"/>
        <v>7988515.6666666679</v>
      </c>
    </row>
    <row r="51" spans="1:18" x14ac:dyDescent="0.35">
      <c r="A51" s="409"/>
      <c r="B51" s="130">
        <v>3</v>
      </c>
      <c r="C51" s="97">
        <f t="shared" si="11"/>
        <v>56194.125000000007</v>
      </c>
      <c r="D51" s="2">
        <f t="shared" si="12"/>
        <v>1629375</v>
      </c>
      <c r="E51" s="2">
        <f t="shared" si="13"/>
        <v>77999.999999999985</v>
      </c>
      <c r="F51" s="2">
        <f t="shared" si="14"/>
        <v>42134.625</v>
      </c>
      <c r="G51" s="2">
        <f t="shared" si="15"/>
        <v>17194.999999999996</v>
      </c>
      <c r="H51" s="2">
        <f t="shared" si="16"/>
        <v>30599.500000000004</v>
      </c>
      <c r="I51" s="2">
        <f t="shared" si="17"/>
        <v>1747875</v>
      </c>
      <c r="J51" s="2">
        <f t="shared" si="18"/>
        <v>14722.499999999998</v>
      </c>
      <c r="K51" s="98">
        <f t="shared" si="19"/>
        <v>21927.749999999996</v>
      </c>
      <c r="L51" s="97">
        <f t="shared" si="20"/>
        <v>1747875</v>
      </c>
      <c r="M51" s="2">
        <f t="shared" si="21"/>
        <v>1975000.0000000002</v>
      </c>
      <c r="N51" s="76">
        <f t="shared" si="22"/>
        <v>592500</v>
      </c>
      <c r="R51" s="80">
        <f t="shared" si="23"/>
        <v>7953398.5</v>
      </c>
    </row>
    <row r="52" spans="1:18" x14ac:dyDescent="0.35">
      <c r="A52" s="409"/>
      <c r="B52" s="130">
        <v>4</v>
      </c>
      <c r="C52" s="97">
        <f t="shared" si="11"/>
        <v>55713.833333333343</v>
      </c>
      <c r="D52" s="2">
        <f t="shared" si="12"/>
        <v>1622500</v>
      </c>
      <c r="E52" s="2">
        <f t="shared" si="13"/>
        <v>77333.333333333314</v>
      </c>
      <c r="F52" s="2">
        <f t="shared" si="14"/>
        <v>41774.5</v>
      </c>
      <c r="G52" s="2">
        <f t="shared" si="15"/>
        <v>16893.333333333328</v>
      </c>
      <c r="H52" s="2">
        <f t="shared" si="16"/>
        <v>30062.666666666672</v>
      </c>
      <c r="I52" s="2">
        <f t="shared" si="17"/>
        <v>1740500</v>
      </c>
      <c r="J52" s="2">
        <f t="shared" si="18"/>
        <v>14596.666666666664</v>
      </c>
      <c r="K52" s="98">
        <f t="shared" si="19"/>
        <v>21740.333333333328</v>
      </c>
      <c r="L52" s="97">
        <f t="shared" si="20"/>
        <v>1740500</v>
      </c>
      <c r="M52" s="2">
        <f t="shared" si="21"/>
        <v>1966666.666666667</v>
      </c>
      <c r="N52" s="76">
        <f t="shared" si="22"/>
        <v>590000</v>
      </c>
      <c r="R52" s="80">
        <f t="shared" si="23"/>
        <v>7918281.333333333</v>
      </c>
    </row>
    <row r="53" spans="1:18" x14ac:dyDescent="0.35">
      <c r="A53" s="409"/>
      <c r="B53" s="130">
        <v>5</v>
      </c>
      <c r="C53" s="97">
        <f t="shared" si="11"/>
        <v>55233.541666666679</v>
      </c>
      <c r="D53" s="2">
        <f t="shared" si="12"/>
        <v>1615625</v>
      </c>
      <c r="E53" s="2">
        <f t="shared" si="13"/>
        <v>76666.666666666642</v>
      </c>
      <c r="F53" s="2">
        <f t="shared" si="14"/>
        <v>41414.375</v>
      </c>
      <c r="G53" s="2">
        <f t="shared" si="15"/>
        <v>16591.666666666661</v>
      </c>
      <c r="H53" s="2">
        <f t="shared" si="16"/>
        <v>29525.833333333339</v>
      </c>
      <c r="I53" s="2">
        <f t="shared" si="17"/>
        <v>1733125</v>
      </c>
      <c r="J53" s="2">
        <f t="shared" si="18"/>
        <v>14470.83333333333</v>
      </c>
      <c r="K53" s="98">
        <f t="shared" si="19"/>
        <v>21552.916666666661</v>
      </c>
      <c r="L53" s="97">
        <f t="shared" si="20"/>
        <v>1733125</v>
      </c>
      <c r="M53" s="2">
        <f t="shared" si="21"/>
        <v>1958333.3333333337</v>
      </c>
      <c r="N53" s="76">
        <f t="shared" si="22"/>
        <v>587500</v>
      </c>
      <c r="R53" s="80">
        <f t="shared" si="23"/>
        <v>7883164.1666666679</v>
      </c>
    </row>
    <row r="54" spans="1:18" x14ac:dyDescent="0.35">
      <c r="A54" s="409"/>
      <c r="B54" s="130">
        <v>5</v>
      </c>
      <c r="C54" s="97">
        <f t="shared" si="11"/>
        <v>54753.250000000015</v>
      </c>
      <c r="D54" s="2">
        <f t="shared" si="12"/>
        <v>1608750</v>
      </c>
      <c r="E54" s="2">
        <f t="shared" si="13"/>
        <v>75999.999999999971</v>
      </c>
      <c r="F54" s="2">
        <f t="shared" si="14"/>
        <v>41054.25</v>
      </c>
      <c r="G54" s="2">
        <f t="shared" si="15"/>
        <v>16289.999999999995</v>
      </c>
      <c r="H54" s="2">
        <f t="shared" si="16"/>
        <v>28989.000000000007</v>
      </c>
      <c r="I54" s="2">
        <f t="shared" si="17"/>
        <v>1725750</v>
      </c>
      <c r="J54" s="2">
        <f t="shared" si="18"/>
        <v>14344.999999999996</v>
      </c>
      <c r="K54" s="98">
        <f t="shared" si="19"/>
        <v>21365.499999999993</v>
      </c>
      <c r="L54" s="97">
        <f t="shared" si="20"/>
        <v>1725750</v>
      </c>
      <c r="M54" s="2">
        <f t="shared" si="21"/>
        <v>1950000.0000000005</v>
      </c>
      <c r="N54" s="76">
        <f t="shared" si="22"/>
        <v>585000</v>
      </c>
      <c r="R54" s="80">
        <f t="shared" si="23"/>
        <v>7848047</v>
      </c>
    </row>
    <row r="55" spans="1:18" ht="15" thickBot="1" x14ac:dyDescent="0.4">
      <c r="A55" s="409"/>
      <c r="B55" s="131">
        <v>6</v>
      </c>
      <c r="C55" s="132">
        <f t="shared" si="11"/>
        <v>54272.95833333335</v>
      </c>
      <c r="D55" s="77">
        <f t="shared" si="12"/>
        <v>1601875</v>
      </c>
      <c r="E55" s="77">
        <f t="shared" si="13"/>
        <v>75333.333333333299</v>
      </c>
      <c r="F55" s="77">
        <f t="shared" si="14"/>
        <v>40694.125</v>
      </c>
      <c r="G55" s="77">
        <f t="shared" si="15"/>
        <v>15988.333333333328</v>
      </c>
      <c r="H55" s="77">
        <f t="shared" si="16"/>
        <v>28452.166666666675</v>
      </c>
      <c r="I55" s="77">
        <f t="shared" si="17"/>
        <v>1718375</v>
      </c>
      <c r="J55" s="77">
        <f t="shared" si="18"/>
        <v>14219.166666666662</v>
      </c>
      <c r="K55" s="133">
        <f t="shared" si="19"/>
        <v>21178.083333333325</v>
      </c>
      <c r="L55" s="132">
        <f t="shared" si="20"/>
        <v>1718375</v>
      </c>
      <c r="M55" s="77">
        <f t="shared" si="21"/>
        <v>1941666.6666666672</v>
      </c>
      <c r="N55" s="78">
        <f t="shared" si="22"/>
        <v>582500</v>
      </c>
      <c r="R55" s="80">
        <f t="shared" si="23"/>
        <v>7812929.833333333</v>
      </c>
    </row>
    <row r="56" spans="1:18" x14ac:dyDescent="0.35">
      <c r="A56" s="409">
        <v>2</v>
      </c>
      <c r="B56" s="123">
        <v>1</v>
      </c>
      <c r="C56" s="134">
        <f t="shared" si="11"/>
        <v>53792.666666666686</v>
      </c>
      <c r="D56" s="135">
        <f t="shared" si="12"/>
        <v>1595000</v>
      </c>
      <c r="E56" s="135">
        <f t="shared" si="13"/>
        <v>74666.666666666628</v>
      </c>
      <c r="F56" s="135">
        <f t="shared" si="14"/>
        <v>40334</v>
      </c>
      <c r="G56" s="135">
        <f t="shared" si="15"/>
        <v>15686.666666666662</v>
      </c>
      <c r="H56" s="135">
        <f t="shared" si="16"/>
        <v>27915.333333333343</v>
      </c>
      <c r="I56" s="135">
        <f t="shared" si="17"/>
        <v>1711000</v>
      </c>
      <c r="J56" s="135">
        <f t="shared" si="18"/>
        <v>14093.333333333328</v>
      </c>
      <c r="K56" s="136">
        <f t="shared" si="19"/>
        <v>20990.666666666657</v>
      </c>
      <c r="L56" s="134">
        <f t="shared" si="20"/>
        <v>1711000</v>
      </c>
      <c r="M56" s="135">
        <f t="shared" si="21"/>
        <v>1933333.333333334</v>
      </c>
      <c r="N56" s="137">
        <f t="shared" si="22"/>
        <v>580000</v>
      </c>
      <c r="R56" s="80">
        <f t="shared" si="23"/>
        <v>7777812.6666666679</v>
      </c>
    </row>
    <row r="57" spans="1:18" x14ac:dyDescent="0.35">
      <c r="A57" s="409"/>
      <c r="B57" s="62">
        <v>2</v>
      </c>
      <c r="C57" s="97">
        <f t="shared" si="11"/>
        <v>53312.375000000022</v>
      </c>
      <c r="D57" s="2">
        <f t="shared" si="12"/>
        <v>1588125</v>
      </c>
      <c r="E57" s="2">
        <f t="shared" si="13"/>
        <v>73999.999999999956</v>
      </c>
      <c r="F57" s="2">
        <f t="shared" si="14"/>
        <v>39973.875</v>
      </c>
      <c r="G57" s="2">
        <f t="shared" si="15"/>
        <v>15384.999999999996</v>
      </c>
      <c r="H57" s="2">
        <f t="shared" si="16"/>
        <v>27378.500000000011</v>
      </c>
      <c r="I57" s="2">
        <f t="shared" si="17"/>
        <v>1703625</v>
      </c>
      <c r="J57" s="2">
        <f t="shared" si="18"/>
        <v>13967.499999999995</v>
      </c>
      <c r="K57" s="98">
        <f t="shared" si="19"/>
        <v>20803.249999999989</v>
      </c>
      <c r="L57" s="97">
        <f t="shared" si="20"/>
        <v>1703625</v>
      </c>
      <c r="M57" s="2">
        <f t="shared" si="21"/>
        <v>1925000.0000000007</v>
      </c>
      <c r="N57" s="76">
        <f t="shared" si="22"/>
        <v>577500</v>
      </c>
      <c r="R57" s="80">
        <f t="shared" si="23"/>
        <v>7742695.5000000009</v>
      </c>
    </row>
    <row r="58" spans="1:18" x14ac:dyDescent="0.35">
      <c r="A58" s="409"/>
      <c r="B58" s="62">
        <v>3</v>
      </c>
      <c r="C58" s="97">
        <f t="shared" si="11"/>
        <v>52832.083333333358</v>
      </c>
      <c r="D58" s="2">
        <f t="shared" si="12"/>
        <v>1581250</v>
      </c>
      <c r="E58" s="2">
        <f t="shared" si="13"/>
        <v>73333.333333333285</v>
      </c>
      <c r="F58" s="2">
        <f t="shared" si="14"/>
        <v>39613.75</v>
      </c>
      <c r="G58" s="2">
        <f t="shared" si="15"/>
        <v>15083.33333333333</v>
      </c>
      <c r="H58" s="2">
        <f t="shared" si="16"/>
        <v>26841.666666666679</v>
      </c>
      <c r="I58" s="2">
        <f t="shared" si="17"/>
        <v>1696250</v>
      </c>
      <c r="J58" s="2">
        <f t="shared" si="18"/>
        <v>13841.666666666661</v>
      </c>
      <c r="K58" s="98">
        <f t="shared" si="19"/>
        <v>20615.833333333321</v>
      </c>
      <c r="L58" s="97">
        <f t="shared" si="20"/>
        <v>1696250</v>
      </c>
      <c r="M58" s="2">
        <f t="shared" si="21"/>
        <v>1916666.6666666674</v>
      </c>
      <c r="N58" s="76">
        <f t="shared" si="22"/>
        <v>575000</v>
      </c>
      <c r="R58" s="80">
        <f t="shared" si="23"/>
        <v>7707578.333333334</v>
      </c>
    </row>
    <row r="59" spans="1:18" x14ac:dyDescent="0.35">
      <c r="A59" s="409"/>
      <c r="B59" s="62">
        <v>4</v>
      </c>
      <c r="C59" s="97">
        <f t="shared" si="11"/>
        <v>52351.791666666693</v>
      </c>
      <c r="D59" s="2">
        <f t="shared" si="12"/>
        <v>1574375</v>
      </c>
      <c r="E59" s="2">
        <f t="shared" si="13"/>
        <v>72666.666666666613</v>
      </c>
      <c r="F59" s="2">
        <f t="shared" si="14"/>
        <v>39253.625</v>
      </c>
      <c r="G59" s="2">
        <f t="shared" si="15"/>
        <v>14781.666666666664</v>
      </c>
      <c r="H59" s="2">
        <f t="shared" si="16"/>
        <v>26304.833333333347</v>
      </c>
      <c r="I59" s="2">
        <f t="shared" si="17"/>
        <v>1688875</v>
      </c>
      <c r="J59" s="2">
        <f t="shared" si="18"/>
        <v>13715.833333333327</v>
      </c>
      <c r="K59" s="98">
        <f t="shared" si="19"/>
        <v>20428.416666666653</v>
      </c>
      <c r="L59" s="97">
        <f t="shared" si="20"/>
        <v>1688875</v>
      </c>
      <c r="M59" s="2">
        <f t="shared" si="21"/>
        <v>1908333.3333333342</v>
      </c>
      <c r="N59" s="76">
        <f t="shared" si="22"/>
        <v>572500</v>
      </c>
      <c r="R59" s="80">
        <f t="shared" si="23"/>
        <v>7672461.166666667</v>
      </c>
    </row>
    <row r="60" spans="1:18" x14ac:dyDescent="0.35">
      <c r="A60" s="409"/>
      <c r="B60" s="62">
        <v>5</v>
      </c>
      <c r="C60" s="97">
        <f t="shared" si="11"/>
        <v>51871.500000000029</v>
      </c>
      <c r="D60" s="2">
        <f t="shared" si="12"/>
        <v>1567500</v>
      </c>
      <c r="E60" s="2">
        <f t="shared" si="13"/>
        <v>71999.999999999942</v>
      </c>
      <c r="F60" s="2">
        <f t="shared" si="14"/>
        <v>38893.5</v>
      </c>
      <c r="G60" s="2">
        <f t="shared" si="15"/>
        <v>14479.999999999998</v>
      </c>
      <c r="H60" s="2">
        <f t="shared" si="16"/>
        <v>25768.000000000015</v>
      </c>
      <c r="I60" s="2">
        <f t="shared" si="17"/>
        <v>1681500</v>
      </c>
      <c r="J60" s="2">
        <f t="shared" si="18"/>
        <v>13589.999999999993</v>
      </c>
      <c r="K60" s="98">
        <f t="shared" si="19"/>
        <v>20240.999999999985</v>
      </c>
      <c r="L60" s="97">
        <f t="shared" si="20"/>
        <v>1681500</v>
      </c>
      <c r="M60" s="2">
        <f t="shared" si="21"/>
        <v>1900000.0000000009</v>
      </c>
      <c r="N60" s="76">
        <f t="shared" si="22"/>
        <v>570000</v>
      </c>
      <c r="R60" s="80">
        <f t="shared" si="23"/>
        <v>7637344.0000000009</v>
      </c>
    </row>
    <row r="61" spans="1:18" x14ac:dyDescent="0.35">
      <c r="A61" s="409"/>
      <c r="B61" s="62">
        <v>6</v>
      </c>
      <c r="C61" s="97">
        <f t="shared" si="11"/>
        <v>51391.208333333365</v>
      </c>
      <c r="D61" s="2">
        <f t="shared" si="12"/>
        <v>1560625</v>
      </c>
      <c r="E61" s="2">
        <f t="shared" si="13"/>
        <v>71333.33333333327</v>
      </c>
      <c r="F61" s="2">
        <f t="shared" si="14"/>
        <v>38533.375</v>
      </c>
      <c r="G61" s="2">
        <f t="shared" si="15"/>
        <v>14178.333333333332</v>
      </c>
      <c r="H61" s="2">
        <f t="shared" si="16"/>
        <v>25231.166666666682</v>
      </c>
      <c r="I61" s="2">
        <f t="shared" si="17"/>
        <v>1674125</v>
      </c>
      <c r="J61" s="2">
        <f t="shared" si="18"/>
        <v>13464.166666666659</v>
      </c>
      <c r="K61" s="98">
        <f t="shared" si="19"/>
        <v>20053.583333333318</v>
      </c>
      <c r="L61" s="97">
        <f t="shared" si="20"/>
        <v>1674125</v>
      </c>
      <c r="M61" s="2">
        <f t="shared" si="21"/>
        <v>1891666.6666666677</v>
      </c>
      <c r="N61" s="76">
        <f t="shared" si="22"/>
        <v>567500</v>
      </c>
      <c r="R61" s="80">
        <f t="shared" si="23"/>
        <v>7602226.833333334</v>
      </c>
    </row>
    <row r="62" spans="1:18" x14ac:dyDescent="0.35">
      <c r="A62" s="409"/>
      <c r="B62" s="62">
        <v>7</v>
      </c>
      <c r="C62" s="97">
        <f t="shared" si="11"/>
        <v>50910.916666666701</v>
      </c>
      <c r="D62" s="2">
        <f t="shared" si="12"/>
        <v>1553750</v>
      </c>
      <c r="E62" s="2">
        <f t="shared" si="13"/>
        <v>70666.666666666599</v>
      </c>
      <c r="F62" s="2">
        <f t="shared" si="14"/>
        <v>38173.25</v>
      </c>
      <c r="G62" s="2">
        <f t="shared" si="15"/>
        <v>13876.666666666666</v>
      </c>
      <c r="H62" s="2">
        <f t="shared" si="16"/>
        <v>24694.33333333335</v>
      </c>
      <c r="I62" s="2">
        <f t="shared" si="17"/>
        <v>1666750</v>
      </c>
      <c r="J62" s="2">
        <f t="shared" si="18"/>
        <v>13338.333333333325</v>
      </c>
      <c r="K62" s="98">
        <f t="shared" si="19"/>
        <v>19866.16666666665</v>
      </c>
      <c r="L62" s="97">
        <f t="shared" si="20"/>
        <v>1666750</v>
      </c>
      <c r="M62" s="2">
        <f t="shared" si="21"/>
        <v>1883333.3333333344</v>
      </c>
      <c r="N62" s="76">
        <f t="shared" si="22"/>
        <v>565000</v>
      </c>
      <c r="R62" s="80">
        <f t="shared" si="23"/>
        <v>7567109.6666666679</v>
      </c>
    </row>
    <row r="63" spans="1:18" x14ac:dyDescent="0.35">
      <c r="A63" s="409"/>
      <c r="B63" s="62">
        <v>8</v>
      </c>
      <c r="C63" s="97">
        <f t="shared" si="11"/>
        <v>50430.625000000036</v>
      </c>
      <c r="D63" s="2">
        <f t="shared" si="12"/>
        <v>1546875</v>
      </c>
      <c r="E63" s="2">
        <f t="shared" si="13"/>
        <v>69999.999999999927</v>
      </c>
      <c r="F63" s="2">
        <f t="shared" si="14"/>
        <v>37813.125</v>
      </c>
      <c r="G63" s="2">
        <f t="shared" si="15"/>
        <v>13575</v>
      </c>
      <c r="H63" s="2">
        <f t="shared" si="16"/>
        <v>24157.500000000018</v>
      </c>
      <c r="I63" s="2">
        <f t="shared" si="17"/>
        <v>1659375</v>
      </c>
      <c r="J63" s="2">
        <f t="shared" si="18"/>
        <v>13212.499999999991</v>
      </c>
      <c r="K63" s="98">
        <f t="shared" si="19"/>
        <v>19678.749999999982</v>
      </c>
      <c r="L63" s="97">
        <f t="shared" si="20"/>
        <v>1659375</v>
      </c>
      <c r="M63" s="2">
        <f t="shared" si="21"/>
        <v>1875000.0000000012</v>
      </c>
      <c r="N63" s="76">
        <f t="shared" si="22"/>
        <v>562500</v>
      </c>
      <c r="R63" s="80">
        <f t="shared" si="23"/>
        <v>7531992.5000000009</v>
      </c>
    </row>
    <row r="64" spans="1:18" x14ac:dyDescent="0.35">
      <c r="A64" s="409"/>
      <c r="B64" s="62">
        <v>9</v>
      </c>
      <c r="C64" s="97">
        <f t="shared" si="11"/>
        <v>49950.333333333372</v>
      </c>
      <c r="D64" s="2">
        <f t="shared" si="12"/>
        <v>1540000</v>
      </c>
      <c r="E64" s="2">
        <f t="shared" si="13"/>
        <v>69333.333333333256</v>
      </c>
      <c r="F64" s="2">
        <f t="shared" si="14"/>
        <v>37453</v>
      </c>
      <c r="G64" s="2">
        <f t="shared" si="15"/>
        <v>13273.333333333334</v>
      </c>
      <c r="H64" s="2">
        <f t="shared" si="16"/>
        <v>23620.666666666686</v>
      </c>
      <c r="I64" s="2">
        <f t="shared" si="17"/>
        <v>1652000</v>
      </c>
      <c r="J64" s="2">
        <f t="shared" si="18"/>
        <v>13086.666666666657</v>
      </c>
      <c r="K64" s="98">
        <f t="shared" si="19"/>
        <v>19491.333333333314</v>
      </c>
      <c r="L64" s="97">
        <f t="shared" si="20"/>
        <v>1652000</v>
      </c>
      <c r="M64" s="2">
        <f t="shared" si="21"/>
        <v>1866666.6666666679</v>
      </c>
      <c r="N64" s="76">
        <f t="shared" si="22"/>
        <v>560000</v>
      </c>
      <c r="R64" s="80">
        <f t="shared" si="23"/>
        <v>7496875.3333333349</v>
      </c>
    </row>
    <row r="65" spans="1:18" x14ac:dyDescent="0.35">
      <c r="A65" s="409"/>
      <c r="B65" s="62">
        <v>10</v>
      </c>
      <c r="C65" s="97">
        <f t="shared" si="11"/>
        <v>49470.041666666708</v>
      </c>
      <c r="D65" s="2">
        <f t="shared" si="12"/>
        <v>1533125</v>
      </c>
      <c r="E65" s="2">
        <f t="shared" si="13"/>
        <v>68666.666666666584</v>
      </c>
      <c r="F65" s="2">
        <f t="shared" si="14"/>
        <v>37092.875</v>
      </c>
      <c r="G65" s="2">
        <f t="shared" si="15"/>
        <v>12971.666666666668</v>
      </c>
      <c r="H65" s="2">
        <f t="shared" si="16"/>
        <v>23083.833333333354</v>
      </c>
      <c r="I65" s="2">
        <f t="shared" si="17"/>
        <v>1644625</v>
      </c>
      <c r="J65" s="2">
        <f t="shared" si="18"/>
        <v>12960.833333333323</v>
      </c>
      <c r="K65" s="98">
        <f t="shared" si="19"/>
        <v>19303.916666666646</v>
      </c>
      <c r="L65" s="97">
        <f t="shared" si="20"/>
        <v>1644625</v>
      </c>
      <c r="M65" s="2">
        <f t="shared" si="21"/>
        <v>1858333.3333333347</v>
      </c>
      <c r="N65" s="76">
        <f t="shared" si="22"/>
        <v>557500</v>
      </c>
      <c r="R65" s="80">
        <f t="shared" si="23"/>
        <v>7461758.1666666679</v>
      </c>
    </row>
    <row r="66" spans="1:18" x14ac:dyDescent="0.35">
      <c r="A66" s="409"/>
      <c r="B66" s="62">
        <v>11</v>
      </c>
      <c r="C66" s="97">
        <f t="shared" si="11"/>
        <v>48989.750000000044</v>
      </c>
      <c r="D66" s="2">
        <f t="shared" si="12"/>
        <v>1526250</v>
      </c>
      <c r="E66" s="2">
        <f t="shared" si="13"/>
        <v>67999.999999999913</v>
      </c>
      <c r="F66" s="2">
        <f t="shared" si="14"/>
        <v>36732.75</v>
      </c>
      <c r="G66" s="2">
        <f t="shared" si="15"/>
        <v>12670.000000000002</v>
      </c>
      <c r="H66" s="2">
        <f t="shared" si="16"/>
        <v>22547.000000000022</v>
      </c>
      <c r="I66" s="2">
        <f t="shared" si="17"/>
        <v>1637250</v>
      </c>
      <c r="J66" s="2">
        <f t="shared" si="18"/>
        <v>12834.999999999989</v>
      </c>
      <c r="K66" s="98">
        <f t="shared" si="19"/>
        <v>19116.499999999978</v>
      </c>
      <c r="L66" s="97">
        <f t="shared" si="20"/>
        <v>1637250</v>
      </c>
      <c r="M66" s="2">
        <f t="shared" si="21"/>
        <v>1850000.0000000014</v>
      </c>
      <c r="N66" s="76">
        <f t="shared" si="22"/>
        <v>555000</v>
      </c>
      <c r="R66" s="80">
        <f t="shared" si="23"/>
        <v>7426641.0000000019</v>
      </c>
    </row>
    <row r="67" spans="1:18" ht="15" thickBot="1" x14ac:dyDescent="0.4">
      <c r="A67" s="409"/>
      <c r="B67" s="63">
        <v>12</v>
      </c>
      <c r="C67" s="132">
        <f t="shared" si="11"/>
        <v>48509.458333333379</v>
      </c>
      <c r="D67" s="77">
        <f t="shared" si="12"/>
        <v>1519375</v>
      </c>
      <c r="E67" s="77">
        <f t="shared" si="13"/>
        <v>67333.333333333241</v>
      </c>
      <c r="F67" s="77">
        <f t="shared" si="14"/>
        <v>36372.625</v>
      </c>
      <c r="G67" s="77">
        <f t="shared" si="15"/>
        <v>12368.333333333336</v>
      </c>
      <c r="H67" s="77">
        <f t="shared" si="16"/>
        <v>22010.16666666669</v>
      </c>
      <c r="I67" s="77">
        <f t="shared" si="17"/>
        <v>1629875</v>
      </c>
      <c r="J67" s="77">
        <f t="shared" si="18"/>
        <v>12709.166666666655</v>
      </c>
      <c r="K67" s="133">
        <f t="shared" si="19"/>
        <v>18929.08333333331</v>
      </c>
      <c r="L67" s="132">
        <f t="shared" si="20"/>
        <v>1629875</v>
      </c>
      <c r="M67" s="77">
        <f t="shared" si="21"/>
        <v>1841666.6666666681</v>
      </c>
      <c r="N67" s="78">
        <f t="shared" si="22"/>
        <v>552500</v>
      </c>
      <c r="R67" s="80">
        <f t="shared" si="23"/>
        <v>7391523.8333333349</v>
      </c>
    </row>
    <row r="68" spans="1:18" x14ac:dyDescent="0.35">
      <c r="A68" s="409">
        <v>3</v>
      </c>
      <c r="B68" s="123">
        <v>1</v>
      </c>
      <c r="C68" s="134">
        <f t="shared" si="11"/>
        <v>48029.166666666715</v>
      </c>
      <c r="D68" s="135">
        <f t="shared" si="12"/>
        <v>1512500</v>
      </c>
      <c r="E68" s="135">
        <f t="shared" si="13"/>
        <v>66666.66666666657</v>
      </c>
      <c r="F68" s="135">
        <f t="shared" si="14"/>
        <v>36012.5</v>
      </c>
      <c r="G68" s="135">
        <f t="shared" si="15"/>
        <v>12066.66666666667</v>
      </c>
      <c r="H68" s="135">
        <f t="shared" si="16"/>
        <v>21473.333333333358</v>
      </c>
      <c r="I68" s="135">
        <f t="shared" si="17"/>
        <v>1622500</v>
      </c>
      <c r="J68" s="135">
        <f t="shared" si="18"/>
        <v>12583.333333333321</v>
      </c>
      <c r="K68" s="136">
        <f t="shared" si="19"/>
        <v>18741.666666666642</v>
      </c>
      <c r="L68" s="134">
        <f t="shared" si="20"/>
        <v>1622500</v>
      </c>
      <c r="M68" s="135">
        <f t="shared" si="21"/>
        <v>1833333.3333333349</v>
      </c>
      <c r="N68" s="137">
        <f t="shared" si="22"/>
        <v>550000</v>
      </c>
      <c r="R68" s="80">
        <f t="shared" si="23"/>
        <v>7356406.6666666679</v>
      </c>
    </row>
    <row r="69" spans="1:18" x14ac:dyDescent="0.35">
      <c r="A69" s="409"/>
      <c r="B69" s="62">
        <v>2</v>
      </c>
      <c r="C69" s="97">
        <f t="shared" si="11"/>
        <v>47548.875000000051</v>
      </c>
      <c r="D69" s="2">
        <f t="shared" si="12"/>
        <v>1505625</v>
      </c>
      <c r="E69" s="2">
        <f t="shared" si="13"/>
        <v>65999.999999999898</v>
      </c>
      <c r="F69" s="2">
        <f t="shared" si="14"/>
        <v>35652.375</v>
      </c>
      <c r="G69" s="2">
        <f t="shared" si="15"/>
        <v>11765.000000000004</v>
      </c>
      <c r="H69" s="2">
        <f t="shared" si="16"/>
        <v>20936.500000000025</v>
      </c>
      <c r="I69" s="2">
        <f t="shared" si="17"/>
        <v>1615125</v>
      </c>
      <c r="J69" s="2">
        <f t="shared" si="18"/>
        <v>12457.499999999987</v>
      </c>
      <c r="K69" s="98">
        <f t="shared" si="19"/>
        <v>18554.249999999975</v>
      </c>
      <c r="L69" s="97">
        <f t="shared" si="20"/>
        <v>1615125</v>
      </c>
      <c r="M69" s="2">
        <f t="shared" si="21"/>
        <v>1825000.0000000016</v>
      </c>
      <c r="N69" s="76">
        <f t="shared" si="22"/>
        <v>547500</v>
      </c>
      <c r="R69" s="80">
        <f t="shared" si="23"/>
        <v>7321289.5000000019</v>
      </c>
    </row>
    <row r="70" spans="1:18" x14ac:dyDescent="0.35">
      <c r="A70" s="409"/>
      <c r="B70" s="62">
        <v>3</v>
      </c>
      <c r="C70" s="97">
        <f t="shared" si="11"/>
        <v>47068.583333333387</v>
      </c>
      <c r="D70" s="2">
        <f t="shared" si="12"/>
        <v>1498750</v>
      </c>
      <c r="E70" s="2">
        <f t="shared" si="13"/>
        <v>65333.333333333234</v>
      </c>
      <c r="F70" s="2">
        <f t="shared" si="14"/>
        <v>35292.25</v>
      </c>
      <c r="G70" s="2">
        <f t="shared" si="15"/>
        <v>11463.333333333338</v>
      </c>
      <c r="H70" s="2">
        <f t="shared" si="16"/>
        <v>20399.666666666693</v>
      </c>
      <c r="I70" s="2">
        <f t="shared" si="17"/>
        <v>1607750</v>
      </c>
      <c r="J70" s="2">
        <f t="shared" si="18"/>
        <v>12331.666666666653</v>
      </c>
      <c r="K70" s="98">
        <f t="shared" si="19"/>
        <v>18366.833333333307</v>
      </c>
      <c r="L70" s="97">
        <f t="shared" si="20"/>
        <v>1607750</v>
      </c>
      <c r="M70" s="2">
        <f t="shared" si="21"/>
        <v>1816666.6666666684</v>
      </c>
      <c r="N70" s="76">
        <f t="shared" si="22"/>
        <v>545000</v>
      </c>
      <c r="R70" s="80">
        <f t="shared" si="23"/>
        <v>7286172.3333333358</v>
      </c>
    </row>
    <row r="71" spans="1:18" x14ac:dyDescent="0.35">
      <c r="A71" s="409"/>
      <c r="B71" s="62">
        <v>4</v>
      </c>
      <c r="C71" s="97">
        <f t="shared" si="11"/>
        <v>46588.291666666722</v>
      </c>
      <c r="D71" s="2">
        <f t="shared" si="12"/>
        <v>1491875</v>
      </c>
      <c r="E71" s="2">
        <f t="shared" si="13"/>
        <v>64666.66666666657</v>
      </c>
      <c r="F71" s="2">
        <f t="shared" si="14"/>
        <v>34932.125</v>
      </c>
      <c r="G71" s="2">
        <f t="shared" si="15"/>
        <v>11161.666666666672</v>
      </c>
      <c r="H71" s="2">
        <f t="shared" si="16"/>
        <v>19862.833333333361</v>
      </c>
      <c r="I71" s="2">
        <f t="shared" si="17"/>
        <v>1600375</v>
      </c>
      <c r="J71" s="2">
        <f t="shared" si="18"/>
        <v>12205.833333333319</v>
      </c>
      <c r="K71" s="98">
        <f t="shared" si="19"/>
        <v>18179.416666666639</v>
      </c>
      <c r="L71" s="97">
        <f t="shared" si="20"/>
        <v>1600375</v>
      </c>
      <c r="M71" s="2">
        <f t="shared" si="21"/>
        <v>1808333.3333333351</v>
      </c>
      <c r="N71" s="76">
        <f t="shared" si="22"/>
        <v>542500</v>
      </c>
      <c r="R71" s="80">
        <f t="shared" si="23"/>
        <v>7251055.1666666679</v>
      </c>
    </row>
    <row r="72" spans="1:18" x14ac:dyDescent="0.35">
      <c r="A72" s="409"/>
      <c r="B72" s="62">
        <v>5</v>
      </c>
      <c r="C72" s="97">
        <f t="shared" si="11"/>
        <v>46108.000000000058</v>
      </c>
      <c r="D72" s="2">
        <f t="shared" si="12"/>
        <v>1485000</v>
      </c>
      <c r="E72" s="2">
        <f t="shared" si="13"/>
        <v>63999.999999999905</v>
      </c>
      <c r="F72" s="2">
        <f t="shared" si="14"/>
        <v>34572</v>
      </c>
      <c r="G72" s="2">
        <f t="shared" si="15"/>
        <v>10860.000000000005</v>
      </c>
      <c r="H72" s="2">
        <f t="shared" si="16"/>
        <v>19326.000000000029</v>
      </c>
      <c r="I72" s="2">
        <f t="shared" si="17"/>
        <v>1593000</v>
      </c>
      <c r="J72" s="2">
        <f t="shared" si="18"/>
        <v>12079.999999999985</v>
      </c>
      <c r="K72" s="98">
        <f t="shared" si="19"/>
        <v>17991.999999999971</v>
      </c>
      <c r="L72" s="97">
        <f t="shared" si="20"/>
        <v>1593000</v>
      </c>
      <c r="M72" s="2">
        <f t="shared" si="21"/>
        <v>1800000.0000000019</v>
      </c>
      <c r="N72" s="76">
        <f t="shared" si="22"/>
        <v>540000</v>
      </c>
      <c r="R72" s="80">
        <f t="shared" si="23"/>
        <v>7215938.0000000019</v>
      </c>
    </row>
    <row r="73" spans="1:18" x14ac:dyDescent="0.35">
      <c r="A73" s="409"/>
      <c r="B73" s="62">
        <v>6</v>
      </c>
      <c r="C73" s="97">
        <f t="shared" si="11"/>
        <v>45627.708333333394</v>
      </c>
      <c r="D73" s="2">
        <f t="shared" si="12"/>
        <v>1478125</v>
      </c>
      <c r="E73" s="2">
        <f t="shared" si="13"/>
        <v>63333.333333333241</v>
      </c>
      <c r="F73" s="2">
        <f t="shared" si="14"/>
        <v>34211.875</v>
      </c>
      <c r="G73" s="2">
        <f t="shared" si="15"/>
        <v>10558.333333333339</v>
      </c>
      <c r="H73" s="2">
        <f t="shared" si="16"/>
        <v>18789.166666666697</v>
      </c>
      <c r="I73" s="2">
        <f t="shared" si="17"/>
        <v>1585625</v>
      </c>
      <c r="J73" s="2">
        <f t="shared" si="18"/>
        <v>11954.166666666652</v>
      </c>
      <c r="K73" s="98">
        <f t="shared" si="19"/>
        <v>17804.583333333303</v>
      </c>
      <c r="L73" s="97">
        <f t="shared" si="20"/>
        <v>1585625</v>
      </c>
      <c r="M73" s="2">
        <f t="shared" si="21"/>
        <v>1791666.6666666686</v>
      </c>
      <c r="N73" s="76">
        <f t="shared" si="22"/>
        <v>537500</v>
      </c>
      <c r="R73" s="80">
        <f t="shared" si="23"/>
        <v>7180820.8333333358</v>
      </c>
    </row>
    <row r="74" spans="1:18" x14ac:dyDescent="0.35">
      <c r="A74" s="409"/>
      <c r="B74" s="62">
        <v>7</v>
      </c>
      <c r="C74" s="97">
        <f t="shared" si="11"/>
        <v>45147.41666666673</v>
      </c>
      <c r="D74" s="2">
        <f t="shared" si="12"/>
        <v>1471250</v>
      </c>
      <c r="E74" s="2">
        <f t="shared" si="13"/>
        <v>62666.666666666577</v>
      </c>
      <c r="F74" s="2">
        <f t="shared" si="14"/>
        <v>33851.75</v>
      </c>
      <c r="G74" s="2">
        <f t="shared" si="15"/>
        <v>10256.666666666673</v>
      </c>
      <c r="H74" s="2">
        <f t="shared" si="16"/>
        <v>18252.333333333365</v>
      </c>
      <c r="I74" s="2">
        <f t="shared" si="17"/>
        <v>1578250</v>
      </c>
      <c r="J74" s="2">
        <f t="shared" si="18"/>
        <v>11828.333333333318</v>
      </c>
      <c r="K74" s="98">
        <f t="shared" si="19"/>
        <v>17617.166666666635</v>
      </c>
      <c r="L74" s="97">
        <f t="shared" si="20"/>
        <v>1578250</v>
      </c>
      <c r="M74" s="2">
        <f t="shared" si="21"/>
        <v>1783333.3333333354</v>
      </c>
      <c r="N74" s="76">
        <f t="shared" si="22"/>
        <v>535000</v>
      </c>
      <c r="R74" s="80">
        <f t="shared" si="23"/>
        <v>7145703.6666666679</v>
      </c>
    </row>
    <row r="75" spans="1:18" x14ac:dyDescent="0.35">
      <c r="A75" s="409"/>
      <c r="B75" s="62">
        <v>8</v>
      </c>
      <c r="C75" s="97">
        <f t="shared" si="11"/>
        <v>44667.125000000065</v>
      </c>
      <c r="D75" s="2">
        <f t="shared" si="12"/>
        <v>1464375</v>
      </c>
      <c r="E75" s="2">
        <f t="shared" si="13"/>
        <v>61999.999999999913</v>
      </c>
      <c r="F75" s="2">
        <f t="shared" si="14"/>
        <v>33491.625</v>
      </c>
      <c r="G75" s="2">
        <f t="shared" si="15"/>
        <v>9955.0000000000073</v>
      </c>
      <c r="H75" s="2">
        <f t="shared" si="16"/>
        <v>17715.500000000033</v>
      </c>
      <c r="I75" s="2">
        <f t="shared" si="17"/>
        <v>1570875</v>
      </c>
      <c r="J75" s="2">
        <f t="shared" si="18"/>
        <v>11702.499999999984</v>
      </c>
      <c r="K75" s="98">
        <f t="shared" si="19"/>
        <v>17429.749999999967</v>
      </c>
      <c r="L75" s="97">
        <f t="shared" si="20"/>
        <v>1570875</v>
      </c>
      <c r="M75" s="2">
        <f t="shared" si="21"/>
        <v>1775000.0000000021</v>
      </c>
      <c r="N75" s="76">
        <f t="shared" si="22"/>
        <v>532500</v>
      </c>
      <c r="R75" s="80">
        <f t="shared" si="23"/>
        <v>7110586.5000000019</v>
      </c>
    </row>
    <row r="76" spans="1:18" x14ac:dyDescent="0.35">
      <c r="A76" s="409"/>
      <c r="B76" s="62">
        <v>9</v>
      </c>
      <c r="C76" s="97">
        <f t="shared" si="11"/>
        <v>44186.833333333401</v>
      </c>
      <c r="D76" s="2">
        <f t="shared" si="12"/>
        <v>1457500</v>
      </c>
      <c r="E76" s="2">
        <f t="shared" si="13"/>
        <v>61333.333333333248</v>
      </c>
      <c r="F76" s="2">
        <f t="shared" si="14"/>
        <v>33131.5</v>
      </c>
      <c r="G76" s="2">
        <f t="shared" si="15"/>
        <v>9653.3333333333412</v>
      </c>
      <c r="H76" s="2">
        <f t="shared" si="16"/>
        <v>17178.666666666701</v>
      </c>
      <c r="I76" s="2">
        <f t="shared" si="17"/>
        <v>1563500</v>
      </c>
      <c r="J76" s="2">
        <f t="shared" si="18"/>
        <v>11576.66666666665</v>
      </c>
      <c r="K76" s="98">
        <f t="shared" si="19"/>
        <v>17242.333333333299</v>
      </c>
      <c r="L76" s="97">
        <f t="shared" si="20"/>
        <v>1563500</v>
      </c>
      <c r="M76" s="2">
        <f t="shared" si="21"/>
        <v>1766666.6666666688</v>
      </c>
      <c r="N76" s="76">
        <f t="shared" si="22"/>
        <v>530000</v>
      </c>
      <c r="R76" s="80">
        <f t="shared" si="23"/>
        <v>7075469.3333333358</v>
      </c>
    </row>
    <row r="77" spans="1:18" x14ac:dyDescent="0.35">
      <c r="A77" s="409"/>
      <c r="B77" s="62">
        <v>10</v>
      </c>
      <c r="C77" s="97">
        <f t="shared" si="11"/>
        <v>43706.541666666737</v>
      </c>
      <c r="D77" s="2">
        <f t="shared" si="12"/>
        <v>1450625</v>
      </c>
      <c r="E77" s="2">
        <f t="shared" si="13"/>
        <v>60666.666666666584</v>
      </c>
      <c r="F77" s="2">
        <f t="shared" si="14"/>
        <v>32771.375</v>
      </c>
      <c r="G77" s="2">
        <f t="shared" si="15"/>
        <v>9351.6666666666752</v>
      </c>
      <c r="H77" s="2">
        <f t="shared" si="16"/>
        <v>16641.833333333369</v>
      </c>
      <c r="I77" s="2">
        <f t="shared" si="17"/>
        <v>1556125</v>
      </c>
      <c r="J77" s="2">
        <f t="shared" si="18"/>
        <v>11450.833333333316</v>
      </c>
      <c r="K77" s="98">
        <f t="shared" si="19"/>
        <v>17054.916666666631</v>
      </c>
      <c r="L77" s="97">
        <f t="shared" si="20"/>
        <v>1556125</v>
      </c>
      <c r="M77" s="2">
        <f t="shared" si="21"/>
        <v>1758333.3333333356</v>
      </c>
      <c r="N77" s="76">
        <f t="shared" si="22"/>
        <v>527500</v>
      </c>
      <c r="R77" s="80">
        <f t="shared" si="23"/>
        <v>7040352.1666666688</v>
      </c>
    </row>
    <row r="78" spans="1:18" x14ac:dyDescent="0.35">
      <c r="A78" s="409"/>
      <c r="B78" s="62">
        <v>11</v>
      </c>
      <c r="C78" s="97">
        <f t="shared" si="11"/>
        <v>43226.250000000073</v>
      </c>
      <c r="D78" s="2">
        <f t="shared" si="12"/>
        <v>1443750</v>
      </c>
      <c r="E78" s="2">
        <f t="shared" si="13"/>
        <v>59999.99999999992</v>
      </c>
      <c r="F78" s="2">
        <f t="shared" si="14"/>
        <v>32411.25</v>
      </c>
      <c r="G78" s="2">
        <f t="shared" si="15"/>
        <v>9050.0000000000091</v>
      </c>
      <c r="H78" s="2">
        <f t="shared" si="16"/>
        <v>16105.000000000035</v>
      </c>
      <c r="I78" s="2">
        <f t="shared" si="17"/>
        <v>1548750</v>
      </c>
      <c r="J78" s="2">
        <f t="shared" si="18"/>
        <v>11324.999999999982</v>
      </c>
      <c r="K78" s="98">
        <f t="shared" si="19"/>
        <v>16867.499999999964</v>
      </c>
      <c r="L78" s="97">
        <f t="shared" si="20"/>
        <v>1548750</v>
      </c>
      <c r="M78" s="2">
        <f t="shared" si="21"/>
        <v>1750000.0000000023</v>
      </c>
      <c r="N78" s="76">
        <f t="shared" si="22"/>
        <v>525000</v>
      </c>
      <c r="R78" s="80">
        <f t="shared" si="23"/>
        <v>7005235.0000000019</v>
      </c>
    </row>
    <row r="79" spans="1:18" ht="15" thickBot="1" x14ac:dyDescent="0.4">
      <c r="A79" s="409"/>
      <c r="B79" s="63">
        <v>12</v>
      </c>
      <c r="C79" s="132">
        <f t="shared" si="11"/>
        <v>42745.958333333409</v>
      </c>
      <c r="D79" s="77">
        <f t="shared" si="12"/>
        <v>1436875</v>
      </c>
      <c r="E79" s="77">
        <f t="shared" si="13"/>
        <v>59333.333333333256</v>
      </c>
      <c r="F79" s="77">
        <f t="shared" si="14"/>
        <v>32051.125</v>
      </c>
      <c r="G79" s="77">
        <f t="shared" si="15"/>
        <v>8748.333333333343</v>
      </c>
      <c r="H79" s="77">
        <f t="shared" si="16"/>
        <v>15568.166666666701</v>
      </c>
      <c r="I79" s="77">
        <f t="shared" si="17"/>
        <v>1541375</v>
      </c>
      <c r="J79" s="77">
        <f t="shared" si="18"/>
        <v>11199.166666666648</v>
      </c>
      <c r="K79" s="133">
        <f t="shared" si="19"/>
        <v>16680.083333333296</v>
      </c>
      <c r="L79" s="132">
        <f t="shared" si="20"/>
        <v>1541375</v>
      </c>
      <c r="M79" s="77">
        <f t="shared" si="21"/>
        <v>1741666.6666666691</v>
      </c>
      <c r="N79" s="78">
        <f t="shared" si="22"/>
        <v>522500</v>
      </c>
      <c r="R79" s="80">
        <f t="shared" si="23"/>
        <v>6970117.8333333358</v>
      </c>
    </row>
    <row r="80" spans="1:18" x14ac:dyDescent="0.35">
      <c r="A80" s="409">
        <v>4</v>
      </c>
      <c r="B80" s="123">
        <v>1</v>
      </c>
      <c r="C80" s="134">
        <f t="shared" si="11"/>
        <v>42265.666666666744</v>
      </c>
      <c r="D80" s="135">
        <f t="shared" si="12"/>
        <v>1430000</v>
      </c>
      <c r="E80" s="135">
        <f t="shared" si="13"/>
        <v>58666.666666666591</v>
      </c>
      <c r="F80" s="135">
        <f t="shared" si="14"/>
        <v>31691</v>
      </c>
      <c r="G80" s="135">
        <f t="shared" si="15"/>
        <v>8446.666666666677</v>
      </c>
      <c r="H80" s="135">
        <f t="shared" si="16"/>
        <v>15031.333333333367</v>
      </c>
      <c r="I80" s="135">
        <f t="shared" si="17"/>
        <v>1534000</v>
      </c>
      <c r="J80" s="135">
        <f t="shared" si="18"/>
        <v>11073.333333333314</v>
      </c>
      <c r="K80" s="136">
        <f t="shared" si="19"/>
        <v>16492.666666666628</v>
      </c>
      <c r="L80" s="134">
        <f t="shared" si="20"/>
        <v>1534000</v>
      </c>
      <c r="M80" s="135">
        <f t="shared" si="21"/>
        <v>1733333.3333333358</v>
      </c>
      <c r="N80" s="137">
        <f t="shared" si="22"/>
        <v>520000</v>
      </c>
      <c r="R80" s="80">
        <f t="shared" si="23"/>
        <v>6935000.6666666688</v>
      </c>
    </row>
    <row r="81" spans="1:18" x14ac:dyDescent="0.35">
      <c r="A81" s="409"/>
      <c r="B81" s="62">
        <v>2</v>
      </c>
      <c r="C81" s="97">
        <f t="shared" ref="C81:C108" si="24">C80-$G$22</f>
        <v>41785.37500000008</v>
      </c>
      <c r="D81" s="2">
        <f t="shared" ref="D81:D108" si="25">D80-$G$23</f>
        <v>1423125</v>
      </c>
      <c r="E81" s="2">
        <f t="shared" ref="E81:E108" si="26">E80-$G$24</f>
        <v>57999.999999999927</v>
      </c>
      <c r="F81" s="2">
        <f t="shared" ref="F81:F108" si="27">F80-$G$25</f>
        <v>31330.875</v>
      </c>
      <c r="G81" s="2">
        <f t="shared" ref="G81:G108" si="28">G80-$G$26</f>
        <v>8145.00000000001</v>
      </c>
      <c r="H81" s="2">
        <f t="shared" ref="H81:H108" si="29">H80-$G$27</f>
        <v>14494.500000000033</v>
      </c>
      <c r="I81" s="2">
        <f t="shared" ref="I81:I108" si="30">I80-$G$28</f>
        <v>1526625</v>
      </c>
      <c r="J81" s="2">
        <f t="shared" ref="J81:J108" si="31">J80-$G$29</f>
        <v>10947.49999999998</v>
      </c>
      <c r="K81" s="98">
        <f t="shared" ref="K81:K108" si="32">K80-$G$30</f>
        <v>16305.249999999962</v>
      </c>
      <c r="L81" s="97">
        <f t="shared" ref="L81:L108" si="33">L80-$M$22</f>
        <v>1526625</v>
      </c>
      <c r="M81" s="2">
        <f t="shared" ref="M81:M108" si="34">M80-$M$23</f>
        <v>1725000.0000000026</v>
      </c>
      <c r="N81" s="76">
        <f t="shared" ref="N81:N108" si="35">N80-$M$24</f>
        <v>517500</v>
      </c>
      <c r="R81" s="80">
        <f t="shared" si="23"/>
        <v>6899883.5000000028</v>
      </c>
    </row>
    <row r="82" spans="1:18" x14ac:dyDescent="0.35">
      <c r="A82" s="409"/>
      <c r="B82" s="62">
        <v>3</v>
      </c>
      <c r="C82" s="97">
        <f t="shared" si="24"/>
        <v>41305.083333333416</v>
      </c>
      <c r="D82" s="2">
        <f t="shared" si="25"/>
        <v>1416250</v>
      </c>
      <c r="E82" s="2">
        <f t="shared" si="26"/>
        <v>57333.333333333263</v>
      </c>
      <c r="F82" s="2">
        <f t="shared" si="27"/>
        <v>30970.75</v>
      </c>
      <c r="G82" s="2">
        <f t="shared" si="28"/>
        <v>7843.333333333343</v>
      </c>
      <c r="H82" s="2">
        <f t="shared" si="29"/>
        <v>13957.666666666699</v>
      </c>
      <c r="I82" s="2">
        <f t="shared" si="30"/>
        <v>1519250</v>
      </c>
      <c r="J82" s="2">
        <f t="shared" si="31"/>
        <v>10821.666666666646</v>
      </c>
      <c r="K82" s="98">
        <f t="shared" si="32"/>
        <v>16117.833333333296</v>
      </c>
      <c r="L82" s="97">
        <f t="shared" si="33"/>
        <v>1519250</v>
      </c>
      <c r="M82" s="2">
        <f t="shared" si="34"/>
        <v>1716666.6666666693</v>
      </c>
      <c r="N82" s="76">
        <f t="shared" si="35"/>
        <v>515000</v>
      </c>
      <c r="R82" s="80">
        <f t="shared" si="23"/>
        <v>6864766.3333333358</v>
      </c>
    </row>
    <row r="83" spans="1:18" x14ac:dyDescent="0.35">
      <c r="A83" s="409"/>
      <c r="B83" s="62">
        <v>4</v>
      </c>
      <c r="C83" s="97">
        <f t="shared" si="24"/>
        <v>40824.791666666752</v>
      </c>
      <c r="D83" s="2">
        <f t="shared" si="25"/>
        <v>1409375</v>
      </c>
      <c r="E83" s="2">
        <f t="shared" si="26"/>
        <v>56666.666666666599</v>
      </c>
      <c r="F83" s="2">
        <f t="shared" si="27"/>
        <v>30610.625</v>
      </c>
      <c r="G83" s="2">
        <f t="shared" si="28"/>
        <v>7541.6666666666761</v>
      </c>
      <c r="H83" s="2">
        <f t="shared" si="29"/>
        <v>13420.833333333365</v>
      </c>
      <c r="I83" s="2">
        <f t="shared" si="30"/>
        <v>1511875</v>
      </c>
      <c r="J83" s="2">
        <f t="shared" si="31"/>
        <v>10695.833333333312</v>
      </c>
      <c r="K83" s="98">
        <f t="shared" si="32"/>
        <v>15930.41666666663</v>
      </c>
      <c r="L83" s="97">
        <f t="shared" si="33"/>
        <v>1511875</v>
      </c>
      <c r="M83" s="2">
        <f t="shared" si="34"/>
        <v>1708333.333333336</v>
      </c>
      <c r="N83" s="76">
        <f t="shared" si="35"/>
        <v>512500</v>
      </c>
      <c r="R83" s="80">
        <f t="shared" si="23"/>
        <v>6829649.1666666688</v>
      </c>
    </row>
    <row r="84" spans="1:18" x14ac:dyDescent="0.35">
      <c r="A84" s="409"/>
      <c r="B84" s="62">
        <v>5</v>
      </c>
      <c r="C84" s="97">
        <f t="shared" si="24"/>
        <v>40344.500000000087</v>
      </c>
      <c r="D84" s="2">
        <f t="shared" si="25"/>
        <v>1402500</v>
      </c>
      <c r="E84" s="2">
        <f t="shared" si="26"/>
        <v>55999.999999999935</v>
      </c>
      <c r="F84" s="2">
        <f t="shared" si="27"/>
        <v>30250.5</v>
      </c>
      <c r="G84" s="2">
        <f t="shared" si="28"/>
        <v>7240.0000000000091</v>
      </c>
      <c r="H84" s="2">
        <f t="shared" si="29"/>
        <v>12884.000000000031</v>
      </c>
      <c r="I84" s="2">
        <f t="shared" si="30"/>
        <v>1504500</v>
      </c>
      <c r="J84" s="2">
        <f t="shared" si="31"/>
        <v>10569.999999999978</v>
      </c>
      <c r="K84" s="98">
        <f t="shared" si="32"/>
        <v>15742.999999999964</v>
      </c>
      <c r="L84" s="97">
        <f t="shared" si="33"/>
        <v>1504500</v>
      </c>
      <c r="M84" s="2">
        <f t="shared" si="34"/>
        <v>1700000.0000000028</v>
      </c>
      <c r="N84" s="76">
        <f t="shared" si="35"/>
        <v>510000</v>
      </c>
      <c r="R84" s="80">
        <f t="shared" si="23"/>
        <v>6794532.0000000028</v>
      </c>
    </row>
    <row r="85" spans="1:18" x14ac:dyDescent="0.35">
      <c r="A85" s="409"/>
      <c r="B85" s="62">
        <v>6</v>
      </c>
      <c r="C85" s="97">
        <f t="shared" si="24"/>
        <v>39864.208333333423</v>
      </c>
      <c r="D85" s="2">
        <f t="shared" si="25"/>
        <v>1395625</v>
      </c>
      <c r="E85" s="2">
        <f t="shared" si="26"/>
        <v>55333.33333333327</v>
      </c>
      <c r="F85" s="2">
        <f t="shared" si="27"/>
        <v>29890.375</v>
      </c>
      <c r="G85" s="2">
        <f t="shared" si="28"/>
        <v>6938.3333333333421</v>
      </c>
      <c r="H85" s="2">
        <f t="shared" si="29"/>
        <v>12347.166666666697</v>
      </c>
      <c r="I85" s="2">
        <f t="shared" si="30"/>
        <v>1497125</v>
      </c>
      <c r="J85" s="2">
        <f t="shared" si="31"/>
        <v>10444.166666666644</v>
      </c>
      <c r="K85" s="98">
        <f t="shared" si="32"/>
        <v>15555.583333333298</v>
      </c>
      <c r="L85" s="97">
        <f t="shared" si="33"/>
        <v>1497125</v>
      </c>
      <c r="M85" s="2">
        <f t="shared" si="34"/>
        <v>1691666.6666666695</v>
      </c>
      <c r="N85" s="76">
        <f t="shared" si="35"/>
        <v>507500</v>
      </c>
      <c r="R85" s="80">
        <f t="shared" si="23"/>
        <v>6759414.8333333367</v>
      </c>
    </row>
    <row r="86" spans="1:18" x14ac:dyDescent="0.35">
      <c r="A86" s="409"/>
      <c r="B86" s="62">
        <v>7</v>
      </c>
      <c r="C86" s="97">
        <f t="shared" si="24"/>
        <v>39383.916666666759</v>
      </c>
      <c r="D86" s="2">
        <f t="shared" si="25"/>
        <v>1388750</v>
      </c>
      <c r="E86" s="2">
        <f t="shared" si="26"/>
        <v>54666.666666666606</v>
      </c>
      <c r="F86" s="2">
        <f t="shared" si="27"/>
        <v>29530.25</v>
      </c>
      <c r="G86" s="2">
        <f t="shared" si="28"/>
        <v>6636.6666666666752</v>
      </c>
      <c r="H86" s="2">
        <f t="shared" si="29"/>
        <v>11810.333333333363</v>
      </c>
      <c r="I86" s="2">
        <f t="shared" si="30"/>
        <v>1489750</v>
      </c>
      <c r="J86" s="2">
        <f t="shared" si="31"/>
        <v>10318.33333333331</v>
      </c>
      <c r="K86" s="98">
        <f t="shared" si="32"/>
        <v>15368.166666666631</v>
      </c>
      <c r="L86" s="97">
        <f t="shared" si="33"/>
        <v>1489750</v>
      </c>
      <c r="M86" s="2">
        <f t="shared" si="34"/>
        <v>1683333.3333333363</v>
      </c>
      <c r="N86" s="76">
        <f t="shared" si="35"/>
        <v>505000</v>
      </c>
      <c r="R86" s="80">
        <f t="shared" si="23"/>
        <v>6724297.6666666698</v>
      </c>
    </row>
    <row r="87" spans="1:18" x14ac:dyDescent="0.35">
      <c r="A87" s="409"/>
      <c r="B87" s="62">
        <v>8</v>
      </c>
      <c r="C87" s="97">
        <f t="shared" si="24"/>
        <v>38903.625000000095</v>
      </c>
      <c r="D87" s="2">
        <f t="shared" si="25"/>
        <v>1381875</v>
      </c>
      <c r="E87" s="2">
        <f t="shared" si="26"/>
        <v>53999.999999999942</v>
      </c>
      <c r="F87" s="2">
        <f t="shared" si="27"/>
        <v>29170.125</v>
      </c>
      <c r="G87" s="2">
        <f t="shared" si="28"/>
        <v>6335.0000000000082</v>
      </c>
      <c r="H87" s="2">
        <f t="shared" si="29"/>
        <v>11273.500000000029</v>
      </c>
      <c r="I87" s="2">
        <f t="shared" si="30"/>
        <v>1482375</v>
      </c>
      <c r="J87" s="2">
        <f t="shared" si="31"/>
        <v>10192.499999999976</v>
      </c>
      <c r="K87" s="98">
        <f t="shared" si="32"/>
        <v>15180.749999999965</v>
      </c>
      <c r="L87" s="97">
        <f t="shared" si="33"/>
        <v>1482375</v>
      </c>
      <c r="M87" s="2">
        <f t="shared" si="34"/>
        <v>1675000.000000003</v>
      </c>
      <c r="N87" s="76">
        <f t="shared" si="35"/>
        <v>502500</v>
      </c>
      <c r="R87" s="80">
        <f t="shared" si="23"/>
        <v>6689180.5000000028</v>
      </c>
    </row>
    <row r="88" spans="1:18" x14ac:dyDescent="0.35">
      <c r="A88" s="409"/>
      <c r="B88" s="62">
        <v>9</v>
      </c>
      <c r="C88" s="97">
        <f t="shared" si="24"/>
        <v>38423.33333333343</v>
      </c>
      <c r="D88" s="2">
        <f t="shared" si="25"/>
        <v>1375000</v>
      </c>
      <c r="E88" s="2">
        <f t="shared" si="26"/>
        <v>53333.333333333278</v>
      </c>
      <c r="F88" s="2">
        <f t="shared" si="27"/>
        <v>28810</v>
      </c>
      <c r="G88" s="2">
        <f t="shared" si="28"/>
        <v>6033.3333333333412</v>
      </c>
      <c r="H88" s="2">
        <f t="shared" si="29"/>
        <v>10736.666666666695</v>
      </c>
      <c r="I88" s="2">
        <f t="shared" si="30"/>
        <v>1475000</v>
      </c>
      <c r="J88" s="2">
        <f t="shared" si="31"/>
        <v>10066.666666666642</v>
      </c>
      <c r="K88" s="98">
        <f t="shared" si="32"/>
        <v>14993.333333333299</v>
      </c>
      <c r="L88" s="97">
        <f t="shared" si="33"/>
        <v>1475000</v>
      </c>
      <c r="M88" s="2">
        <f t="shared" si="34"/>
        <v>1666666.6666666698</v>
      </c>
      <c r="N88" s="76">
        <f t="shared" si="35"/>
        <v>500000</v>
      </c>
      <c r="R88" s="80">
        <f t="shared" si="23"/>
        <v>6654063.3333333367</v>
      </c>
    </row>
    <row r="89" spans="1:18" x14ac:dyDescent="0.35">
      <c r="A89" s="409"/>
      <c r="B89" s="62">
        <v>10</v>
      </c>
      <c r="C89" s="97">
        <f t="shared" si="24"/>
        <v>37943.041666666766</v>
      </c>
      <c r="D89" s="2">
        <f t="shared" si="25"/>
        <v>1368125</v>
      </c>
      <c r="E89" s="2">
        <f t="shared" si="26"/>
        <v>52666.666666666613</v>
      </c>
      <c r="F89" s="2">
        <f t="shared" si="27"/>
        <v>28449.875</v>
      </c>
      <c r="G89" s="2">
        <f t="shared" si="28"/>
        <v>5731.6666666666742</v>
      </c>
      <c r="H89" s="2">
        <f t="shared" si="29"/>
        <v>10199.833333333361</v>
      </c>
      <c r="I89" s="2">
        <f t="shared" si="30"/>
        <v>1467625</v>
      </c>
      <c r="J89" s="2">
        <f t="shared" si="31"/>
        <v>9940.8333333333085</v>
      </c>
      <c r="K89" s="98">
        <f t="shared" si="32"/>
        <v>14805.916666666633</v>
      </c>
      <c r="L89" s="97">
        <f t="shared" si="33"/>
        <v>1467625</v>
      </c>
      <c r="M89" s="2">
        <f t="shared" si="34"/>
        <v>1658333.3333333365</v>
      </c>
      <c r="N89" s="76">
        <f t="shared" si="35"/>
        <v>497500</v>
      </c>
      <c r="R89" s="80">
        <f t="shared" si="23"/>
        <v>6618946.1666666698</v>
      </c>
    </row>
    <row r="90" spans="1:18" x14ac:dyDescent="0.35">
      <c r="A90" s="409"/>
      <c r="B90" s="62">
        <v>11</v>
      </c>
      <c r="C90" s="97">
        <f t="shared" si="24"/>
        <v>37462.750000000102</v>
      </c>
      <c r="D90" s="2">
        <f t="shared" si="25"/>
        <v>1361250</v>
      </c>
      <c r="E90" s="2">
        <f t="shared" si="26"/>
        <v>51999.999999999949</v>
      </c>
      <c r="F90" s="2">
        <f t="shared" si="27"/>
        <v>28089.75</v>
      </c>
      <c r="G90" s="2">
        <f t="shared" si="28"/>
        <v>5430.0000000000073</v>
      </c>
      <c r="H90" s="2">
        <f t="shared" si="29"/>
        <v>9663.0000000000273</v>
      </c>
      <c r="I90" s="2">
        <f t="shared" si="30"/>
        <v>1460250</v>
      </c>
      <c r="J90" s="2">
        <f t="shared" si="31"/>
        <v>9814.9999999999745</v>
      </c>
      <c r="K90" s="98">
        <f t="shared" si="32"/>
        <v>14618.499999999967</v>
      </c>
      <c r="L90" s="97">
        <f t="shared" si="33"/>
        <v>1460250</v>
      </c>
      <c r="M90" s="2">
        <f t="shared" si="34"/>
        <v>1650000.0000000033</v>
      </c>
      <c r="N90" s="76">
        <f t="shared" si="35"/>
        <v>495000</v>
      </c>
      <c r="R90" s="80">
        <f t="shared" si="23"/>
        <v>6583829.0000000037</v>
      </c>
    </row>
    <row r="91" spans="1:18" ht="15" thickBot="1" x14ac:dyDescent="0.4">
      <c r="A91" s="409"/>
      <c r="B91" s="63">
        <v>12</v>
      </c>
      <c r="C91" s="132">
        <f t="shared" si="24"/>
        <v>36982.458333333438</v>
      </c>
      <c r="D91" s="77">
        <f t="shared" si="25"/>
        <v>1354375</v>
      </c>
      <c r="E91" s="77">
        <f t="shared" si="26"/>
        <v>51333.333333333285</v>
      </c>
      <c r="F91" s="77">
        <f t="shared" si="27"/>
        <v>27729.625</v>
      </c>
      <c r="G91" s="77">
        <f t="shared" si="28"/>
        <v>5128.3333333333403</v>
      </c>
      <c r="H91" s="77">
        <f t="shared" si="29"/>
        <v>9126.1666666666933</v>
      </c>
      <c r="I91" s="77">
        <f t="shared" si="30"/>
        <v>1452875</v>
      </c>
      <c r="J91" s="77">
        <f t="shared" si="31"/>
        <v>9689.1666666666406</v>
      </c>
      <c r="K91" s="133">
        <f t="shared" si="32"/>
        <v>14431.083333333301</v>
      </c>
      <c r="L91" s="132">
        <f t="shared" si="33"/>
        <v>1452875</v>
      </c>
      <c r="M91" s="77">
        <f t="shared" si="34"/>
        <v>1641666.66666667</v>
      </c>
      <c r="N91" s="78">
        <f t="shared" si="35"/>
        <v>492500</v>
      </c>
      <c r="R91" s="80">
        <f t="shared" si="23"/>
        <v>6548711.8333333367</v>
      </c>
    </row>
    <row r="92" spans="1:18" x14ac:dyDescent="0.35">
      <c r="A92" s="409">
        <v>5</v>
      </c>
      <c r="B92" s="123">
        <v>1</v>
      </c>
      <c r="C92" s="134">
        <f t="shared" si="24"/>
        <v>36502.166666666773</v>
      </c>
      <c r="D92" s="135">
        <f t="shared" si="25"/>
        <v>1347500</v>
      </c>
      <c r="E92" s="135">
        <f t="shared" si="26"/>
        <v>50666.666666666621</v>
      </c>
      <c r="F92" s="135">
        <f t="shared" si="27"/>
        <v>27369.5</v>
      </c>
      <c r="G92" s="135">
        <f t="shared" si="28"/>
        <v>4826.6666666666733</v>
      </c>
      <c r="H92" s="135">
        <f t="shared" si="29"/>
        <v>8589.3333333333594</v>
      </c>
      <c r="I92" s="135">
        <f t="shared" si="30"/>
        <v>1445500</v>
      </c>
      <c r="J92" s="135">
        <f t="shared" si="31"/>
        <v>9563.3333333333067</v>
      </c>
      <c r="K92" s="136">
        <f t="shared" si="32"/>
        <v>14243.666666666635</v>
      </c>
      <c r="L92" s="134">
        <f t="shared" si="33"/>
        <v>1445500</v>
      </c>
      <c r="M92" s="135">
        <f t="shared" si="34"/>
        <v>1633333.3333333367</v>
      </c>
      <c r="N92" s="137">
        <f t="shared" si="35"/>
        <v>490000</v>
      </c>
      <c r="R92" s="80">
        <f t="shared" si="23"/>
        <v>6513594.6666666698</v>
      </c>
    </row>
    <row r="93" spans="1:18" x14ac:dyDescent="0.35">
      <c r="A93" s="409"/>
      <c r="B93" s="62">
        <v>2</v>
      </c>
      <c r="C93" s="97">
        <f t="shared" si="24"/>
        <v>36021.875000000109</v>
      </c>
      <c r="D93" s="2">
        <f t="shared" si="25"/>
        <v>1340625</v>
      </c>
      <c r="E93" s="2">
        <f t="shared" si="26"/>
        <v>49999.999999999956</v>
      </c>
      <c r="F93" s="2">
        <f t="shared" si="27"/>
        <v>27009.375</v>
      </c>
      <c r="G93" s="2">
        <f t="shared" si="28"/>
        <v>4525.0000000000064</v>
      </c>
      <c r="H93" s="2">
        <f t="shared" si="29"/>
        <v>8052.5000000000264</v>
      </c>
      <c r="I93" s="2">
        <f t="shared" si="30"/>
        <v>1438125</v>
      </c>
      <c r="J93" s="2">
        <f t="shared" si="31"/>
        <v>9437.4999999999727</v>
      </c>
      <c r="K93" s="98">
        <f t="shared" si="32"/>
        <v>14056.249999999969</v>
      </c>
      <c r="L93" s="97">
        <f t="shared" si="33"/>
        <v>1438125</v>
      </c>
      <c r="M93" s="2">
        <f t="shared" si="34"/>
        <v>1625000.0000000035</v>
      </c>
      <c r="N93" s="76">
        <f t="shared" si="35"/>
        <v>487500</v>
      </c>
      <c r="R93" s="80">
        <f t="shared" si="23"/>
        <v>6478477.5000000037</v>
      </c>
    </row>
    <row r="94" spans="1:18" x14ac:dyDescent="0.35">
      <c r="A94" s="409"/>
      <c r="B94" s="62">
        <v>3</v>
      </c>
      <c r="C94" s="97">
        <f t="shared" si="24"/>
        <v>35541.583333333445</v>
      </c>
      <c r="D94" s="2">
        <f t="shared" si="25"/>
        <v>1333750</v>
      </c>
      <c r="E94" s="2">
        <f t="shared" si="26"/>
        <v>49333.333333333292</v>
      </c>
      <c r="F94" s="2">
        <f t="shared" si="27"/>
        <v>26649.25</v>
      </c>
      <c r="G94" s="2">
        <f t="shared" si="28"/>
        <v>4223.3333333333394</v>
      </c>
      <c r="H94" s="2">
        <f t="shared" si="29"/>
        <v>7515.6666666666933</v>
      </c>
      <c r="I94" s="2">
        <f t="shared" si="30"/>
        <v>1430750</v>
      </c>
      <c r="J94" s="2">
        <f t="shared" si="31"/>
        <v>9311.6666666666388</v>
      </c>
      <c r="K94" s="98">
        <f t="shared" si="32"/>
        <v>13868.833333333303</v>
      </c>
      <c r="L94" s="97">
        <f t="shared" si="33"/>
        <v>1430750</v>
      </c>
      <c r="M94" s="2">
        <f t="shared" si="34"/>
        <v>1616666.6666666702</v>
      </c>
      <c r="N94" s="76">
        <f t="shared" si="35"/>
        <v>485000</v>
      </c>
      <c r="R94" s="80">
        <f t="shared" si="23"/>
        <v>6443360.3333333377</v>
      </c>
    </row>
    <row r="95" spans="1:18" x14ac:dyDescent="0.35">
      <c r="A95" s="409"/>
      <c r="B95" s="62">
        <v>4</v>
      </c>
      <c r="C95" s="97">
        <f t="shared" si="24"/>
        <v>35061.291666666781</v>
      </c>
      <c r="D95" s="2">
        <f t="shared" si="25"/>
        <v>1326875</v>
      </c>
      <c r="E95" s="2">
        <f t="shared" si="26"/>
        <v>48666.666666666628</v>
      </c>
      <c r="F95" s="2">
        <f t="shared" si="27"/>
        <v>26289.125</v>
      </c>
      <c r="G95" s="2">
        <f t="shared" si="28"/>
        <v>3921.6666666666729</v>
      </c>
      <c r="H95" s="2">
        <f t="shared" si="29"/>
        <v>6978.8333333333603</v>
      </c>
      <c r="I95" s="2">
        <f t="shared" si="30"/>
        <v>1423375</v>
      </c>
      <c r="J95" s="2">
        <f t="shared" si="31"/>
        <v>9185.8333333333048</v>
      </c>
      <c r="K95" s="98">
        <f t="shared" si="32"/>
        <v>13681.416666666637</v>
      </c>
      <c r="L95" s="97">
        <f t="shared" si="33"/>
        <v>1423375</v>
      </c>
      <c r="M95" s="2">
        <f t="shared" si="34"/>
        <v>1608333.333333337</v>
      </c>
      <c r="N95" s="76">
        <f t="shared" si="35"/>
        <v>482500</v>
      </c>
      <c r="R95" s="80">
        <f t="shared" si="23"/>
        <v>6408243.1666666707</v>
      </c>
    </row>
    <row r="96" spans="1:18" x14ac:dyDescent="0.35">
      <c r="A96" s="409"/>
      <c r="B96" s="62">
        <v>5</v>
      </c>
      <c r="C96" s="97">
        <f t="shared" si="24"/>
        <v>34581.000000000116</v>
      </c>
      <c r="D96" s="2">
        <f t="shared" si="25"/>
        <v>1320000</v>
      </c>
      <c r="E96" s="2">
        <f t="shared" si="26"/>
        <v>47999.999999999964</v>
      </c>
      <c r="F96" s="2">
        <f t="shared" si="27"/>
        <v>25929</v>
      </c>
      <c r="G96" s="2">
        <f t="shared" si="28"/>
        <v>3620.0000000000064</v>
      </c>
      <c r="H96" s="2">
        <f t="shared" si="29"/>
        <v>6442.0000000000273</v>
      </c>
      <c r="I96" s="2">
        <f t="shared" si="30"/>
        <v>1416000</v>
      </c>
      <c r="J96" s="2">
        <f t="shared" si="31"/>
        <v>9059.9999999999709</v>
      </c>
      <c r="K96" s="98">
        <f t="shared" si="32"/>
        <v>13493.999999999971</v>
      </c>
      <c r="L96" s="97">
        <f t="shared" si="33"/>
        <v>1416000</v>
      </c>
      <c r="M96" s="2">
        <f t="shared" si="34"/>
        <v>1600000.0000000037</v>
      </c>
      <c r="N96" s="76">
        <f t="shared" si="35"/>
        <v>480000</v>
      </c>
      <c r="R96" s="80">
        <f t="shared" si="23"/>
        <v>6373126.0000000037</v>
      </c>
    </row>
    <row r="97" spans="1:18" x14ac:dyDescent="0.35">
      <c r="A97" s="409"/>
      <c r="B97" s="62">
        <v>6</v>
      </c>
      <c r="C97" s="97">
        <f t="shared" si="24"/>
        <v>34100.708333333452</v>
      </c>
      <c r="D97" s="2">
        <f t="shared" si="25"/>
        <v>1313125</v>
      </c>
      <c r="E97" s="2">
        <f t="shared" si="26"/>
        <v>47333.333333333299</v>
      </c>
      <c r="F97" s="2">
        <f t="shared" si="27"/>
        <v>25568.875</v>
      </c>
      <c r="G97" s="2">
        <f t="shared" si="28"/>
        <v>3318.3333333333399</v>
      </c>
      <c r="H97" s="2">
        <f t="shared" si="29"/>
        <v>5905.1666666666943</v>
      </c>
      <c r="I97" s="2">
        <f t="shared" si="30"/>
        <v>1408625</v>
      </c>
      <c r="J97" s="2">
        <f t="shared" si="31"/>
        <v>8934.166666666637</v>
      </c>
      <c r="K97" s="98">
        <f t="shared" si="32"/>
        <v>13306.583333333305</v>
      </c>
      <c r="L97" s="97">
        <f t="shared" si="33"/>
        <v>1408625</v>
      </c>
      <c r="M97" s="2">
        <f t="shared" si="34"/>
        <v>1591666.6666666705</v>
      </c>
      <c r="N97" s="76">
        <f t="shared" si="35"/>
        <v>477500</v>
      </c>
      <c r="R97" s="80">
        <f t="shared" si="23"/>
        <v>6338008.8333333377</v>
      </c>
    </row>
    <row r="98" spans="1:18" x14ac:dyDescent="0.35">
      <c r="A98" s="409"/>
      <c r="B98" s="62">
        <v>7</v>
      </c>
      <c r="C98" s="97">
        <f t="shared" si="24"/>
        <v>33620.416666666788</v>
      </c>
      <c r="D98" s="2">
        <f t="shared" si="25"/>
        <v>1306250</v>
      </c>
      <c r="E98" s="2">
        <f t="shared" si="26"/>
        <v>46666.666666666635</v>
      </c>
      <c r="F98" s="2">
        <f t="shared" si="27"/>
        <v>25208.75</v>
      </c>
      <c r="G98" s="2">
        <f t="shared" si="28"/>
        <v>3016.6666666666733</v>
      </c>
      <c r="H98" s="2">
        <f t="shared" si="29"/>
        <v>5368.3333333333612</v>
      </c>
      <c r="I98" s="2">
        <f t="shared" si="30"/>
        <v>1401250</v>
      </c>
      <c r="J98" s="2">
        <f t="shared" si="31"/>
        <v>8808.333333333303</v>
      </c>
      <c r="K98" s="98">
        <f t="shared" si="32"/>
        <v>13119.166666666639</v>
      </c>
      <c r="L98" s="97">
        <f t="shared" si="33"/>
        <v>1401250</v>
      </c>
      <c r="M98" s="2">
        <f t="shared" si="34"/>
        <v>1583333.3333333372</v>
      </c>
      <c r="N98" s="76">
        <f t="shared" si="35"/>
        <v>475000</v>
      </c>
      <c r="R98" s="80">
        <f t="shared" si="23"/>
        <v>6302891.6666666716</v>
      </c>
    </row>
    <row r="99" spans="1:18" x14ac:dyDescent="0.35">
      <c r="A99" s="409"/>
      <c r="B99" s="62">
        <v>8</v>
      </c>
      <c r="C99" s="97">
        <f t="shared" si="24"/>
        <v>33140.125000000124</v>
      </c>
      <c r="D99" s="2">
        <f t="shared" si="25"/>
        <v>1299375</v>
      </c>
      <c r="E99" s="2">
        <f t="shared" si="26"/>
        <v>45999.999999999971</v>
      </c>
      <c r="F99" s="2">
        <f t="shared" si="27"/>
        <v>24848.625</v>
      </c>
      <c r="G99" s="2">
        <f t="shared" si="28"/>
        <v>2715.0000000000068</v>
      </c>
      <c r="H99" s="2">
        <f t="shared" si="29"/>
        <v>4831.5000000000282</v>
      </c>
      <c r="I99" s="2">
        <f t="shared" si="30"/>
        <v>1393875</v>
      </c>
      <c r="J99" s="2">
        <f t="shared" si="31"/>
        <v>8682.4999999999691</v>
      </c>
      <c r="K99" s="98">
        <f t="shared" si="32"/>
        <v>12931.749999999973</v>
      </c>
      <c r="L99" s="97">
        <f t="shared" si="33"/>
        <v>1393875</v>
      </c>
      <c r="M99" s="2">
        <f t="shared" si="34"/>
        <v>1575000.000000004</v>
      </c>
      <c r="N99" s="76">
        <f t="shared" si="35"/>
        <v>472500</v>
      </c>
      <c r="R99" s="80">
        <f t="shared" si="23"/>
        <v>6267774.5000000037</v>
      </c>
    </row>
    <row r="100" spans="1:18" x14ac:dyDescent="0.35">
      <c r="A100" s="409"/>
      <c r="B100" s="62">
        <v>9</v>
      </c>
      <c r="C100" s="97">
        <f t="shared" si="24"/>
        <v>32659.833333333456</v>
      </c>
      <c r="D100" s="2">
        <f t="shared" si="25"/>
        <v>1292500</v>
      </c>
      <c r="E100" s="2">
        <f t="shared" si="26"/>
        <v>45333.333333333307</v>
      </c>
      <c r="F100" s="2">
        <f t="shared" si="27"/>
        <v>24488.5</v>
      </c>
      <c r="G100" s="2">
        <f t="shared" si="28"/>
        <v>2413.3333333333403</v>
      </c>
      <c r="H100" s="2">
        <f t="shared" si="29"/>
        <v>4294.6666666666952</v>
      </c>
      <c r="I100" s="2">
        <f t="shared" si="30"/>
        <v>1386500</v>
      </c>
      <c r="J100" s="2">
        <f t="shared" si="31"/>
        <v>8556.6666666666351</v>
      </c>
      <c r="K100" s="98">
        <f t="shared" si="32"/>
        <v>12744.333333333307</v>
      </c>
      <c r="L100" s="97">
        <f t="shared" si="33"/>
        <v>1386500</v>
      </c>
      <c r="M100" s="2">
        <f t="shared" si="34"/>
        <v>1566666.6666666707</v>
      </c>
      <c r="N100" s="76">
        <f t="shared" si="35"/>
        <v>470000</v>
      </c>
      <c r="R100" s="80">
        <f t="shared" si="23"/>
        <v>6232657.3333333377</v>
      </c>
    </row>
    <row r="101" spans="1:18" x14ac:dyDescent="0.35">
      <c r="A101" s="409"/>
      <c r="B101" s="62">
        <v>10</v>
      </c>
      <c r="C101" s="97">
        <f t="shared" si="24"/>
        <v>32179.541666666788</v>
      </c>
      <c r="D101" s="2">
        <f t="shared" si="25"/>
        <v>1285625</v>
      </c>
      <c r="E101" s="2">
        <f t="shared" si="26"/>
        <v>44666.666666666642</v>
      </c>
      <c r="F101" s="2">
        <f t="shared" si="27"/>
        <v>24128.375</v>
      </c>
      <c r="G101" s="2">
        <f t="shared" si="28"/>
        <v>2111.6666666666738</v>
      </c>
      <c r="H101" s="2">
        <f t="shared" si="29"/>
        <v>3757.8333333333617</v>
      </c>
      <c r="I101" s="2">
        <f t="shared" si="30"/>
        <v>1379125</v>
      </c>
      <c r="J101" s="2">
        <f t="shared" si="31"/>
        <v>8430.8333333333012</v>
      </c>
      <c r="K101" s="98">
        <f t="shared" si="32"/>
        <v>12556.916666666641</v>
      </c>
      <c r="L101" s="97">
        <f t="shared" si="33"/>
        <v>1379125</v>
      </c>
      <c r="M101" s="2">
        <f t="shared" si="34"/>
        <v>1558333.3333333374</v>
      </c>
      <c r="N101" s="76">
        <f t="shared" si="35"/>
        <v>467500</v>
      </c>
      <c r="R101" s="80">
        <f t="shared" si="23"/>
        <v>6197540.1666666707</v>
      </c>
    </row>
    <row r="102" spans="1:18" x14ac:dyDescent="0.35">
      <c r="A102" s="409"/>
      <c r="B102" s="62">
        <v>11</v>
      </c>
      <c r="C102" s="97">
        <f t="shared" si="24"/>
        <v>31699.25000000012</v>
      </c>
      <c r="D102" s="2">
        <f t="shared" si="25"/>
        <v>1278750</v>
      </c>
      <c r="E102" s="2">
        <f t="shared" si="26"/>
        <v>43999.999999999978</v>
      </c>
      <c r="F102" s="2">
        <f t="shared" si="27"/>
        <v>23768.25</v>
      </c>
      <c r="G102" s="2">
        <f t="shared" si="28"/>
        <v>1810.000000000007</v>
      </c>
      <c r="H102" s="2">
        <f t="shared" si="29"/>
        <v>3221.0000000000282</v>
      </c>
      <c r="I102" s="2">
        <f t="shared" si="30"/>
        <v>1371750</v>
      </c>
      <c r="J102" s="2">
        <f t="shared" si="31"/>
        <v>8304.9999999999673</v>
      </c>
      <c r="K102" s="98">
        <f t="shared" si="32"/>
        <v>12369.499999999975</v>
      </c>
      <c r="L102" s="97">
        <f t="shared" si="33"/>
        <v>1371750</v>
      </c>
      <c r="M102" s="2">
        <f t="shared" si="34"/>
        <v>1550000.0000000042</v>
      </c>
      <c r="N102" s="76">
        <f t="shared" si="35"/>
        <v>465000</v>
      </c>
      <c r="R102" s="80">
        <f t="shared" si="23"/>
        <v>6162423.0000000037</v>
      </c>
    </row>
    <row r="103" spans="1:18" ht="15" thickBot="1" x14ac:dyDescent="0.4">
      <c r="A103" s="409"/>
      <c r="B103" s="63">
        <v>12</v>
      </c>
      <c r="C103" s="132">
        <f t="shared" si="24"/>
        <v>31218.958333333452</v>
      </c>
      <c r="D103" s="77">
        <f t="shared" si="25"/>
        <v>1271875</v>
      </c>
      <c r="E103" s="77">
        <f t="shared" si="26"/>
        <v>43333.333333333314</v>
      </c>
      <c r="F103" s="77">
        <f t="shared" si="27"/>
        <v>23408.125</v>
      </c>
      <c r="G103" s="77">
        <f t="shared" si="28"/>
        <v>1508.3333333333403</v>
      </c>
      <c r="H103" s="77">
        <f t="shared" si="29"/>
        <v>2684.1666666666947</v>
      </c>
      <c r="I103" s="77">
        <f t="shared" si="30"/>
        <v>1364375</v>
      </c>
      <c r="J103" s="77">
        <f t="shared" si="31"/>
        <v>8179.1666666666342</v>
      </c>
      <c r="K103" s="133">
        <f t="shared" si="32"/>
        <v>12182.083333333308</v>
      </c>
      <c r="L103" s="132">
        <f t="shared" si="33"/>
        <v>1364375</v>
      </c>
      <c r="M103" s="77">
        <f t="shared" si="34"/>
        <v>1541666.6666666709</v>
      </c>
      <c r="N103" s="78">
        <f t="shared" si="35"/>
        <v>462500</v>
      </c>
      <c r="R103" s="80">
        <f t="shared" si="23"/>
        <v>6127305.8333333377</v>
      </c>
    </row>
    <row r="104" spans="1:18" x14ac:dyDescent="0.35">
      <c r="A104" s="409">
        <v>6</v>
      </c>
      <c r="B104" s="123">
        <v>1</v>
      </c>
      <c r="C104" s="134">
        <f t="shared" si="24"/>
        <v>30738.666666666784</v>
      </c>
      <c r="D104" s="135">
        <f t="shared" si="25"/>
        <v>1265000</v>
      </c>
      <c r="E104" s="135">
        <f t="shared" si="26"/>
        <v>42666.66666666665</v>
      </c>
      <c r="F104" s="135">
        <f t="shared" si="27"/>
        <v>23048</v>
      </c>
      <c r="G104" s="135">
        <f t="shared" si="28"/>
        <v>1206.6666666666736</v>
      </c>
      <c r="H104" s="135">
        <f t="shared" si="29"/>
        <v>2147.3333333333612</v>
      </c>
      <c r="I104" s="135">
        <f t="shared" si="30"/>
        <v>1357000</v>
      </c>
      <c r="J104" s="135">
        <f t="shared" si="31"/>
        <v>8053.3333333333012</v>
      </c>
      <c r="K104" s="136">
        <f t="shared" si="32"/>
        <v>11994.666666666642</v>
      </c>
      <c r="L104" s="134">
        <f t="shared" si="33"/>
        <v>1357000</v>
      </c>
      <c r="M104" s="135">
        <f t="shared" si="34"/>
        <v>1533333.3333333377</v>
      </c>
      <c r="N104" s="137">
        <f t="shared" si="35"/>
        <v>460000</v>
      </c>
      <c r="R104" s="80">
        <f t="shared" si="23"/>
        <v>6092188.6666666716</v>
      </c>
    </row>
    <row r="105" spans="1:18" x14ac:dyDescent="0.35">
      <c r="A105" s="409"/>
      <c r="B105" s="62">
        <v>2</v>
      </c>
      <c r="C105" s="97">
        <f t="shared" si="24"/>
        <v>30258.375000000116</v>
      </c>
      <c r="D105" s="2">
        <f t="shared" si="25"/>
        <v>1258125</v>
      </c>
      <c r="E105" s="2">
        <f t="shared" si="26"/>
        <v>41999.999999999985</v>
      </c>
      <c r="F105" s="2">
        <f t="shared" si="27"/>
        <v>22687.875</v>
      </c>
      <c r="G105" s="2">
        <f t="shared" si="28"/>
        <v>905.00000000000682</v>
      </c>
      <c r="H105" s="2">
        <f t="shared" si="29"/>
        <v>1610.5000000000277</v>
      </c>
      <c r="I105" s="2">
        <f t="shared" si="30"/>
        <v>1349625</v>
      </c>
      <c r="J105" s="2">
        <f t="shared" si="31"/>
        <v>7927.4999999999682</v>
      </c>
      <c r="K105" s="98">
        <f t="shared" si="32"/>
        <v>11807.249999999976</v>
      </c>
      <c r="L105" s="97">
        <f t="shared" si="33"/>
        <v>1349625</v>
      </c>
      <c r="M105" s="2">
        <f t="shared" si="34"/>
        <v>1525000.0000000044</v>
      </c>
      <c r="N105" s="76">
        <f t="shared" si="35"/>
        <v>457500</v>
      </c>
      <c r="R105" s="80">
        <f t="shared" si="23"/>
        <v>6057071.5000000047</v>
      </c>
    </row>
    <row r="106" spans="1:18" x14ac:dyDescent="0.35">
      <c r="A106" s="409"/>
      <c r="B106" s="62">
        <v>3</v>
      </c>
      <c r="C106" s="97">
        <f t="shared" si="24"/>
        <v>29778.083333333449</v>
      </c>
      <c r="D106" s="2">
        <f t="shared" si="25"/>
        <v>1251250</v>
      </c>
      <c r="E106" s="2">
        <f t="shared" si="26"/>
        <v>41333.333333333321</v>
      </c>
      <c r="F106" s="2">
        <f t="shared" si="27"/>
        <v>22327.75</v>
      </c>
      <c r="G106" s="2">
        <f t="shared" si="28"/>
        <v>603.33333333334008</v>
      </c>
      <c r="H106" s="2">
        <f t="shared" si="29"/>
        <v>1073.6666666666943</v>
      </c>
      <c r="I106" s="2">
        <f t="shared" si="30"/>
        <v>1342250</v>
      </c>
      <c r="J106" s="2">
        <f t="shared" si="31"/>
        <v>7801.6666666666351</v>
      </c>
      <c r="K106" s="98">
        <f t="shared" si="32"/>
        <v>11619.83333333331</v>
      </c>
      <c r="L106" s="97">
        <f t="shared" si="33"/>
        <v>1342250</v>
      </c>
      <c r="M106" s="2">
        <f t="shared" si="34"/>
        <v>1516666.6666666712</v>
      </c>
      <c r="N106" s="76">
        <f t="shared" si="35"/>
        <v>455000</v>
      </c>
      <c r="R106" s="80">
        <f t="shared" si="23"/>
        <v>6021954.3333333377</v>
      </c>
    </row>
    <row r="107" spans="1:18" x14ac:dyDescent="0.35">
      <c r="A107" s="409"/>
      <c r="B107" s="62">
        <v>4</v>
      </c>
      <c r="C107" s="97">
        <f t="shared" si="24"/>
        <v>29297.791666666781</v>
      </c>
      <c r="D107" s="2">
        <f t="shared" si="25"/>
        <v>1244375</v>
      </c>
      <c r="E107" s="2">
        <f t="shared" si="26"/>
        <v>40666.666666666657</v>
      </c>
      <c r="F107" s="2">
        <f t="shared" si="27"/>
        <v>21967.625</v>
      </c>
      <c r="G107" s="2">
        <f t="shared" si="28"/>
        <v>301.66666666667339</v>
      </c>
      <c r="H107" s="2">
        <f t="shared" si="29"/>
        <v>536.83333333336088</v>
      </c>
      <c r="I107" s="2">
        <f t="shared" si="30"/>
        <v>1334875</v>
      </c>
      <c r="J107" s="2">
        <f t="shared" si="31"/>
        <v>7675.8333333333021</v>
      </c>
      <c r="K107" s="98">
        <f t="shared" si="32"/>
        <v>11432.416666666644</v>
      </c>
      <c r="L107" s="97">
        <f t="shared" si="33"/>
        <v>1334875</v>
      </c>
      <c r="M107" s="2">
        <f t="shared" si="34"/>
        <v>1508333.3333333379</v>
      </c>
      <c r="N107" s="76">
        <f t="shared" si="35"/>
        <v>452500</v>
      </c>
      <c r="R107" s="80">
        <f t="shared" si="23"/>
        <v>5986837.1666666716</v>
      </c>
    </row>
    <row r="108" spans="1:18" ht="15" thickBot="1" x14ac:dyDescent="0.4">
      <c r="A108" s="409"/>
      <c r="B108" s="63">
        <v>5</v>
      </c>
      <c r="C108" s="132">
        <f t="shared" si="24"/>
        <v>28817.500000000113</v>
      </c>
      <c r="D108" s="77">
        <f t="shared" si="25"/>
        <v>1237500</v>
      </c>
      <c r="E108" s="77">
        <f t="shared" si="26"/>
        <v>39999.999999999993</v>
      </c>
      <c r="F108" s="77">
        <f t="shared" si="27"/>
        <v>21607.5</v>
      </c>
      <c r="G108" s="77">
        <f t="shared" si="28"/>
        <v>6.7075234255753458E-12</v>
      </c>
      <c r="H108" s="77">
        <f t="shared" si="29"/>
        <v>2.7512214728631079E-11</v>
      </c>
      <c r="I108" s="77">
        <f t="shared" si="30"/>
        <v>1327500</v>
      </c>
      <c r="J108" s="77">
        <f t="shared" si="31"/>
        <v>7549.9999999999691</v>
      </c>
      <c r="K108" s="133">
        <f t="shared" si="32"/>
        <v>11244.999999999978</v>
      </c>
      <c r="L108" s="132">
        <f t="shared" si="33"/>
        <v>1327500</v>
      </c>
      <c r="M108" s="77">
        <f t="shared" si="34"/>
        <v>1500000.0000000047</v>
      </c>
      <c r="N108" s="78">
        <f t="shared" si="35"/>
        <v>450000</v>
      </c>
      <c r="R108" s="80">
        <f t="shared" si="23"/>
        <v>5951720.0000000047</v>
      </c>
    </row>
  </sheetData>
  <mergeCells count="13">
    <mergeCell ref="A68:A79"/>
    <mergeCell ref="A80:A91"/>
    <mergeCell ref="A92:A103"/>
    <mergeCell ref="A104:A108"/>
    <mergeCell ref="C6:J6"/>
    <mergeCell ref="C13:F13"/>
    <mergeCell ref="C20:G20"/>
    <mergeCell ref="B41:L41"/>
    <mergeCell ref="C46:K46"/>
    <mergeCell ref="L46:N46"/>
    <mergeCell ref="A48:A55"/>
    <mergeCell ref="A56:A67"/>
    <mergeCell ref="I20:M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B3EAB-1384-40E1-84E8-428BFFF54F83}">
  <dimension ref="A1:BB36"/>
  <sheetViews>
    <sheetView topLeftCell="AS1" zoomScaleNormal="100" workbookViewId="0">
      <selection activeCell="BB1" sqref="BB1:BB2"/>
    </sheetView>
  </sheetViews>
  <sheetFormatPr baseColWidth="10" defaultColWidth="11.453125" defaultRowHeight="14.5" x14ac:dyDescent="0.35"/>
  <cols>
    <col min="1" max="1" width="11.453125" style="49"/>
    <col min="2" max="2" width="16" customWidth="1"/>
    <col min="3" max="3" width="14" bestFit="1" customWidth="1"/>
    <col min="8" max="8" width="12.26953125" bestFit="1" customWidth="1"/>
    <col min="14" max="14" width="12.26953125" bestFit="1" customWidth="1"/>
    <col min="20" max="20" width="15" bestFit="1" customWidth="1"/>
    <col min="26" max="26" width="12.1796875" bestFit="1" customWidth="1"/>
    <col min="30" max="30" width="17.81640625" bestFit="1" customWidth="1"/>
    <col min="33" max="33" width="14" customWidth="1"/>
    <col min="37" max="37" width="12" bestFit="1" customWidth="1"/>
    <col min="41" max="41" width="12.1796875" bestFit="1" customWidth="1"/>
    <col min="46" max="46" width="25.81640625" customWidth="1"/>
    <col min="50" max="50" width="23.1796875" customWidth="1"/>
    <col min="52" max="52" width="12" bestFit="1" customWidth="1"/>
    <col min="54" max="54" width="12" bestFit="1" customWidth="1"/>
  </cols>
  <sheetData>
    <row r="1" spans="1:54" s="5" customFormat="1" ht="43.5" customHeight="1" x14ac:dyDescent="0.35">
      <c r="A1" s="416">
        <v>0</v>
      </c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/>
      <c r="P1" s="418" t="s">
        <v>171</v>
      </c>
      <c r="Q1" s="418"/>
      <c r="R1" s="418"/>
      <c r="S1" s="418"/>
      <c r="T1" s="418"/>
      <c r="U1" s="418"/>
      <c r="V1" s="418"/>
      <c r="W1" s="10"/>
      <c r="X1" s="11"/>
      <c r="Y1"/>
      <c r="Z1" s="9"/>
      <c r="AB1" s="6"/>
      <c r="AC1" s="6"/>
      <c r="AD1" s="6"/>
      <c r="AE1" s="6"/>
      <c r="AG1" s="6"/>
      <c r="AI1" s="6"/>
      <c r="AJ1" s="6"/>
      <c r="AK1" s="6"/>
      <c r="AL1" s="6"/>
      <c r="AM1" s="6"/>
      <c r="AO1" s="6"/>
      <c r="AP1" s="6"/>
      <c r="AQ1" s="6"/>
      <c r="AR1" s="6"/>
      <c r="AT1" s="6"/>
      <c r="AU1" s="6"/>
      <c r="AV1" s="6"/>
      <c r="AW1" s="6"/>
      <c r="AX1" s="6"/>
      <c r="AZ1" s="6"/>
      <c r="BB1" s="377" t="s">
        <v>172</v>
      </c>
    </row>
    <row r="2" spans="1:54" s="18" customFormat="1" ht="114" customHeight="1" x14ac:dyDescent="0.35">
      <c r="A2" s="416"/>
      <c r="C2" s="6" t="s">
        <v>173</v>
      </c>
      <c r="D2" s="6" t="s">
        <v>174</v>
      </c>
      <c r="E2" s="6" t="s">
        <v>175</v>
      </c>
      <c r="F2" s="19" t="s">
        <v>176</v>
      </c>
      <c r="G2" s="19" t="s">
        <v>177</v>
      </c>
      <c r="H2" s="6" t="s">
        <v>178</v>
      </c>
      <c r="I2" s="19" t="s">
        <v>179</v>
      </c>
      <c r="J2" s="6" t="s">
        <v>180</v>
      </c>
      <c r="K2" s="6" t="s">
        <v>181</v>
      </c>
      <c r="L2" s="19" t="s">
        <v>182</v>
      </c>
      <c r="M2" s="19" t="s">
        <v>183</v>
      </c>
      <c r="N2" s="54" t="s">
        <v>184</v>
      </c>
      <c r="O2" s="20"/>
      <c r="P2" s="19" t="s">
        <v>185</v>
      </c>
      <c r="Q2" s="19" t="s">
        <v>186</v>
      </c>
      <c r="R2" s="19" t="s">
        <v>187</v>
      </c>
      <c r="S2" s="19" t="s">
        <v>188</v>
      </c>
      <c r="T2" s="19" t="s">
        <v>189</v>
      </c>
      <c r="U2" s="19" t="s">
        <v>190</v>
      </c>
      <c r="V2" s="19" t="s">
        <v>191</v>
      </c>
      <c r="W2" s="19" t="s">
        <v>192</v>
      </c>
      <c r="X2" s="19" t="s">
        <v>193</v>
      </c>
      <c r="Y2" s="5"/>
      <c r="Z2" s="54" t="s">
        <v>194</v>
      </c>
      <c r="AB2" s="21" t="s">
        <v>195</v>
      </c>
      <c r="AC2" s="21" t="s">
        <v>196</v>
      </c>
      <c r="AD2" s="21" t="s">
        <v>197</v>
      </c>
      <c r="AE2" s="17" t="s">
        <v>198</v>
      </c>
      <c r="AG2" s="17" t="s">
        <v>199</v>
      </c>
      <c r="AI2" s="21" t="s">
        <v>200</v>
      </c>
      <c r="AJ2" s="21" t="s">
        <v>201</v>
      </c>
      <c r="AK2" s="21" t="s">
        <v>202</v>
      </c>
      <c r="AL2" s="21" t="s">
        <v>203</v>
      </c>
      <c r="AM2" s="23" t="s">
        <v>204</v>
      </c>
      <c r="AO2" s="21" t="s">
        <v>205</v>
      </c>
      <c r="AP2" s="21" t="s">
        <v>206</v>
      </c>
      <c r="AQ2" s="21" t="s">
        <v>207</v>
      </c>
      <c r="AR2" s="17" t="s">
        <v>208</v>
      </c>
      <c r="AT2" s="21" t="s">
        <v>209</v>
      </c>
      <c r="AU2" s="21" t="s">
        <v>210</v>
      </c>
      <c r="AV2" s="21" t="s">
        <v>211</v>
      </c>
      <c r="AW2" s="23" t="s">
        <v>212</v>
      </c>
      <c r="AX2" s="22" t="s">
        <v>213</v>
      </c>
      <c r="AZ2" s="23" t="s">
        <v>214</v>
      </c>
      <c r="BB2" s="53">
        <f>SUM(AZ4:AZ6)</f>
        <v>3702432.6568135372</v>
      </c>
    </row>
    <row r="3" spans="1:54" ht="29" x14ac:dyDescent="0.35">
      <c r="A3" s="416"/>
      <c r="B3" s="200" t="s">
        <v>215</v>
      </c>
    </row>
    <row r="4" spans="1:54" x14ac:dyDescent="0.35">
      <c r="A4" s="416"/>
      <c r="C4" s="15" t="s">
        <v>216</v>
      </c>
      <c r="D4" s="15">
        <v>1234456789</v>
      </c>
      <c r="E4" s="15" t="s">
        <v>217</v>
      </c>
      <c r="F4" s="15" t="s">
        <v>218</v>
      </c>
      <c r="G4" s="15" t="s">
        <v>219</v>
      </c>
      <c r="H4" s="180">
        <f>General!E$8</f>
        <v>1000000</v>
      </c>
      <c r="I4" s="12">
        <f>H4/General!E8</f>
        <v>1</v>
      </c>
      <c r="J4" s="50">
        <f>H4/30</f>
        <v>33333.333333333336</v>
      </c>
      <c r="K4" s="105">
        <f>J4/8</f>
        <v>4166.666666666667</v>
      </c>
      <c r="L4" s="192">
        <v>30</v>
      </c>
      <c r="M4" s="50">
        <f>General!$B$2/30</f>
        <v>3905.7333333333331</v>
      </c>
      <c r="N4" s="187">
        <f>L4*J4</f>
        <v>1000000.0000000001</v>
      </c>
      <c r="P4" s="105">
        <f>(Q4*K4)*1.25</f>
        <v>15625</v>
      </c>
      <c r="Q4" s="15">
        <v>3</v>
      </c>
      <c r="R4" s="50">
        <f>(S4*K4)*1.75</f>
        <v>36458.333333333336</v>
      </c>
      <c r="S4" s="15">
        <v>5</v>
      </c>
      <c r="T4" s="50">
        <f>K4</f>
        <v>4166.666666666667</v>
      </c>
      <c r="U4" s="15">
        <v>1</v>
      </c>
      <c r="V4" s="50">
        <f>P4+R4+T4</f>
        <v>56250</v>
      </c>
      <c r="W4" s="50">
        <f>M4*L4</f>
        <v>117172</v>
      </c>
      <c r="X4" s="105">
        <v>2000</v>
      </c>
      <c r="Z4" s="50">
        <f>N4+V4+W4+X4</f>
        <v>1175422</v>
      </c>
      <c r="AB4" s="50">
        <f>(Z4-W4)*0.04</f>
        <v>42330</v>
      </c>
      <c r="AC4" s="105">
        <f>(Z4-W4)*0.04</f>
        <v>42330</v>
      </c>
      <c r="AD4" s="15">
        <f>IF(H4 &gt;= 4*General!$B$1,Nomina!H4*1%,0)</f>
        <v>0</v>
      </c>
      <c r="AE4" s="50">
        <f>SUM(AB4:AD4)</f>
        <v>84660</v>
      </c>
      <c r="AG4" s="50">
        <f>Z4-AE4</f>
        <v>1090762</v>
      </c>
      <c r="AI4" s="50">
        <f>8.33*Z4/100</f>
        <v>97912.652600000001</v>
      </c>
      <c r="AJ4" s="50">
        <f>8.33*Z4/100</f>
        <v>97912.652600000001</v>
      </c>
      <c r="AK4" s="50">
        <f>(Z4-W4-V4)*4.17%</f>
        <v>41783.4</v>
      </c>
      <c r="AL4" s="50">
        <f>AI4*12%</f>
        <v>11749.518312</v>
      </c>
      <c r="AM4" s="50">
        <f>SUM(AI4:AL4)</f>
        <v>249358.223512</v>
      </c>
      <c r="AO4" s="50">
        <f>($Z$10-$W$10)*4%</f>
        <v>43492.919178571516</v>
      </c>
      <c r="AP4" s="50">
        <f>($Z$10-$W$10)*2%</f>
        <v>21746.459589285758</v>
      </c>
      <c r="AQ4" s="50">
        <f>($Z$10-$W$10)*3%</f>
        <v>32619.689383928635</v>
      </c>
      <c r="AR4" s="50">
        <f>SUM(AO4:AQ4)</f>
        <v>97859.068151785905</v>
      </c>
      <c r="AT4" s="50">
        <f>($Z$10-$W$10)*8.5%</f>
        <v>92422.453254464475</v>
      </c>
      <c r="AU4" s="50">
        <f>($Z$10-$W$10)*12%</f>
        <v>130478.75753571454</v>
      </c>
      <c r="AV4" s="50">
        <f>($Z$10-$W$10)*0.522%</f>
        <v>5675.8259528035824</v>
      </c>
      <c r="AW4" s="50">
        <f>SUM(AT4:AV4)</f>
        <v>228577.0367429826</v>
      </c>
      <c r="AX4" s="190">
        <v>100000</v>
      </c>
      <c r="AZ4" s="52">
        <f>Z4+AM4+AR4+AW4+AX4</f>
        <v>1851216.3284067686</v>
      </c>
    </row>
    <row r="5" spans="1:54" ht="29.25" customHeight="1" x14ac:dyDescent="0.35">
      <c r="A5" s="416"/>
      <c r="B5" s="200" t="s">
        <v>220</v>
      </c>
    </row>
    <row r="6" spans="1:54" x14ac:dyDescent="0.35">
      <c r="A6" s="416"/>
      <c r="C6" s="15" t="s">
        <v>221</v>
      </c>
      <c r="D6" s="15">
        <v>1234456790</v>
      </c>
      <c r="E6" s="15" t="s">
        <v>217</v>
      </c>
      <c r="F6" s="15" t="s">
        <v>222</v>
      </c>
      <c r="G6" s="15" t="s">
        <v>219</v>
      </c>
      <c r="H6" s="180">
        <f>General!E$8</f>
        <v>1000000</v>
      </c>
      <c r="I6" s="12">
        <f>H6/General!E$8</f>
        <v>1</v>
      </c>
      <c r="J6" s="50">
        <f>H6/30</f>
        <v>33333.333333333336</v>
      </c>
      <c r="K6" s="105">
        <f>J6/8</f>
        <v>4166.666666666667</v>
      </c>
      <c r="L6" s="192">
        <v>30</v>
      </c>
      <c r="M6" s="50">
        <f>General!$B$2/30</f>
        <v>3905.7333333333331</v>
      </c>
      <c r="N6" s="187">
        <f>L6*J6</f>
        <v>1000000.0000000001</v>
      </c>
      <c r="P6" s="105">
        <f>(Q6*K6)*1.25</f>
        <v>15625</v>
      </c>
      <c r="Q6" s="15">
        <v>3</v>
      </c>
      <c r="R6" s="50">
        <f>(S6*K6)*1.75</f>
        <v>36458.333333333336</v>
      </c>
      <c r="S6" s="15">
        <v>5</v>
      </c>
      <c r="T6" s="50">
        <f>K6</f>
        <v>4166.666666666667</v>
      </c>
      <c r="U6" s="15">
        <v>1</v>
      </c>
      <c r="V6" s="50">
        <f>P6+R6+T6</f>
        <v>56250</v>
      </c>
      <c r="W6" s="50">
        <f>M6*L6</f>
        <v>117172</v>
      </c>
      <c r="X6" s="105">
        <v>2000</v>
      </c>
      <c r="Z6" s="50">
        <f>N6+V6+W6+X6</f>
        <v>1175422</v>
      </c>
      <c r="AB6" s="50">
        <f>(Z6-W6)*0.04</f>
        <v>42330</v>
      </c>
      <c r="AC6" s="105">
        <f>(Z6-W6)*0.04</f>
        <v>42330</v>
      </c>
      <c r="AD6" s="15">
        <f>IF(H6 &gt;= 4*General!$B$1,Nomina!H6*1%,0)</f>
        <v>0</v>
      </c>
      <c r="AE6" s="50">
        <f>SUM(AB6:AD6)</f>
        <v>84660</v>
      </c>
      <c r="AG6" s="50">
        <f>Z6-AE6</f>
        <v>1090762</v>
      </c>
      <c r="AI6" s="50">
        <f>8.33*Z6/100</f>
        <v>97912.652600000001</v>
      </c>
      <c r="AJ6" s="50">
        <f>8.33*Z6/100</f>
        <v>97912.652600000001</v>
      </c>
      <c r="AK6" s="50">
        <f>(Z6-W6-V6)*4.17%</f>
        <v>41783.4</v>
      </c>
      <c r="AL6" s="50">
        <f>AI6*12%</f>
        <v>11749.518312</v>
      </c>
      <c r="AM6" s="50">
        <f>SUM(AI6:AL6)</f>
        <v>249358.223512</v>
      </c>
      <c r="AO6" s="50">
        <f>($Z$10-$W$10)*4%</f>
        <v>43492.919178571516</v>
      </c>
      <c r="AP6" s="50">
        <f>($Z$10-$W$10)*2%</f>
        <v>21746.459589285758</v>
      </c>
      <c r="AQ6" s="50">
        <f>($Z$10-$W$10)*3%</f>
        <v>32619.689383928635</v>
      </c>
      <c r="AR6" s="50">
        <f>SUM(AO6:AQ6)</f>
        <v>97859.068151785905</v>
      </c>
      <c r="AT6" s="50">
        <f>($Z$10-$W$10)*8.5%</f>
        <v>92422.453254464475</v>
      </c>
      <c r="AU6" s="50">
        <f>($Z$10-$W$10)*12%</f>
        <v>130478.75753571454</v>
      </c>
      <c r="AV6" s="50">
        <f>($Z$10-$W$10)*0.522%</f>
        <v>5675.8259528035824</v>
      </c>
      <c r="AW6" s="50">
        <f>SUM(AT6:AV6)</f>
        <v>228577.0367429826</v>
      </c>
      <c r="AX6" s="190">
        <v>100000</v>
      </c>
      <c r="AZ6" s="52">
        <f>Z6+AM6+AR6+AW6+AX6</f>
        <v>1851216.3284067686</v>
      </c>
    </row>
    <row r="7" spans="1:54" s="5" customFormat="1" ht="39" x14ac:dyDescent="0.35">
      <c r="A7" s="416">
        <v>1</v>
      </c>
      <c r="C7" s="417"/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/>
      <c r="P7" s="418" t="s">
        <v>171</v>
      </c>
      <c r="Q7" s="418"/>
      <c r="R7" s="418"/>
      <c r="S7" s="418"/>
      <c r="T7" s="418"/>
      <c r="U7" s="418"/>
      <c r="V7" s="418"/>
      <c r="W7" s="10"/>
      <c r="X7" s="11"/>
      <c r="Y7"/>
      <c r="Z7" s="9"/>
      <c r="AB7" s="6"/>
      <c r="AC7" s="6"/>
      <c r="AD7" s="6"/>
      <c r="AE7" s="6"/>
      <c r="AG7" s="6"/>
      <c r="AI7" s="6"/>
      <c r="AJ7" s="6"/>
      <c r="AK7" s="6"/>
      <c r="AL7" s="6"/>
      <c r="AM7" s="6"/>
      <c r="AO7" s="6"/>
      <c r="AP7" s="6"/>
      <c r="AQ7" s="6"/>
      <c r="AR7" s="6"/>
      <c r="AT7" s="6"/>
      <c r="AU7" s="6"/>
      <c r="AV7" s="6"/>
      <c r="AW7" s="6"/>
      <c r="AX7" s="6"/>
      <c r="AZ7" s="6"/>
      <c r="BB7" s="23" t="s">
        <v>172</v>
      </c>
    </row>
    <row r="8" spans="1:54" s="18" customFormat="1" ht="114" customHeight="1" x14ac:dyDescent="0.35">
      <c r="A8" s="416"/>
      <c r="C8" s="6" t="s">
        <v>173</v>
      </c>
      <c r="D8" s="6" t="s">
        <v>174</v>
      </c>
      <c r="E8" s="6" t="s">
        <v>175</v>
      </c>
      <c r="F8" s="19" t="s">
        <v>176</v>
      </c>
      <c r="G8" s="19" t="s">
        <v>177</v>
      </c>
      <c r="H8" s="6" t="s">
        <v>178</v>
      </c>
      <c r="I8" s="19" t="s">
        <v>179</v>
      </c>
      <c r="J8" s="6" t="s">
        <v>180</v>
      </c>
      <c r="K8" s="6" t="s">
        <v>181</v>
      </c>
      <c r="L8" s="19" t="s">
        <v>182</v>
      </c>
      <c r="M8" s="19" t="s">
        <v>183</v>
      </c>
      <c r="N8" s="54" t="s">
        <v>184</v>
      </c>
      <c r="O8" s="20"/>
      <c r="P8" s="19" t="s">
        <v>185</v>
      </c>
      <c r="Q8" s="19" t="s">
        <v>186</v>
      </c>
      <c r="R8" s="19" t="s">
        <v>187</v>
      </c>
      <c r="S8" s="19" t="s">
        <v>188</v>
      </c>
      <c r="T8" s="19" t="s">
        <v>189</v>
      </c>
      <c r="U8" s="19" t="s">
        <v>190</v>
      </c>
      <c r="V8" s="19" t="s">
        <v>191</v>
      </c>
      <c r="W8" s="19" t="s">
        <v>192</v>
      </c>
      <c r="X8" s="19" t="s">
        <v>193</v>
      </c>
      <c r="Y8" s="5"/>
      <c r="Z8" s="54" t="s">
        <v>194</v>
      </c>
      <c r="AB8" s="21" t="s">
        <v>195</v>
      </c>
      <c r="AC8" s="21" t="s">
        <v>196</v>
      </c>
      <c r="AD8" s="21" t="s">
        <v>197</v>
      </c>
      <c r="AE8" s="17" t="s">
        <v>198</v>
      </c>
      <c r="AG8" s="17" t="s">
        <v>199</v>
      </c>
      <c r="AI8" s="21" t="s">
        <v>200</v>
      </c>
      <c r="AJ8" s="21" t="s">
        <v>201</v>
      </c>
      <c r="AK8" s="21" t="s">
        <v>202</v>
      </c>
      <c r="AL8" s="21" t="s">
        <v>203</v>
      </c>
      <c r="AM8" s="23" t="s">
        <v>204</v>
      </c>
      <c r="AO8" s="21" t="s">
        <v>205</v>
      </c>
      <c r="AP8" s="21" t="s">
        <v>206</v>
      </c>
      <c r="AQ8" s="21" t="s">
        <v>207</v>
      </c>
      <c r="AR8" s="17" t="s">
        <v>208</v>
      </c>
      <c r="AT8" s="21" t="s">
        <v>209</v>
      </c>
      <c r="AU8" s="21" t="s">
        <v>210</v>
      </c>
      <c r="AV8" s="21" t="s">
        <v>211</v>
      </c>
      <c r="AW8" s="23" t="s">
        <v>212</v>
      </c>
      <c r="AX8" s="22" t="s">
        <v>213</v>
      </c>
      <c r="AZ8" s="23" t="s">
        <v>214</v>
      </c>
      <c r="BB8" s="81">
        <f>SUM(AZ10:AZ12)</f>
        <v>3806726.2170228162</v>
      </c>
    </row>
    <row r="9" spans="1:54" ht="29" x14ac:dyDescent="0.35">
      <c r="A9" s="416"/>
      <c r="B9" s="200" t="s">
        <v>215</v>
      </c>
    </row>
    <row r="10" spans="1:54" x14ac:dyDescent="0.35">
      <c r="A10" s="416"/>
      <c r="C10" s="15" t="s">
        <v>216</v>
      </c>
      <c r="D10" s="15">
        <v>1234456789</v>
      </c>
      <c r="E10" s="15" t="s">
        <v>217</v>
      </c>
      <c r="F10" s="15" t="s">
        <v>218</v>
      </c>
      <c r="G10" s="15" t="s">
        <v>219</v>
      </c>
      <c r="H10" s="180">
        <f>General!E$10</f>
        <v>1027524.7142857164</v>
      </c>
      <c r="I10" s="12">
        <f>H10/General!E$10</f>
        <v>1</v>
      </c>
      <c r="J10" s="50">
        <f>H10/30</f>
        <v>34250.823809523878</v>
      </c>
      <c r="K10" s="105">
        <f>J10/8</f>
        <v>4281.3529761904847</v>
      </c>
      <c r="L10" s="192">
        <v>30</v>
      </c>
      <c r="M10" s="50">
        <f>General!$H$3/30</f>
        <v>4381.4516533333453</v>
      </c>
      <c r="N10" s="187">
        <f>L10*J10</f>
        <v>1027524.7142857163</v>
      </c>
      <c r="P10" s="105">
        <f>(Q10*K10)*1.25</f>
        <v>16055.073660714317</v>
      </c>
      <c r="Q10" s="15">
        <v>3</v>
      </c>
      <c r="R10" s="50">
        <f>(S10*K10)*1.75</f>
        <v>37461.838541666744</v>
      </c>
      <c r="S10" s="15">
        <v>5</v>
      </c>
      <c r="T10" s="50">
        <f>K10</f>
        <v>4281.3529761904847</v>
      </c>
      <c r="U10" s="15">
        <v>1</v>
      </c>
      <c r="V10" s="50">
        <f>P10+R10+T10</f>
        <v>57798.26517857155</v>
      </c>
      <c r="W10" s="50">
        <f>M10*L10</f>
        <v>131443.54960000035</v>
      </c>
      <c r="X10" s="105">
        <v>2000</v>
      </c>
      <c r="Z10" s="50">
        <f>N10+V10+W10+X10</f>
        <v>1218766.5290642881</v>
      </c>
      <c r="AB10" s="50">
        <f>(Z10-W10)*0.04</f>
        <v>43492.919178571516</v>
      </c>
      <c r="AC10" s="105">
        <f>(Z10-W10)*0.04</f>
        <v>43492.919178571516</v>
      </c>
      <c r="AD10" s="15">
        <f>IF(H10 &gt;= 4*General!$B$1,Nomina!H10*1%,0)</f>
        <v>0</v>
      </c>
      <c r="AE10" s="50">
        <f>SUM(AB10:AD10)</f>
        <v>86985.838357143031</v>
      </c>
      <c r="AG10" s="50">
        <f>Z10-AE10</f>
        <v>1131780.690707145</v>
      </c>
      <c r="AI10" s="50">
        <f>8.33*Z10/100</f>
        <v>101523.2518710552</v>
      </c>
      <c r="AJ10" s="50">
        <f>8.33*Z10/100</f>
        <v>101523.2518710552</v>
      </c>
      <c r="AK10" s="50">
        <f>(Z10-W10-V10)*4.17%</f>
        <v>42931.18058571437</v>
      </c>
      <c r="AL10" s="50">
        <f>AI10*12%</f>
        <v>12182.790224526623</v>
      </c>
      <c r="AM10" s="50">
        <f>SUM(AI10:AL10)</f>
        <v>258160.4745523514</v>
      </c>
      <c r="AO10" s="50">
        <f>($Z$10-$W$10)*4%</f>
        <v>43492.919178571516</v>
      </c>
      <c r="AP10" s="50">
        <f>($Z$10-$W$10)*2%</f>
        <v>21746.459589285758</v>
      </c>
      <c r="AQ10" s="50">
        <f>($Z$10-$W$10)*3%</f>
        <v>32619.689383928635</v>
      </c>
      <c r="AR10" s="50">
        <f>SUM(AO10:AQ10)</f>
        <v>97859.068151785905</v>
      </c>
      <c r="AT10" s="50">
        <f>($Z$10-$W$10)*8.5%</f>
        <v>92422.453254464475</v>
      </c>
      <c r="AU10" s="50">
        <f>($Z$10-$W$10)*12%</f>
        <v>130478.75753571454</v>
      </c>
      <c r="AV10" s="50">
        <f>($Z$10-$W$10)*0.522%</f>
        <v>5675.8259528035824</v>
      </c>
      <c r="AW10" s="50">
        <f>SUM(AT10:AV10)</f>
        <v>228577.0367429826</v>
      </c>
      <c r="AX10" s="190">
        <v>100000</v>
      </c>
      <c r="AZ10" s="52">
        <f>Z10+AM10+AR10+AW10+AX10</f>
        <v>1903363.1085114081</v>
      </c>
    </row>
    <row r="11" spans="1:54" ht="29.25" customHeight="1" x14ac:dyDescent="0.35">
      <c r="A11" s="416"/>
      <c r="B11" s="200" t="s">
        <v>220</v>
      </c>
    </row>
    <row r="12" spans="1:54" x14ac:dyDescent="0.35">
      <c r="A12" s="416"/>
      <c r="C12" s="15" t="s">
        <v>221</v>
      </c>
      <c r="D12" s="15">
        <v>1234456790</v>
      </c>
      <c r="E12" s="15" t="s">
        <v>217</v>
      </c>
      <c r="F12" s="15" t="s">
        <v>222</v>
      </c>
      <c r="G12" s="15" t="s">
        <v>219</v>
      </c>
      <c r="H12" s="180">
        <f>General!E$10</f>
        <v>1027524.7142857164</v>
      </c>
      <c r="I12" s="12">
        <f>H12/General!E$10</f>
        <v>1</v>
      </c>
      <c r="J12" s="50">
        <f>H12/30</f>
        <v>34250.823809523878</v>
      </c>
      <c r="K12" s="105">
        <f>J12/8</f>
        <v>4281.3529761904847</v>
      </c>
      <c r="L12" s="192">
        <v>30</v>
      </c>
      <c r="M12" s="50">
        <f>General!$H$3/30</f>
        <v>4381.4516533333453</v>
      </c>
      <c r="N12" s="187">
        <f>L12*J12</f>
        <v>1027524.7142857163</v>
      </c>
      <c r="P12" s="105">
        <f>(Q12*K12)*1.25</f>
        <v>16055.073660714317</v>
      </c>
      <c r="Q12" s="15">
        <v>3</v>
      </c>
      <c r="R12" s="50">
        <f>(S12*K12)*1.75</f>
        <v>37461.838541666744</v>
      </c>
      <c r="S12" s="15">
        <v>5</v>
      </c>
      <c r="T12" s="50">
        <f>K12</f>
        <v>4281.3529761904847</v>
      </c>
      <c r="U12" s="15">
        <v>1</v>
      </c>
      <c r="V12" s="50">
        <f>P12+R12+T12</f>
        <v>57798.26517857155</v>
      </c>
      <c r="W12" s="50">
        <f>M12*L12</f>
        <v>131443.54960000035</v>
      </c>
      <c r="X12" s="105">
        <v>2000</v>
      </c>
      <c r="Z12" s="50">
        <f>N12+V12+W12+X12</f>
        <v>1218766.5290642881</v>
      </c>
      <c r="AB12" s="50">
        <f>(Z12-W12)*0.04</f>
        <v>43492.919178571516</v>
      </c>
      <c r="AC12" s="105">
        <f>(Z12-W12)*0.04</f>
        <v>43492.919178571516</v>
      </c>
      <c r="AD12" s="15">
        <f>IF(H12 &gt;= 4*General!$B$1,Nomina!H12*1%,0)</f>
        <v>0</v>
      </c>
      <c r="AE12" s="50">
        <f>SUM(AB12:AD12)</f>
        <v>86985.838357143031</v>
      </c>
      <c r="AG12" s="50">
        <f>Z12-AE12</f>
        <v>1131780.690707145</v>
      </c>
      <c r="AI12" s="50">
        <f>8.33*Z12/100</f>
        <v>101523.2518710552</v>
      </c>
      <c r="AJ12" s="50">
        <f>8.33*Z12/100</f>
        <v>101523.2518710552</v>
      </c>
      <c r="AK12" s="50">
        <f>(Z12-W12-V12)*4.17%</f>
        <v>42931.18058571437</v>
      </c>
      <c r="AL12" s="50">
        <f>AI12*12%</f>
        <v>12182.790224526623</v>
      </c>
      <c r="AM12" s="50">
        <f>SUM(AI12:AL12)</f>
        <v>258160.4745523514</v>
      </c>
      <c r="AO12" s="50">
        <f>($Z$10-$W$10)*4%</f>
        <v>43492.919178571516</v>
      </c>
      <c r="AP12" s="50">
        <f>($Z$10-$W$10)*2%</f>
        <v>21746.459589285758</v>
      </c>
      <c r="AQ12" s="50">
        <f>($Z$10-$W$10)*3%</f>
        <v>32619.689383928635</v>
      </c>
      <c r="AR12" s="50">
        <f>SUM(AO12:AQ12)</f>
        <v>97859.068151785905</v>
      </c>
      <c r="AT12" s="50">
        <f>($Z$10-$W$10)*8.5%</f>
        <v>92422.453254464475</v>
      </c>
      <c r="AU12" s="50">
        <f>($Z$10-$W$10)*12%</f>
        <v>130478.75753571454</v>
      </c>
      <c r="AV12" s="50">
        <f>($Z$10-$W$10)*0.522%</f>
        <v>5675.8259528035824</v>
      </c>
      <c r="AW12" s="50">
        <f>SUM(AT12:AV12)</f>
        <v>228577.0367429826</v>
      </c>
      <c r="AX12" s="190">
        <v>100000</v>
      </c>
      <c r="AZ12" s="52">
        <f>Z12+AM12+AR12+AW12+AX12</f>
        <v>1903363.1085114081</v>
      </c>
    </row>
    <row r="13" spans="1:54" s="5" customFormat="1" ht="39" x14ac:dyDescent="0.35">
      <c r="A13" s="416">
        <v>2</v>
      </c>
      <c r="C13" s="417"/>
      <c r="D13" s="417"/>
      <c r="E13" s="417"/>
      <c r="F13" s="417"/>
      <c r="G13" s="417"/>
      <c r="H13" s="417"/>
      <c r="I13" s="417"/>
      <c r="J13" s="417"/>
      <c r="K13" s="417"/>
      <c r="L13" s="417"/>
      <c r="M13" s="417"/>
      <c r="N13" s="417"/>
      <c r="O13"/>
      <c r="P13" s="418" t="s">
        <v>171</v>
      </c>
      <c r="Q13" s="418"/>
      <c r="R13" s="418"/>
      <c r="S13" s="418"/>
      <c r="T13" s="418"/>
      <c r="U13" s="418"/>
      <c r="V13" s="418"/>
      <c r="W13" s="10"/>
      <c r="X13" s="11"/>
      <c r="Y13"/>
      <c r="Z13" s="9"/>
      <c r="AB13" s="6"/>
      <c r="AC13" s="6"/>
      <c r="AD13" s="6"/>
      <c r="AE13" s="6"/>
      <c r="AG13" s="6"/>
      <c r="AI13" s="6"/>
      <c r="AJ13" s="6"/>
      <c r="AK13" s="6"/>
      <c r="AL13" s="6"/>
      <c r="AM13" s="6"/>
      <c r="AO13" s="6"/>
      <c r="AP13" s="6"/>
      <c r="AQ13" s="6"/>
      <c r="AR13" s="6"/>
      <c r="AT13" s="6"/>
      <c r="AU13" s="6"/>
      <c r="AV13" s="6"/>
      <c r="AW13" s="6"/>
      <c r="AX13" s="6"/>
      <c r="AZ13" s="6"/>
      <c r="BB13" s="23" t="s">
        <v>172</v>
      </c>
    </row>
    <row r="14" spans="1:54" s="18" customFormat="1" ht="114" customHeight="1" x14ac:dyDescent="0.35">
      <c r="A14" s="416"/>
      <c r="C14" s="6" t="s">
        <v>173</v>
      </c>
      <c r="D14" s="6" t="s">
        <v>174</v>
      </c>
      <c r="E14" s="6" t="s">
        <v>175</v>
      </c>
      <c r="F14" s="19" t="s">
        <v>176</v>
      </c>
      <c r="G14" s="19" t="s">
        <v>177</v>
      </c>
      <c r="H14" s="6" t="s">
        <v>178</v>
      </c>
      <c r="I14" s="19" t="s">
        <v>179</v>
      </c>
      <c r="J14" s="6" t="s">
        <v>180</v>
      </c>
      <c r="K14" s="6" t="s">
        <v>181</v>
      </c>
      <c r="L14" s="19" t="s">
        <v>182</v>
      </c>
      <c r="M14" s="19" t="s">
        <v>183</v>
      </c>
      <c r="N14" s="54" t="s">
        <v>184</v>
      </c>
      <c r="O14" s="20"/>
      <c r="P14" s="19" t="s">
        <v>185</v>
      </c>
      <c r="Q14" s="19" t="s">
        <v>186</v>
      </c>
      <c r="R14" s="19" t="s">
        <v>187</v>
      </c>
      <c r="S14" s="19" t="s">
        <v>188</v>
      </c>
      <c r="T14" s="19" t="s">
        <v>189</v>
      </c>
      <c r="U14" s="19" t="s">
        <v>190</v>
      </c>
      <c r="V14" s="19" t="s">
        <v>191</v>
      </c>
      <c r="W14" s="19" t="s">
        <v>192</v>
      </c>
      <c r="X14" s="19" t="s">
        <v>193</v>
      </c>
      <c r="Y14" s="5"/>
      <c r="Z14" s="54" t="s">
        <v>194</v>
      </c>
      <c r="AB14" s="21" t="s">
        <v>195</v>
      </c>
      <c r="AC14" s="21" t="s">
        <v>196</v>
      </c>
      <c r="AD14" s="21" t="s">
        <v>197</v>
      </c>
      <c r="AE14" s="17" t="s">
        <v>198</v>
      </c>
      <c r="AG14" s="17" t="s">
        <v>199</v>
      </c>
      <c r="AI14" s="21" t="s">
        <v>200</v>
      </c>
      <c r="AJ14" s="21" t="s">
        <v>201</v>
      </c>
      <c r="AK14" s="21" t="s">
        <v>202</v>
      </c>
      <c r="AL14" s="21" t="s">
        <v>203</v>
      </c>
      <c r="AM14" s="23" t="s">
        <v>204</v>
      </c>
      <c r="AO14" s="21" t="s">
        <v>205</v>
      </c>
      <c r="AP14" s="21" t="s">
        <v>206</v>
      </c>
      <c r="AQ14" s="21" t="s">
        <v>207</v>
      </c>
      <c r="AR14" s="17" t="s">
        <v>208</v>
      </c>
      <c r="AT14" s="21" t="s">
        <v>209</v>
      </c>
      <c r="AU14" s="21" t="s">
        <v>210</v>
      </c>
      <c r="AV14" s="21" t="s">
        <v>211</v>
      </c>
      <c r="AW14" s="23" t="s">
        <v>212</v>
      </c>
      <c r="AX14" s="22" t="s">
        <v>213</v>
      </c>
      <c r="AZ14" s="23" t="s">
        <v>214</v>
      </c>
      <c r="BB14" s="81">
        <f>SUM(AZ16:AZ18)</f>
        <v>3941944.8443404832</v>
      </c>
    </row>
    <row r="15" spans="1:54" ht="29" x14ac:dyDescent="0.35">
      <c r="A15" s="416"/>
      <c r="B15" s="200" t="s">
        <v>215</v>
      </c>
    </row>
    <row r="16" spans="1:54" x14ac:dyDescent="0.35">
      <c r="A16" s="416"/>
      <c r="C16" s="15" t="s">
        <v>216</v>
      </c>
      <c r="D16" s="15">
        <v>1234456789</v>
      </c>
      <c r="E16" s="15" t="s">
        <v>217</v>
      </c>
      <c r="F16" s="15" t="s">
        <v>218</v>
      </c>
      <c r="G16" s="15" t="s">
        <v>219</v>
      </c>
      <c r="H16" s="180">
        <f>General!E$11</f>
        <v>1076446.6428571492</v>
      </c>
      <c r="I16" s="12">
        <f>H16/General!E$11</f>
        <v>1</v>
      </c>
      <c r="J16" s="50">
        <f>H16/30</f>
        <v>35881.554761904976</v>
      </c>
      <c r="K16" s="105">
        <f>J16/8</f>
        <v>4485.194345238122</v>
      </c>
      <c r="L16" s="192">
        <v>30</v>
      </c>
      <c r="M16" s="50">
        <f>General!$H$4/30</f>
        <v>4516.5900266666786</v>
      </c>
      <c r="N16" s="187">
        <f>L16*J16</f>
        <v>1076446.6428571492</v>
      </c>
      <c r="P16" s="105">
        <f>(Q16*K16)*1.25</f>
        <v>16819.478794642957</v>
      </c>
      <c r="Q16" s="15">
        <v>3</v>
      </c>
      <c r="R16" s="50">
        <f>(S16*K16)*1.75</f>
        <v>39245.450520833569</v>
      </c>
      <c r="S16" s="15">
        <v>5</v>
      </c>
      <c r="T16" s="50">
        <f>K16</f>
        <v>4485.194345238122</v>
      </c>
      <c r="U16" s="15">
        <v>1</v>
      </c>
      <c r="V16" s="50">
        <f>P16+R16+T16</f>
        <v>60550.123660714649</v>
      </c>
      <c r="W16" s="50">
        <f>M16*L16</f>
        <v>135497.70080000037</v>
      </c>
      <c r="X16" s="105">
        <v>2000</v>
      </c>
      <c r="Z16" s="50">
        <f>N16+V16+W16+X16</f>
        <v>1274494.4673178643</v>
      </c>
      <c r="AB16" s="50">
        <f>(Z16-W16)*0.04</f>
        <v>45559.870660714558</v>
      </c>
      <c r="AC16" s="105">
        <f>(Z16-W16)*0.04</f>
        <v>45559.870660714558</v>
      </c>
      <c r="AD16" s="15">
        <f>IF(H16 &gt;= 4*General!$B$1,Nomina!H16*1%,0)</f>
        <v>0</v>
      </c>
      <c r="AE16" s="50">
        <f>SUM(AB16:AD16)</f>
        <v>91119.741321429115</v>
      </c>
      <c r="AG16" s="50">
        <f>Z16-AE16</f>
        <v>1183374.7259964352</v>
      </c>
      <c r="AI16" s="50">
        <f>8.33*Z16/100</f>
        <v>106165.38912757811</v>
      </c>
      <c r="AJ16" s="50">
        <f>8.33*Z16/100</f>
        <v>106165.38912757811</v>
      </c>
      <c r="AK16" s="50">
        <f>(Z16-W16-V16)*4.17%</f>
        <v>44971.225007143126</v>
      </c>
      <c r="AL16" s="50">
        <f>AI16*12%</f>
        <v>12739.846695309372</v>
      </c>
      <c r="AM16" s="50">
        <f>SUM(AI16:AL16)</f>
        <v>270041.84995760873</v>
      </c>
      <c r="AO16" s="50">
        <f>($Z$10-$W$10)*4%</f>
        <v>43492.919178571516</v>
      </c>
      <c r="AP16" s="50">
        <f>($Z$10-$W$10)*2%</f>
        <v>21746.459589285758</v>
      </c>
      <c r="AQ16" s="50">
        <f>($Z$10-$W$10)*3%</f>
        <v>32619.689383928635</v>
      </c>
      <c r="AR16" s="50">
        <f>SUM(AO16:AQ16)</f>
        <v>97859.068151785905</v>
      </c>
      <c r="AT16" s="50">
        <f>($Z$10-$W$10)*8.5%</f>
        <v>92422.453254464475</v>
      </c>
      <c r="AU16" s="50">
        <f>($Z$10-$W$10)*12%</f>
        <v>130478.75753571454</v>
      </c>
      <c r="AV16" s="50">
        <f>($Z$10-$W$10)*0.522%</f>
        <v>5675.8259528035824</v>
      </c>
      <c r="AW16" s="50">
        <f>SUM(AT16:AV16)</f>
        <v>228577.0367429826</v>
      </c>
      <c r="AX16" s="190">
        <v>100000</v>
      </c>
      <c r="AZ16" s="52">
        <f>Z16+AM16+AR16+AW16+AX16</f>
        <v>1970972.4221702416</v>
      </c>
    </row>
    <row r="17" spans="1:54" ht="29.25" customHeight="1" x14ac:dyDescent="0.35">
      <c r="A17" s="416"/>
      <c r="B17" s="200" t="s">
        <v>220</v>
      </c>
    </row>
    <row r="18" spans="1:54" x14ac:dyDescent="0.35">
      <c r="A18" s="416"/>
      <c r="C18" s="15" t="s">
        <v>221</v>
      </c>
      <c r="D18" s="15">
        <v>1234456790</v>
      </c>
      <c r="E18" s="15" t="s">
        <v>217</v>
      </c>
      <c r="F18" s="15" t="s">
        <v>222</v>
      </c>
      <c r="G18" s="15" t="s">
        <v>219</v>
      </c>
      <c r="H18" s="180">
        <f>General!E$11</f>
        <v>1076446.6428571492</v>
      </c>
      <c r="I18" s="12">
        <f>H18/General!E$11</f>
        <v>1</v>
      </c>
      <c r="J18" s="50">
        <f>H18/30</f>
        <v>35881.554761904976</v>
      </c>
      <c r="K18" s="105">
        <f>J18/8</f>
        <v>4485.194345238122</v>
      </c>
      <c r="L18" s="192">
        <v>30</v>
      </c>
      <c r="M18" s="50">
        <f>General!$H$4/30</f>
        <v>4516.5900266666786</v>
      </c>
      <c r="N18" s="187">
        <f>L18*J18</f>
        <v>1076446.6428571492</v>
      </c>
      <c r="P18" s="105">
        <f>(Q18*K18)*1.25</f>
        <v>16819.478794642957</v>
      </c>
      <c r="Q18" s="15">
        <v>3</v>
      </c>
      <c r="R18" s="50">
        <f>(S18*K18)*1.75</f>
        <v>39245.450520833569</v>
      </c>
      <c r="S18" s="15">
        <v>5</v>
      </c>
      <c r="T18" s="50">
        <f>K18</f>
        <v>4485.194345238122</v>
      </c>
      <c r="U18" s="15">
        <v>1</v>
      </c>
      <c r="V18" s="50">
        <f>P18+R18+T18</f>
        <v>60550.123660714649</v>
      </c>
      <c r="W18" s="50">
        <f>M18*L18</f>
        <v>135497.70080000037</v>
      </c>
      <c r="X18" s="105">
        <v>2000</v>
      </c>
      <c r="Z18" s="50">
        <f>N18+V18+W18+X18</f>
        <v>1274494.4673178643</v>
      </c>
      <c r="AB18" s="50">
        <f>(Z18-W18)*0.04</f>
        <v>45559.870660714558</v>
      </c>
      <c r="AC18" s="105">
        <f>(Z18-W18)*0.04</f>
        <v>45559.870660714558</v>
      </c>
      <c r="AD18" s="15">
        <f>IF(H18 &gt;= 4*General!$B$1,Nomina!H18*1%,0)</f>
        <v>0</v>
      </c>
      <c r="AE18" s="50">
        <f>SUM(AB18:AD18)</f>
        <v>91119.741321429115</v>
      </c>
      <c r="AG18" s="50">
        <f>Z18-AE18</f>
        <v>1183374.7259964352</v>
      </c>
      <c r="AI18" s="50">
        <f>8.33*Z18/100</f>
        <v>106165.38912757811</v>
      </c>
      <c r="AJ18" s="50">
        <f>8.33*Z18/100</f>
        <v>106165.38912757811</v>
      </c>
      <c r="AK18" s="50">
        <f>(Z18-W18-V18)*4.17%</f>
        <v>44971.225007143126</v>
      </c>
      <c r="AL18" s="50">
        <f>AI18*12%</f>
        <v>12739.846695309372</v>
      </c>
      <c r="AM18" s="50">
        <f>SUM(AI18:AL18)</f>
        <v>270041.84995760873</v>
      </c>
      <c r="AO18" s="50">
        <f>($Z$10-$W$10)*4%</f>
        <v>43492.919178571516</v>
      </c>
      <c r="AP18" s="50">
        <f>($Z$10-$W$10)*2%</f>
        <v>21746.459589285758</v>
      </c>
      <c r="AQ18" s="50">
        <f>($Z$10-$W$10)*3%</f>
        <v>32619.689383928635</v>
      </c>
      <c r="AR18" s="50">
        <f>SUM(AO18:AQ18)</f>
        <v>97859.068151785905</v>
      </c>
      <c r="AT18" s="50">
        <f>($Z$10-$W$10)*8.5%</f>
        <v>92422.453254464475</v>
      </c>
      <c r="AU18" s="50">
        <f>($Z$10-$W$10)*12%</f>
        <v>130478.75753571454</v>
      </c>
      <c r="AV18" s="50">
        <f>($Z$10-$W$10)*0.522%</f>
        <v>5675.8259528035824</v>
      </c>
      <c r="AW18" s="50">
        <f>SUM(AT18:AV18)</f>
        <v>228577.0367429826</v>
      </c>
      <c r="AX18" s="190">
        <v>100000</v>
      </c>
      <c r="AZ18" s="52">
        <f>Z18+AM18+AR18+AW18+AX18</f>
        <v>1970972.4221702416</v>
      </c>
    </row>
    <row r="19" spans="1:54" s="5" customFormat="1" ht="39" x14ac:dyDescent="0.35">
      <c r="A19" s="416">
        <v>3</v>
      </c>
      <c r="C19" s="417"/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/>
      <c r="P19" s="418" t="s">
        <v>171</v>
      </c>
      <c r="Q19" s="418"/>
      <c r="R19" s="418"/>
      <c r="S19" s="418"/>
      <c r="T19" s="418"/>
      <c r="U19" s="418"/>
      <c r="V19" s="418"/>
      <c r="W19" s="10"/>
      <c r="X19" s="11"/>
      <c r="Y19"/>
      <c r="Z19" s="9"/>
      <c r="AB19" s="6"/>
      <c r="AC19" s="6"/>
      <c r="AD19" s="6"/>
      <c r="AE19" s="6"/>
      <c r="AG19" s="6"/>
      <c r="AI19" s="6"/>
      <c r="AJ19" s="6"/>
      <c r="AK19" s="6"/>
      <c r="AL19" s="6"/>
      <c r="AM19" s="6"/>
      <c r="AO19" s="6"/>
      <c r="AP19" s="6"/>
      <c r="AQ19" s="6"/>
      <c r="AR19" s="6"/>
      <c r="AT19" s="6"/>
      <c r="AU19" s="6"/>
      <c r="AV19" s="6"/>
      <c r="AW19" s="6"/>
      <c r="AX19" s="6"/>
      <c r="AZ19" s="6"/>
      <c r="BB19" s="23" t="s">
        <v>172</v>
      </c>
    </row>
    <row r="20" spans="1:54" s="18" customFormat="1" ht="114" customHeight="1" x14ac:dyDescent="0.35">
      <c r="A20" s="416"/>
      <c r="C20" s="6" t="s">
        <v>173</v>
      </c>
      <c r="D20" s="6" t="s">
        <v>174</v>
      </c>
      <c r="E20" s="6" t="s">
        <v>175</v>
      </c>
      <c r="F20" s="19" t="s">
        <v>176</v>
      </c>
      <c r="G20" s="19" t="s">
        <v>177</v>
      </c>
      <c r="H20" s="6" t="s">
        <v>178</v>
      </c>
      <c r="I20" s="19" t="s">
        <v>179</v>
      </c>
      <c r="J20" s="6" t="s">
        <v>180</v>
      </c>
      <c r="K20" s="6" t="s">
        <v>181</v>
      </c>
      <c r="L20" s="19" t="s">
        <v>182</v>
      </c>
      <c r="M20" s="19" t="s">
        <v>183</v>
      </c>
      <c r="N20" s="54" t="s">
        <v>184</v>
      </c>
      <c r="O20" s="20"/>
      <c r="P20" s="19" t="s">
        <v>185</v>
      </c>
      <c r="Q20" s="19" t="s">
        <v>186</v>
      </c>
      <c r="R20" s="19" t="s">
        <v>187</v>
      </c>
      <c r="S20" s="19" t="s">
        <v>188</v>
      </c>
      <c r="T20" s="19" t="s">
        <v>189</v>
      </c>
      <c r="U20" s="19" t="s">
        <v>190</v>
      </c>
      <c r="V20" s="19" t="s">
        <v>191</v>
      </c>
      <c r="W20" s="19" t="s">
        <v>192</v>
      </c>
      <c r="X20" s="19" t="s">
        <v>193</v>
      </c>
      <c r="Y20" s="5"/>
      <c r="Z20" s="54" t="s">
        <v>194</v>
      </c>
      <c r="AB20" s="21" t="s">
        <v>195</v>
      </c>
      <c r="AC20" s="21" t="s">
        <v>196</v>
      </c>
      <c r="AD20" s="21" t="s">
        <v>197</v>
      </c>
      <c r="AE20" s="17" t="s">
        <v>198</v>
      </c>
      <c r="AG20" s="17" t="s">
        <v>199</v>
      </c>
      <c r="AI20" s="21" t="s">
        <v>200</v>
      </c>
      <c r="AJ20" s="21" t="s">
        <v>201</v>
      </c>
      <c r="AK20" s="21" t="s">
        <v>202</v>
      </c>
      <c r="AL20" s="21" t="s">
        <v>203</v>
      </c>
      <c r="AM20" s="23" t="s">
        <v>204</v>
      </c>
      <c r="AO20" s="21" t="s">
        <v>205</v>
      </c>
      <c r="AP20" s="21" t="s">
        <v>206</v>
      </c>
      <c r="AQ20" s="21" t="s">
        <v>207</v>
      </c>
      <c r="AR20" s="17" t="s">
        <v>208</v>
      </c>
      <c r="AT20" s="21" t="s">
        <v>209</v>
      </c>
      <c r="AU20" s="21" t="s">
        <v>210</v>
      </c>
      <c r="AV20" s="21" t="s">
        <v>211</v>
      </c>
      <c r="AW20" s="23" t="s">
        <v>212</v>
      </c>
      <c r="AX20" s="22" t="s">
        <v>213</v>
      </c>
      <c r="AZ20" s="23" t="s">
        <v>214</v>
      </c>
      <c r="BB20" s="81">
        <f>SUM(AZ22:AZ24)</f>
        <v>4077163.4716581497</v>
      </c>
    </row>
    <row r="21" spans="1:54" ht="29" x14ac:dyDescent="0.35">
      <c r="A21" s="416"/>
      <c r="B21" s="200" t="s">
        <v>215</v>
      </c>
    </row>
    <row r="22" spans="1:54" x14ac:dyDescent="0.35">
      <c r="A22" s="416"/>
      <c r="C22" s="15" t="s">
        <v>216</v>
      </c>
      <c r="D22" s="15">
        <v>1234456789</v>
      </c>
      <c r="E22" s="15" t="s">
        <v>217</v>
      </c>
      <c r="F22" s="15" t="s">
        <v>218</v>
      </c>
      <c r="G22" s="15" t="s">
        <v>219</v>
      </c>
      <c r="H22" s="180">
        <f>General!E$12</f>
        <v>1125368.5714285821</v>
      </c>
      <c r="I22" s="12">
        <f>H22/General!E$12</f>
        <v>1</v>
      </c>
      <c r="J22" s="50">
        <f>H22/30</f>
        <v>37512.285714286067</v>
      </c>
      <c r="K22" s="105">
        <f>J22/8</f>
        <v>4689.0357142857583</v>
      </c>
      <c r="L22" s="192">
        <v>30</v>
      </c>
      <c r="M22" s="50">
        <f>General!$H$5/30</f>
        <v>4651.7284000000136</v>
      </c>
      <c r="N22" s="187">
        <f>L22*J22</f>
        <v>1125368.5714285821</v>
      </c>
      <c r="P22" s="105">
        <f>(Q22*K22)*1.25</f>
        <v>17583.883928571595</v>
      </c>
      <c r="Q22" s="15">
        <v>3</v>
      </c>
      <c r="R22" s="50">
        <f>(S22*K22)*1.75</f>
        <v>41029.062500000386</v>
      </c>
      <c r="S22" s="15">
        <v>5</v>
      </c>
      <c r="T22" s="50">
        <f>K22</f>
        <v>4689.0357142857583</v>
      </c>
      <c r="U22" s="15">
        <v>1</v>
      </c>
      <c r="V22" s="50">
        <f>P22+R22+T22</f>
        <v>63301.982142857742</v>
      </c>
      <c r="W22" s="50">
        <f>M22*L22</f>
        <v>139551.85200000042</v>
      </c>
      <c r="X22" s="105">
        <v>2000</v>
      </c>
      <c r="Z22" s="50">
        <f>N22+V22+W22+X22</f>
        <v>1330222.4055714402</v>
      </c>
      <c r="AB22" s="50">
        <f>(Z22-W22)*0.04</f>
        <v>47626.822142857593</v>
      </c>
      <c r="AC22" s="105">
        <f>(Z22-W22)*0.04</f>
        <v>47626.822142857593</v>
      </c>
      <c r="AD22" s="15">
        <f>IF(H22 &gt;= 4*General!$B$1,Nomina!H22*1%,0)</f>
        <v>0</v>
      </c>
      <c r="AE22" s="50">
        <f>SUM(AB22:AD22)</f>
        <v>95253.644285715185</v>
      </c>
      <c r="AG22" s="50">
        <f>Z22-AE22</f>
        <v>1234968.761285725</v>
      </c>
      <c r="AI22" s="50">
        <f>8.33*Z22/100</f>
        <v>110807.52638410097</v>
      </c>
      <c r="AJ22" s="50">
        <f>8.33*Z22/100</f>
        <v>110807.52638410097</v>
      </c>
      <c r="AK22" s="50">
        <f>(Z22-W22-V22)*4.17%</f>
        <v>47011.269428571875</v>
      </c>
      <c r="AL22" s="50">
        <f>AI22*12%</f>
        <v>13296.903166092115</v>
      </c>
      <c r="AM22" s="50">
        <f>SUM(AI22:AL22)</f>
        <v>281923.22536286595</v>
      </c>
      <c r="AO22" s="50">
        <f>($Z$10-$W$10)*4%</f>
        <v>43492.919178571516</v>
      </c>
      <c r="AP22" s="50">
        <f>($Z$10-$W$10)*2%</f>
        <v>21746.459589285758</v>
      </c>
      <c r="AQ22" s="50">
        <f>($Z$10-$W$10)*3%</f>
        <v>32619.689383928635</v>
      </c>
      <c r="AR22" s="50">
        <f>SUM(AO22:AQ22)</f>
        <v>97859.068151785905</v>
      </c>
      <c r="AT22" s="50">
        <f>($Z$10-$W$10)*8.5%</f>
        <v>92422.453254464475</v>
      </c>
      <c r="AU22" s="50">
        <f>($Z$10-$W$10)*12%</f>
        <v>130478.75753571454</v>
      </c>
      <c r="AV22" s="50">
        <f>($Z$10-$W$10)*0.522%</f>
        <v>5675.8259528035824</v>
      </c>
      <c r="AW22" s="50">
        <f>SUM(AT22:AV22)</f>
        <v>228577.0367429826</v>
      </c>
      <c r="AX22" s="190">
        <v>100000</v>
      </c>
      <c r="AZ22" s="52">
        <f>Z22+AM22+AR22+AW22+AX22</f>
        <v>2038581.7358290749</v>
      </c>
    </row>
    <row r="23" spans="1:54" ht="29.25" customHeight="1" x14ac:dyDescent="0.35">
      <c r="A23" s="416"/>
      <c r="B23" s="200" t="s">
        <v>220</v>
      </c>
    </row>
    <row r="24" spans="1:54" x14ac:dyDescent="0.35">
      <c r="A24" s="416"/>
      <c r="C24" s="15" t="s">
        <v>221</v>
      </c>
      <c r="D24" s="15">
        <v>1234456790</v>
      </c>
      <c r="E24" s="15" t="s">
        <v>217</v>
      </c>
      <c r="F24" s="15" t="s">
        <v>222</v>
      </c>
      <c r="G24" s="15" t="s">
        <v>219</v>
      </c>
      <c r="H24" s="180">
        <f>General!E$12</f>
        <v>1125368.5714285821</v>
      </c>
      <c r="I24" s="12">
        <f>H24/General!E$12</f>
        <v>1</v>
      </c>
      <c r="J24" s="50">
        <f>H24/30</f>
        <v>37512.285714286067</v>
      </c>
      <c r="K24" s="105">
        <f>J24/8</f>
        <v>4689.0357142857583</v>
      </c>
      <c r="L24" s="192">
        <v>30</v>
      </c>
      <c r="M24" s="50">
        <f>General!$H$5/30</f>
        <v>4651.7284000000136</v>
      </c>
      <c r="N24" s="187">
        <f>L24*J24</f>
        <v>1125368.5714285821</v>
      </c>
      <c r="P24" s="105">
        <f>(Q24*K24)*1.25</f>
        <v>17583.883928571595</v>
      </c>
      <c r="Q24" s="15">
        <v>3</v>
      </c>
      <c r="R24" s="50">
        <f>(S24*K24)*1.75</f>
        <v>41029.062500000386</v>
      </c>
      <c r="S24" s="15">
        <v>5</v>
      </c>
      <c r="T24" s="50">
        <f>K24</f>
        <v>4689.0357142857583</v>
      </c>
      <c r="U24" s="15">
        <v>1</v>
      </c>
      <c r="V24" s="50">
        <f>P24+R24+T24</f>
        <v>63301.982142857742</v>
      </c>
      <c r="W24" s="50">
        <f>M24*L24</f>
        <v>139551.85200000042</v>
      </c>
      <c r="X24" s="105">
        <v>2000</v>
      </c>
      <c r="Z24" s="50">
        <f>N24+V24+W24+X24</f>
        <v>1330222.4055714402</v>
      </c>
      <c r="AB24" s="50">
        <f>(Z24-W24)*0.04</f>
        <v>47626.822142857593</v>
      </c>
      <c r="AC24" s="105">
        <f>(Z24-W24)*0.04</f>
        <v>47626.822142857593</v>
      </c>
      <c r="AD24" s="15">
        <f>IF(H24 &gt;= 4*General!$B$1,Nomina!H24*1%,0)</f>
        <v>0</v>
      </c>
      <c r="AE24" s="50">
        <f>SUM(AB24:AD24)</f>
        <v>95253.644285715185</v>
      </c>
      <c r="AG24" s="50">
        <f>Z24-AE24</f>
        <v>1234968.761285725</v>
      </c>
      <c r="AI24" s="50">
        <f>8.33*Z24/100</f>
        <v>110807.52638410097</v>
      </c>
      <c r="AJ24" s="50">
        <f>8.33*Z24/100</f>
        <v>110807.52638410097</v>
      </c>
      <c r="AK24" s="50">
        <f>(Z24-W24-V24)*4.17%</f>
        <v>47011.269428571875</v>
      </c>
      <c r="AL24" s="50">
        <f>AI24*12%</f>
        <v>13296.903166092115</v>
      </c>
      <c r="AM24" s="50">
        <f>SUM(AI24:AL24)</f>
        <v>281923.22536286595</v>
      </c>
      <c r="AO24" s="50">
        <f>($Z$10-$W$10)*4%</f>
        <v>43492.919178571516</v>
      </c>
      <c r="AP24" s="50">
        <f>($Z$10-$W$10)*2%</f>
        <v>21746.459589285758</v>
      </c>
      <c r="AQ24" s="50">
        <f>($Z$10-$W$10)*3%</f>
        <v>32619.689383928635</v>
      </c>
      <c r="AR24" s="50">
        <f>SUM(AO24:AQ24)</f>
        <v>97859.068151785905</v>
      </c>
      <c r="AT24" s="50">
        <f>($Z$10-$W$10)*8.5%</f>
        <v>92422.453254464475</v>
      </c>
      <c r="AU24" s="50">
        <f>($Z$10-$W$10)*12%</f>
        <v>130478.75753571454</v>
      </c>
      <c r="AV24" s="50">
        <f>($Z$10-$W$10)*0.522%</f>
        <v>5675.8259528035824</v>
      </c>
      <c r="AW24" s="50">
        <f>SUM(AT24:AV24)</f>
        <v>228577.0367429826</v>
      </c>
      <c r="AX24" s="190">
        <v>100000</v>
      </c>
      <c r="AZ24" s="52">
        <f>Z24+AM24+AR24+AW24+AX24</f>
        <v>2038581.7358290749</v>
      </c>
    </row>
    <row r="25" spans="1:54" s="5" customFormat="1" ht="39" x14ac:dyDescent="0.35">
      <c r="A25" s="416">
        <v>4</v>
      </c>
      <c r="C25" s="417"/>
      <c r="D25" s="417"/>
      <c r="E25" s="417"/>
      <c r="F25" s="417"/>
      <c r="G25" s="417"/>
      <c r="H25" s="417"/>
      <c r="I25" s="417"/>
      <c r="J25" s="417"/>
      <c r="K25" s="417"/>
      <c r="L25" s="417"/>
      <c r="M25" s="417"/>
      <c r="N25" s="417"/>
      <c r="O25"/>
      <c r="P25" s="418" t="s">
        <v>171</v>
      </c>
      <c r="Q25" s="418"/>
      <c r="R25" s="418"/>
      <c r="S25" s="418"/>
      <c r="T25" s="418"/>
      <c r="U25" s="418"/>
      <c r="V25" s="418"/>
      <c r="W25" s="10"/>
      <c r="X25" s="11"/>
      <c r="Y25"/>
      <c r="Z25" s="9"/>
      <c r="AB25" s="6"/>
      <c r="AC25" s="6"/>
      <c r="AD25" s="6"/>
      <c r="AE25" s="6"/>
      <c r="AG25" s="6"/>
      <c r="AI25" s="6"/>
      <c r="AJ25" s="6"/>
      <c r="AK25" s="6"/>
      <c r="AL25" s="6"/>
      <c r="AM25" s="6"/>
      <c r="AO25" s="6"/>
      <c r="AP25" s="6"/>
      <c r="AQ25" s="6"/>
      <c r="AR25" s="6"/>
      <c r="AT25" s="6"/>
      <c r="AU25" s="6"/>
      <c r="AV25" s="6"/>
      <c r="AW25" s="6"/>
      <c r="AX25" s="6"/>
      <c r="AZ25" s="6"/>
      <c r="BB25" s="23" t="s">
        <v>172</v>
      </c>
    </row>
    <row r="26" spans="1:54" s="18" customFormat="1" ht="114" customHeight="1" x14ac:dyDescent="0.35">
      <c r="A26" s="416"/>
      <c r="C26" s="6" t="s">
        <v>173</v>
      </c>
      <c r="D26" s="6" t="s">
        <v>174</v>
      </c>
      <c r="E26" s="6" t="s">
        <v>175</v>
      </c>
      <c r="F26" s="19" t="s">
        <v>176</v>
      </c>
      <c r="G26" s="19" t="s">
        <v>177</v>
      </c>
      <c r="H26" s="6" t="s">
        <v>178</v>
      </c>
      <c r="I26" s="19" t="s">
        <v>179</v>
      </c>
      <c r="J26" s="6" t="s">
        <v>180</v>
      </c>
      <c r="K26" s="6" t="s">
        <v>181</v>
      </c>
      <c r="L26" s="19" t="s">
        <v>182</v>
      </c>
      <c r="M26" s="19" t="s">
        <v>183</v>
      </c>
      <c r="N26" s="54" t="s">
        <v>184</v>
      </c>
      <c r="O26" s="20"/>
      <c r="P26" s="19" t="s">
        <v>185</v>
      </c>
      <c r="Q26" s="19" t="s">
        <v>186</v>
      </c>
      <c r="R26" s="19" t="s">
        <v>187</v>
      </c>
      <c r="S26" s="19" t="s">
        <v>188</v>
      </c>
      <c r="T26" s="19" t="s">
        <v>189</v>
      </c>
      <c r="U26" s="19" t="s">
        <v>190</v>
      </c>
      <c r="V26" s="19" t="s">
        <v>191</v>
      </c>
      <c r="W26" s="19" t="s">
        <v>192</v>
      </c>
      <c r="X26" s="19" t="s">
        <v>193</v>
      </c>
      <c r="Y26" s="5"/>
      <c r="Z26" s="54" t="s">
        <v>194</v>
      </c>
      <c r="AB26" s="21" t="s">
        <v>195</v>
      </c>
      <c r="AC26" s="21" t="s">
        <v>196</v>
      </c>
      <c r="AD26" s="21" t="s">
        <v>197</v>
      </c>
      <c r="AE26" s="17" t="s">
        <v>198</v>
      </c>
      <c r="AG26" s="17" t="s">
        <v>199</v>
      </c>
      <c r="AI26" s="21" t="s">
        <v>200</v>
      </c>
      <c r="AJ26" s="21" t="s">
        <v>201</v>
      </c>
      <c r="AK26" s="21" t="s">
        <v>202</v>
      </c>
      <c r="AL26" s="21" t="s">
        <v>203</v>
      </c>
      <c r="AM26" s="23" t="s">
        <v>204</v>
      </c>
      <c r="AO26" s="21" t="s">
        <v>205</v>
      </c>
      <c r="AP26" s="21" t="s">
        <v>206</v>
      </c>
      <c r="AQ26" s="21" t="s">
        <v>207</v>
      </c>
      <c r="AR26" s="17" t="s">
        <v>208</v>
      </c>
      <c r="AT26" s="21" t="s">
        <v>209</v>
      </c>
      <c r="AU26" s="21" t="s">
        <v>210</v>
      </c>
      <c r="AV26" s="21" t="s">
        <v>211</v>
      </c>
      <c r="AW26" s="23" t="s">
        <v>212</v>
      </c>
      <c r="AX26" s="22" t="s">
        <v>213</v>
      </c>
      <c r="AZ26" s="23" t="s">
        <v>214</v>
      </c>
      <c r="BB26" s="81">
        <f>SUM(AZ28:AZ30)</f>
        <v>4212382.0989757776</v>
      </c>
    </row>
    <row r="27" spans="1:54" ht="29" x14ac:dyDescent="0.35">
      <c r="A27" s="416"/>
      <c r="B27" s="200" t="s">
        <v>215</v>
      </c>
    </row>
    <row r="28" spans="1:54" x14ac:dyDescent="0.35">
      <c r="A28" s="416"/>
      <c r="C28" s="15" t="s">
        <v>216</v>
      </c>
      <c r="D28" s="15">
        <v>1234456789</v>
      </c>
      <c r="E28" s="15" t="s">
        <v>217</v>
      </c>
      <c r="F28" s="15" t="s">
        <v>218</v>
      </c>
      <c r="G28" s="15" t="s">
        <v>219</v>
      </c>
      <c r="H28" s="180">
        <f>General!E$13</f>
        <v>1174290.5</v>
      </c>
      <c r="I28" s="12">
        <f>H28/General!E$13</f>
        <v>1</v>
      </c>
      <c r="J28" s="50">
        <f>H28/30</f>
        <v>39143.01666666667</v>
      </c>
      <c r="K28" s="105">
        <f>J28/8</f>
        <v>4892.8770833333338</v>
      </c>
      <c r="L28" s="192">
        <v>30</v>
      </c>
      <c r="M28" s="50">
        <f>General!$H$6/30</f>
        <v>4786.8667733333486</v>
      </c>
      <c r="N28" s="187">
        <f>L28*J28</f>
        <v>1174290.5</v>
      </c>
      <c r="P28" s="105">
        <f>(Q28*K28)*1.25</f>
        <v>18348.289062500004</v>
      </c>
      <c r="Q28" s="15">
        <v>3</v>
      </c>
      <c r="R28" s="50">
        <f>(S28*K28)*1.75</f>
        <v>42812.674479166672</v>
      </c>
      <c r="S28" s="15">
        <v>5</v>
      </c>
      <c r="T28" s="50">
        <f>K28</f>
        <v>4892.8770833333338</v>
      </c>
      <c r="U28" s="15">
        <v>1</v>
      </c>
      <c r="V28" s="50">
        <f>P28+R28+T28</f>
        <v>66053.840625000012</v>
      </c>
      <c r="W28" s="50">
        <f>M28*L28</f>
        <v>143606.00320000047</v>
      </c>
      <c r="X28" s="105">
        <v>2000</v>
      </c>
      <c r="Z28" s="50">
        <f>N28+V28+W28+X28</f>
        <v>1385950.3438250003</v>
      </c>
      <c r="AB28" s="50">
        <f>(Z28-W28)*0.04</f>
        <v>49693.773625000002</v>
      </c>
      <c r="AC28" s="105">
        <f>(Z28-W28)*0.04</f>
        <v>49693.773625000002</v>
      </c>
      <c r="AD28" s="15">
        <f>IF(H28 &gt;= 4*General!$B$1,Nomina!H28*1%,0)</f>
        <v>0</v>
      </c>
      <c r="AE28" s="50">
        <f>SUM(AB28:AD28)</f>
        <v>99387.547250000003</v>
      </c>
      <c r="AG28" s="50">
        <f>Z28-AE28</f>
        <v>1286562.7965750003</v>
      </c>
      <c r="AI28" s="50">
        <f>8.33*Z28/100</f>
        <v>115449.66364062253</v>
      </c>
      <c r="AJ28" s="50">
        <f>8.33*Z28/100</f>
        <v>115449.66364062253</v>
      </c>
      <c r="AK28" s="50">
        <f>(Z28-W28-V28)*4.17%</f>
        <v>49051.313849999999</v>
      </c>
      <c r="AL28" s="50">
        <f>AI28*12%</f>
        <v>13853.959636874702</v>
      </c>
      <c r="AM28" s="50">
        <f>SUM(AI28:AL28)</f>
        <v>293804.6007681198</v>
      </c>
      <c r="AO28" s="50">
        <f>($Z$10-$W$10)*4%</f>
        <v>43492.919178571516</v>
      </c>
      <c r="AP28" s="50">
        <f>($Z$10-$W$10)*2%</f>
        <v>21746.459589285758</v>
      </c>
      <c r="AQ28" s="50">
        <f>($Z$10-$W$10)*3%</f>
        <v>32619.689383928635</v>
      </c>
      <c r="AR28" s="50">
        <f>SUM(AO28:AQ28)</f>
        <v>97859.068151785905</v>
      </c>
      <c r="AT28" s="50">
        <f>($Z$10-$W$10)*8.5%</f>
        <v>92422.453254464475</v>
      </c>
      <c r="AU28" s="50">
        <f>($Z$10-$W$10)*12%</f>
        <v>130478.75753571454</v>
      </c>
      <c r="AV28" s="50">
        <f>($Z$10-$W$10)*0.522%</f>
        <v>5675.8259528035824</v>
      </c>
      <c r="AW28" s="50">
        <f>SUM(AT28:AV28)</f>
        <v>228577.0367429826</v>
      </c>
      <c r="AX28" s="190">
        <v>100000</v>
      </c>
      <c r="AZ28" s="52">
        <f>Z28+AM28+AR28+AW28+AX28</f>
        <v>2106191.0494878888</v>
      </c>
    </row>
    <row r="29" spans="1:54" ht="29.25" customHeight="1" x14ac:dyDescent="0.35">
      <c r="A29" s="416"/>
      <c r="B29" s="200" t="s">
        <v>220</v>
      </c>
    </row>
    <row r="30" spans="1:54" x14ac:dyDescent="0.35">
      <c r="A30" s="416"/>
      <c r="C30" s="15" t="s">
        <v>221</v>
      </c>
      <c r="D30" s="15">
        <v>1234456790</v>
      </c>
      <c r="E30" s="15" t="s">
        <v>217</v>
      </c>
      <c r="F30" s="15" t="s">
        <v>222</v>
      </c>
      <c r="G30" s="15" t="s">
        <v>219</v>
      </c>
      <c r="H30" s="180">
        <f>General!E$13</f>
        <v>1174290.5</v>
      </c>
      <c r="I30" s="12">
        <f>H30/General!E$13</f>
        <v>1</v>
      </c>
      <c r="J30" s="50">
        <f>H30/30</f>
        <v>39143.01666666667</v>
      </c>
      <c r="K30" s="105">
        <f>J30/8</f>
        <v>4892.8770833333338</v>
      </c>
      <c r="L30" s="192">
        <v>30</v>
      </c>
      <c r="M30" s="50">
        <f>General!$H$6/30</f>
        <v>4786.8667733333486</v>
      </c>
      <c r="N30" s="187">
        <f>L30*J30</f>
        <v>1174290.5</v>
      </c>
      <c r="P30" s="105">
        <f>(Q30*K30)*1.25</f>
        <v>18348.289062500004</v>
      </c>
      <c r="Q30" s="15">
        <v>3</v>
      </c>
      <c r="R30" s="50">
        <f>(S30*K30)*1.75</f>
        <v>42812.674479166672</v>
      </c>
      <c r="S30" s="15">
        <v>5</v>
      </c>
      <c r="T30" s="50">
        <f>K30</f>
        <v>4892.8770833333338</v>
      </c>
      <c r="U30" s="15">
        <v>1</v>
      </c>
      <c r="V30" s="50">
        <f>P30+R30+T30</f>
        <v>66053.840625000012</v>
      </c>
      <c r="W30" s="50">
        <f>M30*L30</f>
        <v>143606.00320000047</v>
      </c>
      <c r="X30" s="105">
        <v>2000</v>
      </c>
      <c r="Z30" s="50">
        <f>N30+V30+W30+X30</f>
        <v>1385950.3438250003</v>
      </c>
      <c r="AB30" s="50">
        <f>(Z30-W30)*0.04</f>
        <v>49693.773625000002</v>
      </c>
      <c r="AC30" s="105">
        <f>(Z30-W30)*0.04</f>
        <v>49693.773625000002</v>
      </c>
      <c r="AD30" s="15">
        <f>IF(H30 &gt;= 4*General!$B$1,Nomina!H30*1%,0)</f>
        <v>0</v>
      </c>
      <c r="AE30" s="50">
        <f>SUM(AB30:AD30)</f>
        <v>99387.547250000003</v>
      </c>
      <c r="AG30" s="50">
        <f>Z30-AE30</f>
        <v>1286562.7965750003</v>
      </c>
      <c r="AI30" s="50">
        <f>8.33*Z30/100</f>
        <v>115449.66364062253</v>
      </c>
      <c r="AJ30" s="50">
        <f>8.33*Z30/100</f>
        <v>115449.66364062253</v>
      </c>
      <c r="AK30" s="50">
        <f>(Z30-W30-V30)*4.17%</f>
        <v>49051.313849999999</v>
      </c>
      <c r="AL30" s="50">
        <f>AI30*12%</f>
        <v>13853.959636874702</v>
      </c>
      <c r="AM30" s="50">
        <f>SUM(AI30:AL30)</f>
        <v>293804.6007681198</v>
      </c>
      <c r="AO30" s="50">
        <f>($Z$10-$W$10)*4%</f>
        <v>43492.919178571516</v>
      </c>
      <c r="AP30" s="50">
        <f>($Z$10-$W$10)*2%</f>
        <v>21746.459589285758</v>
      </c>
      <c r="AQ30" s="50">
        <f>($Z$10-$W$10)*3%</f>
        <v>32619.689383928635</v>
      </c>
      <c r="AR30" s="50">
        <f>SUM(AO30:AQ30)</f>
        <v>97859.068151785905</v>
      </c>
      <c r="AT30" s="50">
        <f>($Z$10-$W$10)*8.5%</f>
        <v>92422.453254464475</v>
      </c>
      <c r="AU30" s="50">
        <f>($Z$10-$W$10)*12%</f>
        <v>130478.75753571454</v>
      </c>
      <c r="AV30" s="50">
        <f>($Z$10-$W$10)*0.522%</f>
        <v>5675.8259528035824</v>
      </c>
      <c r="AW30" s="50">
        <f>SUM(AT30:AV30)</f>
        <v>228577.0367429826</v>
      </c>
      <c r="AX30" s="190">
        <v>100000</v>
      </c>
      <c r="AZ30" s="52">
        <f>Z30+AM30+AR30+AW30+AX30</f>
        <v>2106191.0494878888</v>
      </c>
    </row>
    <row r="31" spans="1:54" s="5" customFormat="1" ht="39" x14ac:dyDescent="0.35">
      <c r="A31" s="416">
        <v>5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/>
      <c r="P31" s="418" t="s">
        <v>171</v>
      </c>
      <c r="Q31" s="418"/>
      <c r="R31" s="418"/>
      <c r="S31" s="418"/>
      <c r="T31" s="418"/>
      <c r="U31" s="418"/>
      <c r="V31" s="418"/>
      <c r="W31" s="10"/>
      <c r="X31" s="11"/>
      <c r="Y31"/>
      <c r="Z31" s="9"/>
      <c r="AB31" s="6"/>
      <c r="AC31" s="6"/>
      <c r="AD31" s="6"/>
      <c r="AE31" s="6"/>
      <c r="AG31" s="6"/>
      <c r="AI31" s="6"/>
      <c r="AJ31" s="6"/>
      <c r="AK31" s="6"/>
      <c r="AL31" s="6"/>
      <c r="AM31" s="6"/>
      <c r="AO31" s="6"/>
      <c r="AP31" s="6"/>
      <c r="AQ31" s="6"/>
      <c r="AR31" s="6"/>
      <c r="AT31" s="6"/>
      <c r="AU31" s="6"/>
      <c r="AV31" s="6"/>
      <c r="AW31" s="6"/>
      <c r="AX31" s="6"/>
      <c r="AZ31" s="6"/>
      <c r="BB31" s="23" t="s">
        <v>172</v>
      </c>
    </row>
    <row r="32" spans="1:54" s="18" customFormat="1" ht="114" customHeight="1" x14ac:dyDescent="0.35">
      <c r="A32" s="416"/>
      <c r="C32" s="6" t="s">
        <v>173</v>
      </c>
      <c r="D32" s="6" t="s">
        <v>174</v>
      </c>
      <c r="E32" s="6" t="s">
        <v>175</v>
      </c>
      <c r="F32" s="19" t="s">
        <v>176</v>
      </c>
      <c r="G32" s="19" t="s">
        <v>177</v>
      </c>
      <c r="H32" s="6" t="s">
        <v>178</v>
      </c>
      <c r="I32" s="19" t="s">
        <v>179</v>
      </c>
      <c r="J32" s="6" t="s">
        <v>180</v>
      </c>
      <c r="K32" s="6" t="s">
        <v>181</v>
      </c>
      <c r="L32" s="19" t="s">
        <v>182</v>
      </c>
      <c r="M32" s="19" t="s">
        <v>183</v>
      </c>
      <c r="N32" s="54" t="s">
        <v>184</v>
      </c>
      <c r="O32" s="20"/>
      <c r="P32" s="19" t="s">
        <v>185</v>
      </c>
      <c r="Q32" s="19" t="s">
        <v>186</v>
      </c>
      <c r="R32" s="19" t="s">
        <v>187</v>
      </c>
      <c r="S32" s="19" t="s">
        <v>188</v>
      </c>
      <c r="T32" s="19" t="s">
        <v>189</v>
      </c>
      <c r="U32" s="19" t="s">
        <v>190</v>
      </c>
      <c r="V32" s="19" t="s">
        <v>191</v>
      </c>
      <c r="W32" s="19" t="s">
        <v>192</v>
      </c>
      <c r="X32" s="19" t="s">
        <v>193</v>
      </c>
      <c r="Y32" s="5"/>
      <c r="Z32" s="54" t="s">
        <v>194</v>
      </c>
      <c r="AB32" s="21" t="s">
        <v>195</v>
      </c>
      <c r="AC32" s="21" t="s">
        <v>196</v>
      </c>
      <c r="AD32" s="21" t="s">
        <v>197</v>
      </c>
      <c r="AE32" s="17" t="s">
        <v>198</v>
      </c>
      <c r="AG32" s="17" t="s">
        <v>199</v>
      </c>
      <c r="AI32" s="21" t="s">
        <v>200</v>
      </c>
      <c r="AJ32" s="21" t="s">
        <v>201</v>
      </c>
      <c r="AK32" s="21" t="s">
        <v>202</v>
      </c>
      <c r="AL32" s="21" t="s">
        <v>203</v>
      </c>
      <c r="AM32" s="23" t="s">
        <v>204</v>
      </c>
      <c r="AO32" s="21" t="s">
        <v>205</v>
      </c>
      <c r="AP32" s="21" t="s">
        <v>206</v>
      </c>
      <c r="AQ32" s="21" t="s">
        <v>207</v>
      </c>
      <c r="AR32" s="17" t="s">
        <v>208</v>
      </c>
      <c r="AT32" s="21" t="s">
        <v>209</v>
      </c>
      <c r="AU32" s="21" t="s">
        <v>210</v>
      </c>
      <c r="AV32" s="21" t="s">
        <v>211</v>
      </c>
      <c r="AW32" s="23" t="s">
        <v>212</v>
      </c>
      <c r="AX32" s="22" t="s">
        <v>213</v>
      </c>
      <c r="AZ32" s="23" t="s">
        <v>214</v>
      </c>
      <c r="BB32" s="81">
        <f>SUM(AZ34:AZ36)</f>
        <v>4347600.7262934446</v>
      </c>
    </row>
    <row r="33" spans="1:52" ht="29" x14ac:dyDescent="0.35">
      <c r="A33" s="416"/>
      <c r="B33" s="200" t="s">
        <v>215</v>
      </c>
    </row>
    <row r="34" spans="1:52" x14ac:dyDescent="0.35">
      <c r="A34" s="416"/>
      <c r="C34" s="15" t="s">
        <v>216</v>
      </c>
      <c r="D34" s="15">
        <v>1234456789</v>
      </c>
      <c r="E34" s="15" t="s">
        <v>217</v>
      </c>
      <c r="F34" s="15" t="s">
        <v>218</v>
      </c>
      <c r="G34" s="15" t="s">
        <v>219</v>
      </c>
      <c r="H34" s="180">
        <f>General!E$14</f>
        <v>1223212.4285714328</v>
      </c>
      <c r="I34" s="12">
        <f>H34/General!E$14</f>
        <v>1</v>
      </c>
      <c r="J34" s="50">
        <f>H34/30</f>
        <v>40773.747619047761</v>
      </c>
      <c r="K34" s="105">
        <f>J34/8</f>
        <v>5096.7184523809701</v>
      </c>
      <c r="L34" s="192">
        <v>30</v>
      </c>
      <c r="M34" s="50">
        <f>General!$H$7/30</f>
        <v>4922.0051466666837</v>
      </c>
      <c r="N34" s="187">
        <f>L34*J34</f>
        <v>1223212.4285714328</v>
      </c>
      <c r="P34" s="105">
        <f>(Q34*K34)*1.25</f>
        <v>19112.694196428638</v>
      </c>
      <c r="Q34" s="15">
        <v>3</v>
      </c>
      <c r="R34" s="50">
        <f>(S34*K34)*1.75</f>
        <v>44596.286458333489</v>
      </c>
      <c r="S34" s="15">
        <v>5</v>
      </c>
      <c r="T34" s="50">
        <f>K34</f>
        <v>5096.7184523809701</v>
      </c>
      <c r="U34" s="15">
        <v>1</v>
      </c>
      <c r="V34" s="50">
        <f>P34+R34+T34</f>
        <v>68805.699107143097</v>
      </c>
      <c r="W34" s="50">
        <f>M34*L34</f>
        <v>147660.15440000052</v>
      </c>
      <c r="X34" s="105">
        <v>2000</v>
      </c>
      <c r="Z34" s="50">
        <f>N34+V34+W34+X34</f>
        <v>1441678.2820785765</v>
      </c>
      <c r="AB34" s="50">
        <f>(Z34-W34)*0.04</f>
        <v>51760.725107143036</v>
      </c>
      <c r="AC34" s="105">
        <f>(Z34-W34)*0.04</f>
        <v>51760.725107143036</v>
      </c>
      <c r="AD34" s="15">
        <f>IF(H34 &gt;= 4*General!$B$1,Nomina!H34*1%,0)</f>
        <v>0</v>
      </c>
      <c r="AE34" s="50">
        <f>SUM(AB34:AD34)</f>
        <v>103521.45021428607</v>
      </c>
      <c r="AG34" s="50">
        <f>Z34-AE34</f>
        <v>1338156.8318642904</v>
      </c>
      <c r="AI34" s="50">
        <f>8.33*Z34/100</f>
        <v>120091.80089714543</v>
      </c>
      <c r="AJ34" s="50">
        <f>8.33*Z34/100</f>
        <v>120091.80089714543</v>
      </c>
      <c r="AK34" s="50">
        <f>(Z34-W34-V34)*4.17%</f>
        <v>51091.358271428748</v>
      </c>
      <c r="AL34" s="50">
        <f>AI34*12%</f>
        <v>14411.016107657451</v>
      </c>
      <c r="AM34" s="50">
        <f>SUM(AI34:AL34)</f>
        <v>305685.97617337707</v>
      </c>
      <c r="AO34" s="50">
        <f>($Z$10-$W$10)*4%</f>
        <v>43492.919178571516</v>
      </c>
      <c r="AP34" s="50">
        <f>($Z$10-$W$10)*2%</f>
        <v>21746.459589285758</v>
      </c>
      <c r="AQ34" s="50">
        <f>($Z$10-$W$10)*3%</f>
        <v>32619.689383928635</v>
      </c>
      <c r="AR34" s="50">
        <f>SUM(AO34:AQ34)</f>
        <v>97859.068151785905</v>
      </c>
      <c r="AT34" s="50">
        <f>($Z$10-$W$10)*8.5%</f>
        <v>92422.453254464475</v>
      </c>
      <c r="AU34" s="50">
        <f>($Z$10-$W$10)*12%</f>
        <v>130478.75753571454</v>
      </c>
      <c r="AV34" s="50">
        <f>($Z$10-$W$10)*0.522%</f>
        <v>5675.8259528035824</v>
      </c>
      <c r="AW34" s="50">
        <f>SUM(AT34:AV34)</f>
        <v>228577.0367429826</v>
      </c>
      <c r="AX34" s="190">
        <v>100000</v>
      </c>
      <c r="AZ34" s="52">
        <f>Z34+AM34+AR34+AW34+AX34</f>
        <v>2173800.3631467223</v>
      </c>
    </row>
    <row r="35" spans="1:52" ht="29.25" customHeight="1" x14ac:dyDescent="0.35">
      <c r="A35" s="416"/>
      <c r="B35" s="200" t="s">
        <v>220</v>
      </c>
    </row>
    <row r="36" spans="1:52" x14ac:dyDescent="0.35">
      <c r="A36" s="416"/>
      <c r="C36" s="193" t="s">
        <v>221</v>
      </c>
      <c r="D36" s="193">
        <v>1234456790</v>
      </c>
      <c r="E36" s="193" t="s">
        <v>217</v>
      </c>
      <c r="F36" s="193" t="s">
        <v>222</v>
      </c>
      <c r="G36" s="193" t="s">
        <v>219</v>
      </c>
      <c r="H36" s="180">
        <f>General!E$14</f>
        <v>1223212.4285714328</v>
      </c>
      <c r="I36" s="12">
        <f>H36/General!E$14</f>
        <v>1</v>
      </c>
      <c r="J36" s="194">
        <f>H36/30</f>
        <v>40773.747619047761</v>
      </c>
      <c r="K36" s="195">
        <f>J36/8</f>
        <v>5096.7184523809701</v>
      </c>
      <c r="L36" s="196">
        <v>30</v>
      </c>
      <c r="M36" s="50">
        <f>General!$H$7/30</f>
        <v>4922.0051466666837</v>
      </c>
      <c r="N36" s="197">
        <f>L36*J36</f>
        <v>1223212.4285714328</v>
      </c>
      <c r="P36" s="195">
        <f>(Q36*K36)*1.25</f>
        <v>19112.694196428638</v>
      </c>
      <c r="Q36" s="193">
        <v>3</v>
      </c>
      <c r="R36" s="194">
        <f>(S36*K36)*1.75</f>
        <v>44596.286458333489</v>
      </c>
      <c r="S36" s="193">
        <v>5</v>
      </c>
      <c r="T36" s="194">
        <f>K36</f>
        <v>5096.7184523809701</v>
      </c>
      <c r="U36" s="193">
        <v>1</v>
      </c>
      <c r="V36" s="194">
        <f>P36+R36+T36</f>
        <v>68805.699107143097</v>
      </c>
      <c r="W36" s="194">
        <f>M36*L36</f>
        <v>147660.15440000052</v>
      </c>
      <c r="X36" s="195">
        <v>2000</v>
      </c>
      <c r="Z36" s="194">
        <f>N36+V36+W36+X36</f>
        <v>1441678.2820785765</v>
      </c>
      <c r="AB36" s="194">
        <f>(Z36-W36)*0.04</f>
        <v>51760.725107143036</v>
      </c>
      <c r="AC36" s="195">
        <f>(Z36-W36)*0.04</f>
        <v>51760.725107143036</v>
      </c>
      <c r="AD36" s="193">
        <f>IF(H36 &gt;= 4*General!$B$1,Nomina!H36*1%,0)</f>
        <v>0</v>
      </c>
      <c r="AE36" s="194">
        <f>SUM(AB36:AD36)</f>
        <v>103521.45021428607</v>
      </c>
      <c r="AG36" s="194">
        <f>Z36-AE36</f>
        <v>1338156.8318642904</v>
      </c>
      <c r="AI36" s="194">
        <f>8.33*Z36/100</f>
        <v>120091.80089714543</v>
      </c>
      <c r="AJ36" s="194">
        <f>8.33*Z36/100</f>
        <v>120091.80089714543</v>
      </c>
      <c r="AK36" s="194">
        <f>(Z36-W36-V36)*4.17%</f>
        <v>51091.358271428748</v>
      </c>
      <c r="AL36" s="194">
        <f>AI36*12%</f>
        <v>14411.016107657451</v>
      </c>
      <c r="AM36" s="194">
        <f>SUM(AI36:AL36)</f>
        <v>305685.97617337707</v>
      </c>
      <c r="AO36" s="194">
        <f>($Z$10-$W$10)*4%</f>
        <v>43492.919178571516</v>
      </c>
      <c r="AP36" s="194">
        <f>($Z$10-$W$10)*2%</f>
        <v>21746.459589285758</v>
      </c>
      <c r="AQ36" s="194">
        <f>($Z$10-$W$10)*3%</f>
        <v>32619.689383928635</v>
      </c>
      <c r="AR36" s="194">
        <f>SUM(AO36:AQ36)</f>
        <v>97859.068151785905</v>
      </c>
      <c r="AT36" s="194">
        <f>($Z$10-$W$10)*8.5%</f>
        <v>92422.453254464475</v>
      </c>
      <c r="AU36" s="194">
        <f>($Z$10-$W$10)*12%</f>
        <v>130478.75753571454</v>
      </c>
      <c r="AV36" s="194">
        <f>($Z$10-$W$10)*0.522%</f>
        <v>5675.8259528035824</v>
      </c>
      <c r="AW36" s="194">
        <f>SUM(AT36:AV36)</f>
        <v>228577.0367429826</v>
      </c>
      <c r="AX36" s="198">
        <v>100000</v>
      </c>
      <c r="AZ36" s="199">
        <f>Z36+AM36+AR36+AW36+AX36</f>
        <v>2173800.3631467223</v>
      </c>
    </row>
  </sheetData>
  <mergeCells count="18">
    <mergeCell ref="A1:A6"/>
    <mergeCell ref="A25:A30"/>
    <mergeCell ref="C25:N25"/>
    <mergeCell ref="P25:V25"/>
    <mergeCell ref="C1:N1"/>
    <mergeCell ref="P1:V1"/>
    <mergeCell ref="A31:A36"/>
    <mergeCell ref="C31:N31"/>
    <mergeCell ref="P31:V31"/>
    <mergeCell ref="A7:A12"/>
    <mergeCell ref="A13:A18"/>
    <mergeCell ref="A19:A24"/>
    <mergeCell ref="C19:N19"/>
    <mergeCell ref="P19:V19"/>
    <mergeCell ref="C7:N7"/>
    <mergeCell ref="P7:V7"/>
    <mergeCell ref="C13:N13"/>
    <mergeCell ref="P13:V1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5BB4F-4670-4839-B1AA-2BF9E477F5FA}">
  <dimension ref="B1:L21"/>
  <sheetViews>
    <sheetView workbookViewId="0">
      <selection activeCell="F2" sqref="F2:H2"/>
    </sheetView>
  </sheetViews>
  <sheetFormatPr baseColWidth="10" defaultColWidth="11.453125" defaultRowHeight="14.5" x14ac:dyDescent="0.35"/>
  <cols>
    <col min="1" max="1" width="13.26953125" bestFit="1" customWidth="1"/>
    <col min="2" max="2" width="13.54296875" bestFit="1" customWidth="1"/>
    <col min="3" max="3" width="14" style="1" bestFit="1" customWidth="1"/>
    <col min="4" max="4" width="10.1796875" bestFit="1" customWidth="1"/>
    <col min="6" max="6" width="11.453125" customWidth="1"/>
    <col min="8" max="10" width="11.453125" customWidth="1"/>
  </cols>
  <sheetData>
    <row r="1" spans="2:12" x14ac:dyDescent="0.35">
      <c r="C1"/>
    </row>
    <row r="2" spans="2:12" x14ac:dyDescent="0.35">
      <c r="B2" s="419" t="s">
        <v>223</v>
      </c>
      <c r="C2" s="419"/>
      <c r="D2" s="419"/>
      <c r="F2" s="419" t="s">
        <v>224</v>
      </c>
      <c r="G2" s="419"/>
      <c r="H2" s="419"/>
    </row>
    <row r="3" spans="2:12" ht="29" x14ac:dyDescent="0.35">
      <c r="B3" s="26" t="s">
        <v>225</v>
      </c>
      <c r="C3" s="24" t="s">
        <v>226</v>
      </c>
      <c r="D3" s="24" t="s">
        <v>227</v>
      </c>
      <c r="G3" s="1"/>
      <c r="H3" s="113">
        <v>10000</v>
      </c>
      <c r="K3" s="1"/>
    </row>
    <row r="4" spans="2:12" x14ac:dyDescent="0.35">
      <c r="B4" s="12" t="s">
        <v>228</v>
      </c>
      <c r="C4" s="12">
        <v>2</v>
      </c>
      <c r="D4" s="51">
        <f>ListaDeProveedores!$B$41*C4</f>
        <v>3800</v>
      </c>
      <c r="E4" s="1"/>
      <c r="G4" s="1"/>
      <c r="H4" s="84"/>
      <c r="K4" s="1"/>
      <c r="L4" s="85"/>
    </row>
    <row r="5" spans="2:12" x14ac:dyDescent="0.35">
      <c r="B5" s="12" t="s">
        <v>229</v>
      </c>
      <c r="C5" s="12">
        <v>1</v>
      </c>
      <c r="D5" s="51">
        <f>ListaDeProveedores!$B$10</f>
        <v>26179</v>
      </c>
      <c r="E5" s="1"/>
      <c r="G5" s="1"/>
      <c r="H5" s="84"/>
      <c r="K5" s="1"/>
      <c r="L5" s="85"/>
    </row>
    <row r="6" spans="2:12" x14ac:dyDescent="0.35">
      <c r="B6" s="12" t="s">
        <v>66</v>
      </c>
      <c r="C6" s="12">
        <v>1</v>
      </c>
      <c r="D6" s="51">
        <f>ListaDeProveedores!$B$70</f>
        <v>200</v>
      </c>
      <c r="E6" s="1"/>
      <c r="G6" s="1"/>
      <c r="H6" s="84"/>
      <c r="K6" s="1"/>
      <c r="L6" s="85"/>
    </row>
    <row r="7" spans="2:12" x14ac:dyDescent="0.35">
      <c r="B7" s="12" t="s">
        <v>230</v>
      </c>
      <c r="C7" s="12">
        <v>1</v>
      </c>
      <c r="D7" s="51">
        <f>ListaDeProveedores!$B$55</f>
        <v>720</v>
      </c>
      <c r="E7" s="1"/>
      <c r="G7" s="1"/>
      <c r="H7" s="84"/>
      <c r="K7" s="1"/>
      <c r="L7" s="85"/>
    </row>
    <row r="8" spans="2:12" x14ac:dyDescent="0.35">
      <c r="B8" s="12" t="s">
        <v>39</v>
      </c>
      <c r="C8" s="12">
        <v>1</v>
      </c>
      <c r="D8" s="51">
        <f>ListaDeProveedores!$B$24</f>
        <v>2000</v>
      </c>
      <c r="E8" s="1"/>
      <c r="G8" s="1"/>
      <c r="H8" s="84"/>
      <c r="K8" s="1"/>
      <c r="L8" s="85"/>
    </row>
    <row r="9" spans="2:12" x14ac:dyDescent="0.35">
      <c r="B9" s="12" t="s">
        <v>231</v>
      </c>
      <c r="C9" s="12">
        <v>1</v>
      </c>
      <c r="D9" s="51">
        <v>2500</v>
      </c>
      <c r="E9" s="1"/>
      <c r="G9" s="1"/>
      <c r="H9" s="84"/>
      <c r="K9" s="1"/>
      <c r="L9" s="85"/>
    </row>
    <row r="10" spans="2:12" x14ac:dyDescent="0.35">
      <c r="B10" s="12" t="s">
        <v>232</v>
      </c>
      <c r="C10" s="12">
        <v>1</v>
      </c>
      <c r="D10" s="51">
        <f>'Costo.Herr.Serv.'!$G$8</f>
        <v>5625</v>
      </c>
      <c r="E10" s="1"/>
      <c r="G10" s="1"/>
      <c r="H10" s="84"/>
      <c r="K10" s="1"/>
      <c r="L10" s="84"/>
    </row>
    <row r="11" spans="2:12" x14ac:dyDescent="0.35">
      <c r="B11" s="12" t="s">
        <v>87</v>
      </c>
      <c r="C11" s="12">
        <v>1</v>
      </c>
      <c r="D11" s="51">
        <f>ListaDeProveedores!$B$110</f>
        <v>70</v>
      </c>
      <c r="E11" s="1"/>
      <c r="G11" s="1"/>
      <c r="H11" s="84"/>
      <c r="K11" s="1"/>
      <c r="L11" s="85"/>
    </row>
    <row r="12" spans="2:12" x14ac:dyDescent="0.35">
      <c r="B12" s="12" t="s">
        <v>73</v>
      </c>
      <c r="C12" s="12">
        <v>2</v>
      </c>
      <c r="D12" s="51">
        <f>ListaDeProveedores!$B$78*C12</f>
        <v>78.103333333333339</v>
      </c>
      <c r="E12" s="1"/>
      <c r="G12" s="1"/>
      <c r="H12" s="84"/>
      <c r="K12" s="1"/>
      <c r="L12" s="85"/>
    </row>
    <row r="13" spans="2:12" ht="29" x14ac:dyDescent="0.35">
      <c r="B13" s="13" t="s">
        <v>233</v>
      </c>
      <c r="C13" s="12">
        <v>1</v>
      </c>
      <c r="D13" s="51">
        <f>ListaDeProveedores!$B$90</f>
        <v>10853</v>
      </c>
      <c r="E13" s="1"/>
      <c r="G13" s="1"/>
      <c r="H13" s="84"/>
      <c r="K13" s="1"/>
      <c r="L13" s="85"/>
    </row>
    <row r="14" spans="2:12" x14ac:dyDescent="0.35">
      <c r="B14" s="12" t="s">
        <v>234</v>
      </c>
      <c r="C14" s="12">
        <v>1</v>
      </c>
      <c r="D14" s="51">
        <f>ListaDeProveedores!$B$34</f>
        <v>100</v>
      </c>
      <c r="E14" s="1"/>
      <c r="G14" s="1"/>
      <c r="H14" s="84"/>
      <c r="K14" s="1"/>
    </row>
    <row r="15" spans="2:12" x14ac:dyDescent="0.35">
      <c r="B15" s="1"/>
      <c r="C15" s="24" t="s">
        <v>235</v>
      </c>
      <c r="D15" s="53">
        <f>SUM(D4:D14)</f>
        <v>52125.103333333333</v>
      </c>
      <c r="G15" s="1"/>
      <c r="H15" s="2"/>
      <c r="K15" s="1"/>
      <c r="L15" s="85"/>
    </row>
    <row r="18" spans="2:3" x14ac:dyDescent="0.35">
      <c r="B18" s="24" t="s">
        <v>235</v>
      </c>
      <c r="C18" s="53">
        <f>D15</f>
        <v>52125.103333333333</v>
      </c>
    </row>
    <row r="19" spans="2:3" ht="29" x14ac:dyDescent="0.35">
      <c r="B19" s="26" t="s">
        <v>236</v>
      </c>
      <c r="C19" s="53">
        <f>C18*200</f>
        <v>10425020.666666666</v>
      </c>
    </row>
    <row r="20" spans="2:3" x14ac:dyDescent="0.35">
      <c r="B20" s="24" t="s">
        <v>237</v>
      </c>
      <c r="C20" s="53">
        <f>H3</f>
        <v>10000</v>
      </c>
    </row>
    <row r="21" spans="2:3" x14ac:dyDescent="0.35">
      <c r="B21" s="26" t="s">
        <v>238</v>
      </c>
      <c r="C21" s="53">
        <f>C20*400</f>
        <v>4000000</v>
      </c>
    </row>
  </sheetData>
  <mergeCells count="2">
    <mergeCell ref="B2:D2"/>
    <mergeCell ref="F2:H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8284A-07D4-4782-A462-19FBC270709F}">
  <dimension ref="A2:O91"/>
  <sheetViews>
    <sheetView workbookViewId="0">
      <selection activeCell="C3" sqref="C3:D3"/>
    </sheetView>
  </sheetViews>
  <sheetFormatPr baseColWidth="10" defaultColWidth="11.453125" defaultRowHeight="14.5" x14ac:dyDescent="0.35"/>
  <cols>
    <col min="1" max="1" width="5.81640625" style="114" bestFit="1" customWidth="1"/>
    <col min="2" max="2" width="43.26953125" bestFit="1" customWidth="1"/>
    <col min="3" max="4" width="18.81640625" customWidth="1"/>
    <col min="5" max="6" width="11.453125" bestFit="1" customWidth="1"/>
    <col min="7" max="7" width="7.81640625" bestFit="1" customWidth="1"/>
    <col min="8" max="8" width="12.54296875" bestFit="1" customWidth="1"/>
    <col min="9" max="9" width="13.26953125" customWidth="1"/>
    <col min="10" max="10" width="11.453125" bestFit="1" customWidth="1"/>
  </cols>
  <sheetData>
    <row r="2" spans="1:15" ht="15" customHeight="1" x14ac:dyDescent="0.35">
      <c r="A2" s="229"/>
      <c r="B2" s="230"/>
      <c r="C2" s="424">
        <v>2022</v>
      </c>
      <c r="D2" s="424"/>
      <c r="E2" s="230"/>
      <c r="F2" s="230"/>
      <c r="I2" s="4"/>
      <c r="J2" s="4"/>
      <c r="K2" s="4"/>
      <c r="L2" s="4"/>
      <c r="N2" s="4"/>
      <c r="O2" s="4"/>
    </row>
    <row r="3" spans="1:15" s="49" customFormat="1" x14ac:dyDescent="0.35">
      <c r="A3" s="229"/>
      <c r="B3" s="231"/>
      <c r="C3" s="420" t="s">
        <v>975</v>
      </c>
      <c r="D3" s="421"/>
      <c r="E3" s="422"/>
      <c r="F3" s="423"/>
      <c r="H3" s="60"/>
      <c r="I3" s="4"/>
      <c r="J3" s="86"/>
      <c r="K3" s="4"/>
      <c r="L3" s="86"/>
      <c r="M3" s="60"/>
      <c r="N3" s="4"/>
      <c r="O3" s="86"/>
    </row>
    <row r="4" spans="1:15" s="49" customFormat="1" x14ac:dyDescent="0.3">
      <c r="A4" s="229"/>
      <c r="B4" s="230"/>
      <c r="C4" s="232" t="s">
        <v>155</v>
      </c>
      <c r="D4" s="233" t="s">
        <v>252</v>
      </c>
      <c r="E4" s="234"/>
      <c r="F4" s="235"/>
      <c r="I4" s="4"/>
      <c r="J4" s="86"/>
      <c r="K4" s="4"/>
      <c r="L4" s="86"/>
      <c r="N4" s="4"/>
      <c r="O4" s="86"/>
    </row>
    <row r="5" spans="1:15" s="49" customFormat="1" x14ac:dyDescent="0.3">
      <c r="A5" s="229"/>
      <c r="B5" s="236" t="s">
        <v>367</v>
      </c>
      <c r="C5" s="237">
        <v>200</v>
      </c>
      <c r="D5" s="238">
        <v>400</v>
      </c>
      <c r="E5" s="239"/>
      <c r="F5" s="240"/>
      <c r="I5" s="4"/>
      <c r="J5" s="86"/>
      <c r="K5" s="4"/>
      <c r="L5" s="86"/>
      <c r="N5" s="4"/>
      <c r="O5" s="86"/>
    </row>
    <row r="6" spans="1:15" x14ac:dyDescent="0.35">
      <c r="A6" s="229"/>
      <c r="B6" s="241" t="s">
        <v>249</v>
      </c>
      <c r="C6" s="242">
        <v>0.2</v>
      </c>
      <c r="D6" s="243">
        <v>0.8</v>
      </c>
      <c r="E6" s="244">
        <v>1</v>
      </c>
      <c r="F6" s="245"/>
      <c r="G6" s="16"/>
      <c r="I6" s="4"/>
      <c r="J6" s="4"/>
      <c r="K6" s="4"/>
      <c r="L6" s="4"/>
      <c r="N6" s="4"/>
      <c r="O6" s="4"/>
    </row>
    <row r="7" spans="1:15" s="49" customFormat="1" x14ac:dyDescent="0.3">
      <c r="A7" s="246">
        <v>1</v>
      </c>
      <c r="B7" s="247" t="s">
        <v>250</v>
      </c>
      <c r="C7" s="248"/>
      <c r="D7" s="249"/>
      <c r="E7" s="250"/>
      <c r="F7" s="251" t="s">
        <v>964</v>
      </c>
      <c r="I7" s="4"/>
      <c r="J7" s="86"/>
      <c r="K7" s="4"/>
      <c r="L7" s="86"/>
      <c r="N7" s="4"/>
      <c r="O7" s="86"/>
    </row>
    <row r="8" spans="1:15" x14ac:dyDescent="0.35">
      <c r="A8" s="252" t="s">
        <v>251</v>
      </c>
      <c r="B8" s="253" t="s">
        <v>252</v>
      </c>
      <c r="C8" s="254">
        <v>0</v>
      </c>
      <c r="D8" s="255">
        <f>('Estado.Gen.Costos.Gastos'!E7+'Estado.Gen.Costos.Gastos'!F7)</f>
        <v>8000000</v>
      </c>
      <c r="E8" s="256">
        <f t="shared" ref="E8:E39" si="0">SUM(C8:D8)</f>
        <v>8000000</v>
      </c>
      <c r="F8" s="257">
        <f>'Estado.Gen.Costos.Gastos'!E7+'Estado.Gen.Costos.Gastos'!F7</f>
        <v>8000000</v>
      </c>
      <c r="J8" s="2"/>
      <c r="L8" s="2"/>
      <c r="O8" s="2"/>
    </row>
    <row r="9" spans="1:15" x14ac:dyDescent="0.35">
      <c r="A9" s="252" t="s">
        <v>253</v>
      </c>
      <c r="B9" s="253" t="s">
        <v>254</v>
      </c>
      <c r="C9" s="254">
        <f>SUM(C10:C13)</f>
        <v>11624308.333333332</v>
      </c>
      <c r="D9" s="255">
        <f>SUM(D10:D13)</f>
        <v>0</v>
      </c>
      <c r="E9" s="256">
        <f t="shared" si="0"/>
        <v>11624308.333333332</v>
      </c>
      <c r="F9" s="257">
        <f>'Estado.Gen.Costos.Gastos'!E8+'Estado.Gen.Costos.Gastos'!F8</f>
        <v>11624308.333333334</v>
      </c>
      <c r="J9" s="2"/>
      <c r="L9" s="2"/>
      <c r="O9" s="2"/>
    </row>
    <row r="10" spans="1:15" x14ac:dyDescent="0.35">
      <c r="A10" s="252" t="s">
        <v>255</v>
      </c>
      <c r="B10" s="252" t="s">
        <v>256</v>
      </c>
      <c r="C10" s="258">
        <f>('Estado.Gen.Costos.Gastos'!$E9+'Estado.Gen.Costos.Gastos'!$F9)</f>
        <v>10425020.666666666</v>
      </c>
      <c r="D10" s="258">
        <v>0</v>
      </c>
      <c r="E10" s="256">
        <f t="shared" si="0"/>
        <v>10425020.666666666</v>
      </c>
      <c r="F10" s="257">
        <f>'Estado.Gen.Costos.Gastos'!E9+'Estado.Gen.Costos.Gastos'!F9</f>
        <v>10425020.666666666</v>
      </c>
      <c r="J10" s="2"/>
      <c r="L10" s="2"/>
      <c r="O10" s="2"/>
    </row>
    <row r="11" spans="1:15" x14ac:dyDescent="0.35">
      <c r="A11" s="252" t="s">
        <v>257</v>
      </c>
      <c r="B11" s="252" t="s">
        <v>258</v>
      </c>
      <c r="C11" s="258">
        <f>('Estado.Gen.Costos.Gastos'!$E10+'Estado.Gen.Costos.Gastos'!$F10)</f>
        <v>1165470</v>
      </c>
      <c r="D11" s="258">
        <v>0</v>
      </c>
      <c r="E11" s="256">
        <f t="shared" si="0"/>
        <v>1165470</v>
      </c>
      <c r="F11" s="257">
        <f>'Estado.Gen.Costos.Gastos'!E10+'Estado.Gen.Costos.Gastos'!F10</f>
        <v>1165470</v>
      </c>
      <c r="J11" s="2"/>
      <c r="L11" s="2"/>
      <c r="O11" s="2"/>
    </row>
    <row r="12" spans="1:15" x14ac:dyDescent="0.35">
      <c r="A12" s="252" t="s">
        <v>259</v>
      </c>
      <c r="B12" s="252" t="s">
        <v>260</v>
      </c>
      <c r="C12" s="258">
        <f>('Estado.Gen.Costos.Gastos'!$E11+'Estado.Gen.Costos.Gastos'!$F11)</f>
        <v>0</v>
      </c>
      <c r="D12" s="258">
        <v>0</v>
      </c>
      <c r="E12" s="256">
        <f t="shared" si="0"/>
        <v>0</v>
      </c>
      <c r="F12" s="257">
        <f>'Estado.Gen.Costos.Gastos'!E11+'Estado.Gen.Costos.Gastos'!F11</f>
        <v>0</v>
      </c>
      <c r="J12" s="2"/>
      <c r="L12" s="2"/>
      <c r="O12" s="2"/>
    </row>
    <row r="13" spans="1:15" x14ac:dyDescent="0.35">
      <c r="A13" s="252" t="s">
        <v>261</v>
      </c>
      <c r="B13" s="252" t="s">
        <v>262</v>
      </c>
      <c r="C13" s="258">
        <f>('Estado.Gen.Costos.Gastos'!$E12+'Estado.Gen.Costos.Gastos'!$F12)*1</f>
        <v>33817.666666666672</v>
      </c>
      <c r="D13" s="258">
        <f>('Estado.Gen.Costos.Gastos'!$E12+'Estado.Gen.Costos.Gastos'!$F12)*0</f>
        <v>0</v>
      </c>
      <c r="E13" s="256">
        <f t="shared" si="0"/>
        <v>33817.666666666672</v>
      </c>
      <c r="F13" s="257">
        <f>'Estado.Gen.Costos.Gastos'!E12+'Estado.Gen.Costos.Gastos'!F12</f>
        <v>33817.666666666672</v>
      </c>
      <c r="J13" s="2"/>
      <c r="L13" s="2"/>
      <c r="O13" s="2"/>
    </row>
    <row r="14" spans="1:15" x14ac:dyDescent="0.35">
      <c r="A14" s="252" t="s">
        <v>263</v>
      </c>
      <c r="B14" s="253" t="s">
        <v>264</v>
      </c>
      <c r="C14" s="254">
        <f>SUM(C15:C19)</f>
        <v>740486.53136270738</v>
      </c>
      <c r="D14" s="255">
        <f>+SUM(D15:D19)</f>
        <v>2961946.1254508295</v>
      </c>
      <c r="E14" s="256">
        <f t="shared" si="0"/>
        <v>3702432.6568135368</v>
      </c>
      <c r="F14" s="257">
        <f>'Estado.Gen.Costos.Gastos'!E13+'Estado.Gen.Costos.Gastos'!F13</f>
        <v>3702432.6568135372</v>
      </c>
    </row>
    <row r="15" spans="1:15" x14ac:dyDescent="0.35">
      <c r="A15" s="252" t="s">
        <v>265</v>
      </c>
      <c r="B15" s="252" t="s">
        <v>266</v>
      </c>
      <c r="C15" s="258">
        <f>('Estado.Gen.Costos.Gastos'!$E$14+'Estado.Gen.Costos.Gastos'!$F$14)*$C$6</f>
        <v>470168.80000000005</v>
      </c>
      <c r="D15" s="258">
        <f>('Estado.Gen.Costos.Gastos'!$E$14+'Estado.Gen.Costos.Gastos'!$F$14)*$D$6</f>
        <v>1880675.2000000002</v>
      </c>
      <c r="E15" s="256">
        <f t="shared" si="0"/>
        <v>2350844</v>
      </c>
      <c r="F15" s="257">
        <f>'Estado.Gen.Costos.Gastos'!E14+'Estado.Gen.Costos.Gastos'!F14</f>
        <v>2350844</v>
      </c>
      <c r="I15" s="59"/>
      <c r="J15" s="59"/>
    </row>
    <row r="16" spans="1:15" x14ac:dyDescent="0.35">
      <c r="A16" s="252" t="s">
        <v>267</v>
      </c>
      <c r="B16" s="252" t="s">
        <v>268</v>
      </c>
      <c r="C16" s="258">
        <f>('Estado.Gen.Costos.Gastos'!E15+'Estado.Gen.Costos.Gastos'!F15)*$C$6</f>
        <v>91430.81469719304</v>
      </c>
      <c r="D16" s="259">
        <f>('Estado.Gen.Costos.Gastos'!E15+'Estado.Gen.Costos.Gastos'!F15)*$D$6</f>
        <v>365723.25878877216</v>
      </c>
      <c r="E16" s="256">
        <f t="shared" si="0"/>
        <v>457154.0734859652</v>
      </c>
      <c r="F16" s="257">
        <f>'Estado.Gen.Costos.Gastos'!E15+'Estado.Gen.Costos.Gastos'!F15</f>
        <v>457154.0734859652</v>
      </c>
      <c r="I16" s="56"/>
      <c r="J16" s="56"/>
    </row>
    <row r="17" spans="1:10" x14ac:dyDescent="0.35">
      <c r="A17" s="252" t="s">
        <v>269</v>
      </c>
      <c r="B17" s="252" t="s">
        <v>270</v>
      </c>
      <c r="C17" s="258">
        <f>('Estado.Gen.Costos.Gastos'!E16+'Estado.Gen.Costos.Gastos'!F16)*$C$6</f>
        <v>39143.627260714362</v>
      </c>
      <c r="D17" s="259">
        <f>('Estado.Gen.Costos.Gastos'!E16+'Estado.Gen.Costos.Gastos'!F16)*$D$6</f>
        <v>156574.50904285745</v>
      </c>
      <c r="E17" s="256">
        <f t="shared" si="0"/>
        <v>195718.13630357181</v>
      </c>
      <c r="F17" s="257">
        <f>'Estado.Gen.Costos.Gastos'!E16+'Estado.Gen.Costos.Gastos'!F16</f>
        <v>195718.13630357181</v>
      </c>
      <c r="I17" s="56"/>
      <c r="J17" s="57"/>
    </row>
    <row r="18" spans="1:10" ht="28" x14ac:dyDescent="0.35">
      <c r="A18" s="252" t="s">
        <v>271</v>
      </c>
      <c r="B18" s="260" t="s">
        <v>272</v>
      </c>
      <c r="C18" s="258">
        <f>('Estado.Gen.Costos.Gastos'!E17+'Estado.Gen.Costos.Gastos'!F17)*$C$6</f>
        <v>99743.289404800002</v>
      </c>
      <c r="D18" s="259">
        <f>('Estado.Gen.Costos.Gastos'!E17+'Estado.Gen.Costos.Gastos'!F17)*$D$6</f>
        <v>398973.15761920001</v>
      </c>
      <c r="E18" s="256">
        <f t="shared" si="0"/>
        <v>498716.44702399999</v>
      </c>
      <c r="F18" s="257">
        <f>'Estado.Gen.Costos.Gastos'!E17+'Estado.Gen.Costos.Gastos'!F17</f>
        <v>498716.44702399999</v>
      </c>
      <c r="I18" s="56"/>
      <c r="J18" s="57"/>
    </row>
    <row r="19" spans="1:10" x14ac:dyDescent="0.35">
      <c r="A19" s="252" t="s">
        <v>273</v>
      </c>
      <c r="B19" s="260" t="s">
        <v>274</v>
      </c>
      <c r="C19" s="258">
        <f>('Estado.Gen.Costos.Gastos'!E18+'Estado.Gen.Costos.Gastos'!F18)*$C$6</f>
        <v>40000</v>
      </c>
      <c r="D19" s="259">
        <f>('Estado.Gen.Costos.Gastos'!E18+'Estado.Gen.Costos.Gastos'!F18)*$D$6</f>
        <v>160000</v>
      </c>
      <c r="E19" s="256">
        <f t="shared" si="0"/>
        <v>200000</v>
      </c>
      <c r="F19" s="257">
        <f>'Estado.Gen.Costos.Gastos'!E18+'Estado.Gen.Costos.Gastos'!F18</f>
        <v>200000</v>
      </c>
      <c r="I19" s="56"/>
      <c r="J19" s="57"/>
    </row>
    <row r="20" spans="1:10" x14ac:dyDescent="0.35">
      <c r="A20" s="252" t="s">
        <v>275</v>
      </c>
      <c r="B20" s="253" t="s">
        <v>276</v>
      </c>
      <c r="C20" s="254">
        <f>('Estado.Gen.Costos.Gastos'!$E19+'Estado.Gen.Costos.Gastos'!$F19)*$C$6</f>
        <v>0</v>
      </c>
      <c r="D20" s="255">
        <f>('Estado.Gen.Costos.Gastos'!E19+'Estado.Gen.Costos.Gastos'!F19)*$D$6</f>
        <v>0</v>
      </c>
      <c r="E20" s="256">
        <f t="shared" si="0"/>
        <v>0</v>
      </c>
      <c r="F20" s="257">
        <f>'Estado.Gen.Costos.Gastos'!E19+'Estado.Gen.Costos.Gastos'!F19</f>
        <v>0</v>
      </c>
      <c r="I20" s="56"/>
      <c r="J20" s="57"/>
    </row>
    <row r="21" spans="1:10" x14ac:dyDescent="0.35">
      <c r="A21" s="252" t="s">
        <v>277</v>
      </c>
      <c r="B21" s="252" t="s">
        <v>278</v>
      </c>
      <c r="C21" s="258">
        <f>('Estado.Gen.Costos.Gastos'!$E20+'Estado.Gen.Costos.Gastos'!$F20)*$C$6</f>
        <v>0</v>
      </c>
      <c r="D21" s="259">
        <f>('Estado.Gen.Costos.Gastos'!E20+'Estado.Gen.Costos.Gastos'!F20)*$D$6</f>
        <v>0</v>
      </c>
      <c r="E21" s="256">
        <f t="shared" si="0"/>
        <v>0</v>
      </c>
      <c r="F21" s="257">
        <f>'Estado.Gen.Costos.Gastos'!E20+'Estado.Gen.Costos.Gastos'!F20</f>
        <v>0</v>
      </c>
      <c r="I21" s="56"/>
      <c r="J21" s="57"/>
    </row>
    <row r="22" spans="1:10" x14ac:dyDescent="0.35">
      <c r="A22" s="252" t="s">
        <v>279</v>
      </c>
      <c r="B22" s="253" t="s">
        <v>280</v>
      </c>
      <c r="C22" s="254">
        <f>('Estado.Gen.Costos.Gastos'!$E21+'Estado.Gen.Costos.Gastos'!$F21)*$C$6</f>
        <v>88000</v>
      </c>
      <c r="D22" s="255">
        <f>('Estado.Gen.Costos.Gastos'!E21+'Estado.Gen.Costos.Gastos'!F21)*$D$6</f>
        <v>352000</v>
      </c>
      <c r="E22" s="256">
        <f t="shared" si="0"/>
        <v>440000</v>
      </c>
      <c r="F22" s="257">
        <f>'Estado.Gen.Costos.Gastos'!E21+'Estado.Gen.Costos.Gastos'!F21</f>
        <v>440000</v>
      </c>
      <c r="H22" s="89">
        <f>SUM(C22:D22)</f>
        <v>440000</v>
      </c>
      <c r="I22" s="56"/>
      <c r="J22" s="57"/>
    </row>
    <row r="23" spans="1:10" x14ac:dyDescent="0.35">
      <c r="A23" s="252" t="s">
        <v>281</v>
      </c>
      <c r="B23" s="253" t="s">
        <v>282</v>
      </c>
      <c r="C23" s="254">
        <f>('Estado.Gen.Costos.Gastos'!$E22+'Estado.Gen.Costos.Gastos'!$F22)*$C$6</f>
        <v>4853.0708415999998</v>
      </c>
      <c r="D23" s="255">
        <f>('Estado.Gen.Costos.Gastos'!E22+'Estado.Gen.Costos.Gastos'!F22)*$D$6</f>
        <v>19412.283366399999</v>
      </c>
      <c r="E23" s="256">
        <f t="shared" si="0"/>
        <v>24265.354207999997</v>
      </c>
      <c r="F23" s="257">
        <f>'Estado.Gen.Costos.Gastos'!E22+'Estado.Gen.Costos.Gastos'!F22</f>
        <v>24265.354207999997</v>
      </c>
      <c r="I23" s="58"/>
      <c r="J23" s="57"/>
    </row>
    <row r="24" spans="1:10" x14ac:dyDescent="0.35">
      <c r="A24" s="261"/>
      <c r="B24" s="262" t="s">
        <v>283</v>
      </c>
      <c r="C24" s="263">
        <f>SUM(C23,C22,C20,C14,C9,C8,)</f>
        <v>12457647.93553764</v>
      </c>
      <c r="D24" s="263">
        <f>SUM(D23,D22,D20,D14,D9,D8,)</f>
        <v>11333358.40881723</v>
      </c>
      <c r="E24" s="256">
        <f t="shared" si="0"/>
        <v>23791006.344354868</v>
      </c>
      <c r="F24" s="257">
        <f>'Estado.Gen.Costos.Gastos'!E23+'Estado.Gen.Costos.Gastos'!F23</f>
        <v>23791006.344354872</v>
      </c>
    </row>
    <row r="25" spans="1:10" x14ac:dyDescent="0.35">
      <c r="A25" s="252"/>
      <c r="B25" s="264"/>
      <c r="C25" s="258"/>
      <c r="D25" s="259"/>
      <c r="E25" s="256">
        <f t="shared" si="0"/>
        <v>0</v>
      </c>
      <c r="F25" s="257">
        <f>'Estado.Gen.Costos.Gastos'!E24+'Estado.Gen.Costos.Gastos'!F24</f>
        <v>0</v>
      </c>
    </row>
    <row r="26" spans="1:10" x14ac:dyDescent="0.35">
      <c r="A26" s="265">
        <v>2</v>
      </c>
      <c r="B26" s="247" t="s">
        <v>284</v>
      </c>
      <c r="C26" s="266"/>
      <c r="D26" s="267"/>
      <c r="E26" s="256">
        <f t="shared" si="0"/>
        <v>0</v>
      </c>
      <c r="F26" s="257">
        <f>'Estado.Gen.Costos.Gastos'!E25+'Estado.Gen.Costos.Gastos'!F25</f>
        <v>0</v>
      </c>
    </row>
    <row r="27" spans="1:10" x14ac:dyDescent="0.35">
      <c r="A27" s="252"/>
      <c r="B27" s="268" t="s">
        <v>285</v>
      </c>
      <c r="C27" s="230"/>
      <c r="D27" s="259"/>
      <c r="E27" s="256">
        <f t="shared" si="0"/>
        <v>0</v>
      </c>
      <c r="F27" s="257">
        <f>'Estado.Gen.Costos.Gastos'!E26+'Estado.Gen.Costos.Gastos'!F26</f>
        <v>0</v>
      </c>
    </row>
    <row r="28" spans="1:10" x14ac:dyDescent="0.35">
      <c r="A28" s="252" t="s">
        <v>286</v>
      </c>
      <c r="B28" s="269" t="s">
        <v>287</v>
      </c>
      <c r="C28" s="254">
        <f>('Estado.Gen.Costos.Gastos'!$E27+'Estado.Gen.Costos.Gastos'!$F27)*$C$6</f>
        <v>761345.2434045634</v>
      </c>
      <c r="D28" s="255">
        <f>('Estado.Gen.Costos.Gastos'!E27+'Estado.Gen.Costos.Gastos'!F27)*$D$6</f>
        <v>3045380.9736182536</v>
      </c>
      <c r="E28" s="256">
        <f t="shared" si="0"/>
        <v>3806726.2170228171</v>
      </c>
      <c r="F28" s="257">
        <f>'Estado.Gen.Costos.Gastos'!E27+'Estado.Gen.Costos.Gastos'!F27</f>
        <v>3806726.2170228167</v>
      </c>
    </row>
    <row r="29" spans="1:10" x14ac:dyDescent="0.35">
      <c r="A29" s="252" t="s">
        <v>288</v>
      </c>
      <c r="B29" s="264" t="s">
        <v>289</v>
      </c>
      <c r="C29" s="258">
        <f>('Estado.Gen.Costos.Gastos'!$E28+'Estado.Gen.Costos.Gastos'!$F28)*$C$6</f>
        <v>487506.61162571528</v>
      </c>
      <c r="D29" s="259">
        <f>('Estado.Gen.Costos.Gastos'!E28+'Estado.Gen.Costos.Gastos'!F28)*$D$6</f>
        <v>1950026.4465028611</v>
      </c>
      <c r="E29" s="256">
        <f t="shared" si="0"/>
        <v>2437533.0581285763</v>
      </c>
      <c r="F29" s="257">
        <f>'Estado.Gen.Costos.Gastos'!E28+'Estado.Gen.Costos.Gastos'!F28</f>
        <v>2437533.0581285763</v>
      </c>
    </row>
    <row r="30" spans="1:10" x14ac:dyDescent="0.35">
      <c r="A30" s="252" t="s">
        <v>290</v>
      </c>
      <c r="B30" s="264" t="s">
        <v>268</v>
      </c>
      <c r="C30" s="258">
        <f>('Estado.Gen.Costos.Gastos'!$E29+'Estado.Gen.Costos.Gastos'!$F29)*$C$6</f>
        <v>91430.81469719304</v>
      </c>
      <c r="D30" s="259">
        <f>('Estado.Gen.Costos.Gastos'!E29+'Estado.Gen.Costos.Gastos'!F29)*$D$6</f>
        <v>365723.25878877216</v>
      </c>
      <c r="E30" s="256">
        <f t="shared" si="0"/>
        <v>457154.0734859652</v>
      </c>
      <c r="F30" s="257">
        <f>'Estado.Gen.Costos.Gastos'!E29+'Estado.Gen.Costos.Gastos'!F29</f>
        <v>457154.0734859652</v>
      </c>
    </row>
    <row r="31" spans="1:10" x14ac:dyDescent="0.35">
      <c r="A31" s="252" t="s">
        <v>291</v>
      </c>
      <c r="B31" s="264" t="s">
        <v>270</v>
      </c>
      <c r="C31" s="258">
        <f>('Estado.Gen.Costos.Gastos'!$E30+'Estado.Gen.Costos.Gastos'!$F30)*$C$6</f>
        <v>39143.627260714362</v>
      </c>
      <c r="D31" s="259">
        <f>('Estado.Gen.Costos.Gastos'!E30+'Estado.Gen.Costos.Gastos'!F30)*$D$6</f>
        <v>156574.50904285745</v>
      </c>
      <c r="E31" s="256">
        <f t="shared" si="0"/>
        <v>195718.13630357181</v>
      </c>
      <c r="F31" s="257">
        <f>'Estado.Gen.Costos.Gastos'!E30+'Estado.Gen.Costos.Gastos'!F30</f>
        <v>195718.13630357181</v>
      </c>
    </row>
    <row r="32" spans="1:10" ht="28" x14ac:dyDescent="0.35">
      <c r="A32" s="252" t="s">
        <v>292</v>
      </c>
      <c r="B32" s="270" t="s">
        <v>272</v>
      </c>
      <c r="C32" s="258">
        <f>('Estado.Gen.Costos.Gastos'!$E31+'Estado.Gen.Costos.Gastos'!$F31)*$C$6</f>
        <v>103264.18982094056</v>
      </c>
      <c r="D32" s="259">
        <f>('Estado.Gen.Costos.Gastos'!E31+'Estado.Gen.Costos.Gastos'!F31)*$D$6</f>
        <v>413056.75928376225</v>
      </c>
      <c r="E32" s="256">
        <f t="shared" si="0"/>
        <v>516320.9491047028</v>
      </c>
      <c r="F32" s="257">
        <f>'Estado.Gen.Costos.Gastos'!E31+'Estado.Gen.Costos.Gastos'!F31</f>
        <v>516320.9491047028</v>
      </c>
      <c r="H32" s="89"/>
      <c r="I32" s="89"/>
    </row>
    <row r="33" spans="1:8" x14ac:dyDescent="0.35">
      <c r="A33" s="252" t="s">
        <v>293</v>
      </c>
      <c r="B33" s="270" t="s">
        <v>274</v>
      </c>
      <c r="C33" s="258">
        <f>('Estado.Gen.Costos.Gastos'!$E32+'Estado.Gen.Costos.Gastos'!$F32)*$C$6</f>
        <v>40000</v>
      </c>
      <c r="D33" s="259">
        <f>('Estado.Gen.Costos.Gastos'!E32+'Estado.Gen.Costos.Gastos'!F32)*$D$6</f>
        <v>160000</v>
      </c>
      <c r="E33" s="256">
        <f t="shared" si="0"/>
        <v>200000</v>
      </c>
      <c r="F33" s="257">
        <f>'Estado.Gen.Costos.Gastos'!E32+'Estado.Gen.Costos.Gastos'!F32</f>
        <v>200000</v>
      </c>
    </row>
    <row r="34" spans="1:8" x14ac:dyDescent="0.35">
      <c r="A34" s="252" t="s">
        <v>294</v>
      </c>
      <c r="B34" s="269" t="s">
        <v>295</v>
      </c>
      <c r="C34" s="254">
        <f>('Estado.Gen.Costos.Gastos'!$E33+'Estado.Gen.Costos.Gastos'!$F33)*$C$6</f>
        <v>352000</v>
      </c>
      <c r="D34" s="255">
        <f>('Estado.Gen.Costos.Gastos'!E33+'Estado.Gen.Costos.Gastos'!F33)*$D$6</f>
        <v>1408000</v>
      </c>
      <c r="E34" s="256">
        <f t="shared" si="0"/>
        <v>1760000</v>
      </c>
      <c r="F34" s="257">
        <f>'Estado.Gen.Costos.Gastos'!E33+'Estado.Gen.Costos.Gastos'!F33</f>
        <v>1760000</v>
      </c>
      <c r="H34" s="89"/>
    </row>
    <row r="35" spans="1:8" x14ac:dyDescent="0.35">
      <c r="A35" s="252" t="s">
        <v>296</v>
      </c>
      <c r="B35" s="269" t="s">
        <v>297</v>
      </c>
      <c r="C35" s="254">
        <f>('Estado.Gen.Costos.Gastos'!$E34+'Estado.Gen.Costos.Gastos'!$F34)*$C$6</f>
        <v>19412.283366399999</v>
      </c>
      <c r="D35" s="255">
        <f>('Estado.Gen.Costos.Gastos'!E34+'Estado.Gen.Costos.Gastos'!F34)*$D$6</f>
        <v>77649.133465599996</v>
      </c>
      <c r="E35" s="256">
        <f t="shared" si="0"/>
        <v>97061.416831999988</v>
      </c>
      <c r="F35" s="257">
        <f>'Estado.Gen.Costos.Gastos'!E34+'Estado.Gen.Costos.Gastos'!F34</f>
        <v>97061.416831999988</v>
      </c>
    </row>
    <row r="36" spans="1:8" x14ac:dyDescent="0.35">
      <c r="A36" s="252" t="s">
        <v>298</v>
      </c>
      <c r="B36" s="269" t="s">
        <v>299</v>
      </c>
      <c r="C36" s="254">
        <f>('Estado.Gen.Costos.Gastos'!$E35+'Estado.Gen.Costos.Gastos'!$F35)*$C$6</f>
        <v>33333.333333333336</v>
      </c>
      <c r="D36" s="255">
        <f>('Estado.Gen.Costos.Gastos'!E35+'Estado.Gen.Costos.Gastos'!F35)*$D$6</f>
        <v>133333.33333333334</v>
      </c>
      <c r="E36" s="256">
        <f t="shared" si="0"/>
        <v>166666.66666666669</v>
      </c>
      <c r="F36" s="257">
        <f>'Estado.Gen.Costos.Gastos'!E35+'Estado.Gen.Costos.Gastos'!F35</f>
        <v>166666.66666666666</v>
      </c>
    </row>
    <row r="37" spans="1:8" x14ac:dyDescent="0.35">
      <c r="A37" s="252" t="s">
        <v>300</v>
      </c>
      <c r="B37" s="269" t="s">
        <v>301</v>
      </c>
      <c r="C37" s="254">
        <f>('Estado.Gen.Costos.Gastos'!$E36+'Estado.Gen.Costos.Gastos'!$F36)*$C$6</f>
        <v>0</v>
      </c>
      <c r="D37" s="255">
        <f>('Estado.Gen.Costos.Gastos'!E36+'Estado.Gen.Costos.Gastos'!F36)*$D$6</f>
        <v>0</v>
      </c>
      <c r="E37" s="256">
        <f t="shared" si="0"/>
        <v>0</v>
      </c>
      <c r="F37" s="257">
        <f>'Estado.Gen.Costos.Gastos'!E36+'Estado.Gen.Costos.Gastos'!F36</f>
        <v>0</v>
      </c>
    </row>
    <row r="38" spans="1:8" x14ac:dyDescent="0.35">
      <c r="A38" s="252" t="s">
        <v>302</v>
      </c>
      <c r="B38" s="269" t="s">
        <v>303</v>
      </c>
      <c r="C38" s="254">
        <f>('Estado.Gen.Costos.Gastos'!$E37+'Estado.Gen.Costos.Gastos'!$F37)*$C$6</f>
        <v>0</v>
      </c>
      <c r="D38" s="255">
        <f>('Estado.Gen.Costos.Gastos'!E37+'Estado.Gen.Costos.Gastos'!F37)*$D$6</f>
        <v>0</v>
      </c>
      <c r="E38" s="256">
        <f t="shared" si="0"/>
        <v>0</v>
      </c>
      <c r="F38" s="257">
        <f>'Estado.Gen.Costos.Gastos'!E37+'Estado.Gen.Costos.Gastos'!F37</f>
        <v>0</v>
      </c>
    </row>
    <row r="39" spans="1:8" x14ac:dyDescent="0.35">
      <c r="A39" s="252" t="s">
        <v>304</v>
      </c>
      <c r="B39" s="269" t="s">
        <v>305</v>
      </c>
      <c r="C39" s="254">
        <f>('Estado.Gen.Costos.Gastos'!$E38+'Estado.Gen.Costos.Gastos'!$F38)*$C$6</f>
        <v>7283.3333333333348</v>
      </c>
      <c r="D39" s="255">
        <f>('Estado.Gen.Costos.Gastos'!E38+'Estado.Gen.Costos.Gastos'!F38)*$D$6</f>
        <v>29133.333333333339</v>
      </c>
      <c r="E39" s="256">
        <f t="shared" si="0"/>
        <v>36416.666666666672</v>
      </c>
      <c r="F39" s="257">
        <f>'Estado.Gen.Costos.Gastos'!E38+'Estado.Gen.Costos.Gastos'!F38</f>
        <v>36416.666666666672</v>
      </c>
    </row>
    <row r="40" spans="1:8" x14ac:dyDescent="0.35">
      <c r="A40" s="252" t="s">
        <v>306</v>
      </c>
      <c r="B40" s="269" t="s">
        <v>307</v>
      </c>
      <c r="C40" s="254">
        <f>('Estado.Gen.Costos.Gastos'!$E39+'Estado.Gen.Costos.Gastos'!$F39)*$C$6</f>
        <v>12000</v>
      </c>
      <c r="D40" s="255">
        <f>('Estado.Gen.Costos.Gastos'!E39+'Estado.Gen.Costos.Gastos'!F39)*$D$6</f>
        <v>48000</v>
      </c>
      <c r="E40" s="256">
        <f t="shared" ref="E40:E66" si="1">SUM(C40:D40)</f>
        <v>60000</v>
      </c>
      <c r="F40" s="257">
        <f>'Estado.Gen.Costos.Gastos'!E39+'Estado.Gen.Costos.Gastos'!F39</f>
        <v>60000</v>
      </c>
    </row>
    <row r="41" spans="1:8" x14ac:dyDescent="0.35">
      <c r="A41" s="252" t="s">
        <v>308</v>
      </c>
      <c r="B41" s="269" t="s">
        <v>309</v>
      </c>
      <c r="C41" s="254">
        <f>('Estado.Gen.Costos.Gastos'!$E40+'Estado.Gen.Costos.Gastos'!$F40)*$C$6</f>
        <v>20000</v>
      </c>
      <c r="D41" s="255">
        <f>('Estado.Gen.Costos.Gastos'!E40+'Estado.Gen.Costos.Gastos'!F40)*$D$6</f>
        <v>80000</v>
      </c>
      <c r="E41" s="256">
        <f t="shared" si="1"/>
        <v>100000</v>
      </c>
      <c r="F41" s="257">
        <f>'Estado.Gen.Costos.Gastos'!E40+'Estado.Gen.Costos.Gastos'!F40</f>
        <v>100000</v>
      </c>
    </row>
    <row r="42" spans="1:8" x14ac:dyDescent="0.35">
      <c r="A42" s="252" t="s">
        <v>310</v>
      </c>
      <c r="B42" s="269" t="s">
        <v>311</v>
      </c>
      <c r="C42" s="254">
        <f>('Estado.Gen.Costos.Gastos'!$E41+'Estado.Gen.Costos.Gastos'!$F41)*$C$6</f>
        <v>0</v>
      </c>
      <c r="D42" s="255">
        <f>('Estado.Gen.Costos.Gastos'!E41+'Estado.Gen.Costos.Gastos'!F41)*$D$6</f>
        <v>0</v>
      </c>
      <c r="E42" s="256">
        <f t="shared" si="1"/>
        <v>0</v>
      </c>
      <c r="F42" s="257">
        <f>'Estado.Gen.Costos.Gastos'!E41+'Estado.Gen.Costos.Gastos'!F41</f>
        <v>0</v>
      </c>
    </row>
    <row r="43" spans="1:8" x14ac:dyDescent="0.35">
      <c r="A43" s="252" t="s">
        <v>312</v>
      </c>
      <c r="B43" s="269" t="s">
        <v>313</v>
      </c>
      <c r="C43" s="254">
        <f>('Estado.Gen.Costos.Gastos'!$E42+'Estado.Gen.Costos.Gastos'!$F42)*$C$6</f>
        <v>33333.333333333336</v>
      </c>
      <c r="D43" s="255">
        <f>('Estado.Gen.Costos.Gastos'!E42+'Estado.Gen.Costos.Gastos'!F42)*$D$6</f>
        <v>133333.33333333334</v>
      </c>
      <c r="E43" s="256">
        <f t="shared" si="1"/>
        <v>166666.66666666669</v>
      </c>
      <c r="F43" s="257">
        <f>'Estado.Gen.Costos.Gastos'!E42+'Estado.Gen.Costos.Gastos'!F42</f>
        <v>166666.66666666666</v>
      </c>
    </row>
    <row r="44" spans="1:8" x14ac:dyDescent="0.35">
      <c r="A44" s="252" t="s">
        <v>314</v>
      </c>
      <c r="B44" s="269" t="s">
        <v>315</v>
      </c>
      <c r="C44" s="254">
        <f>('Estado.Gen.Costos.Gastos'!$E43+'Estado.Gen.Costos.Gastos'!$F43)*$C$6</f>
        <v>20000</v>
      </c>
      <c r="D44" s="255">
        <f>('Estado.Gen.Costos.Gastos'!E43+'Estado.Gen.Costos.Gastos'!F43)*$D$6</f>
        <v>80000</v>
      </c>
      <c r="E44" s="256">
        <f t="shared" si="1"/>
        <v>100000</v>
      </c>
      <c r="F44" s="257">
        <f>'Estado.Gen.Costos.Gastos'!E43+'Estado.Gen.Costos.Gastos'!F43</f>
        <v>100000</v>
      </c>
    </row>
    <row r="45" spans="1:8" x14ac:dyDescent="0.35">
      <c r="A45" s="252"/>
      <c r="B45" s="269" t="s">
        <v>316</v>
      </c>
      <c r="C45" s="271">
        <f>SUM(C28,C34:C44)</f>
        <v>1258707.5267709633</v>
      </c>
      <c r="D45" s="263">
        <f>SUM(D28,D34:D44)</f>
        <v>5034830.1070838533</v>
      </c>
      <c r="E45" s="256">
        <f t="shared" si="1"/>
        <v>6293537.6338548167</v>
      </c>
      <c r="F45" s="257">
        <f>'Estado.Gen.Costos.Gastos'!E44+'Estado.Gen.Costos.Gastos'!F44</f>
        <v>6293537.6338548176</v>
      </c>
    </row>
    <row r="46" spans="1:8" x14ac:dyDescent="0.35">
      <c r="A46" s="265">
        <v>3</v>
      </c>
      <c r="B46" s="247" t="s">
        <v>317</v>
      </c>
      <c r="C46" s="266"/>
      <c r="D46" s="267"/>
      <c r="E46" s="256">
        <f t="shared" si="1"/>
        <v>0</v>
      </c>
      <c r="F46" s="257">
        <f>'Estado.Gen.Costos.Gastos'!E45+'Estado.Gen.Costos.Gastos'!F45</f>
        <v>0</v>
      </c>
    </row>
    <row r="47" spans="1:8" x14ac:dyDescent="0.35">
      <c r="A47" s="252" t="s">
        <v>318</v>
      </c>
      <c r="B47" s="269" t="s">
        <v>319</v>
      </c>
      <c r="C47" s="254">
        <f>('Estado.Gen.Costos.Gastos'!$E46+'Estado.Gen.Costos.Gastos'!$F46)*$C$6</f>
        <v>0</v>
      </c>
      <c r="D47" s="255">
        <f>('Estado.Gen.Costos.Gastos'!E46+'Estado.Gen.Costos.Gastos'!F46)*$D$6</f>
        <v>0</v>
      </c>
      <c r="E47" s="256">
        <f t="shared" si="1"/>
        <v>0</v>
      </c>
      <c r="F47" s="257">
        <f>'Estado.Gen.Costos.Gastos'!E46+'Estado.Gen.Costos.Gastos'!F46</f>
        <v>0</v>
      </c>
    </row>
    <row r="48" spans="1:8" x14ac:dyDescent="0.35">
      <c r="A48" s="252" t="s">
        <v>320</v>
      </c>
      <c r="B48" s="264" t="s">
        <v>321</v>
      </c>
      <c r="C48" s="258">
        <f>('Estado.Gen.Costos.Gastos'!$E47+'Estado.Gen.Costos.Gastos'!$F47)*$C$6</f>
        <v>0</v>
      </c>
      <c r="D48" s="259">
        <f>('Estado.Gen.Costos.Gastos'!E47+'Estado.Gen.Costos.Gastos'!F47)*$D$6</f>
        <v>0</v>
      </c>
      <c r="E48" s="256">
        <f t="shared" si="1"/>
        <v>0</v>
      </c>
      <c r="F48" s="257">
        <f>'Estado.Gen.Costos.Gastos'!E47+'Estado.Gen.Costos.Gastos'!F47</f>
        <v>0</v>
      </c>
    </row>
    <row r="49" spans="1:6" x14ac:dyDescent="0.35">
      <c r="A49" s="252" t="s">
        <v>322</v>
      </c>
      <c r="B49" s="264" t="s">
        <v>268</v>
      </c>
      <c r="C49" s="258">
        <f>('Estado.Gen.Costos.Gastos'!$E48+'Estado.Gen.Costos.Gastos'!$F48)*$C$6</f>
        <v>0</v>
      </c>
      <c r="D49" s="259">
        <f>('Estado.Gen.Costos.Gastos'!E48+'Estado.Gen.Costos.Gastos'!F48)*$D$6</f>
        <v>0</v>
      </c>
      <c r="E49" s="256">
        <f t="shared" si="1"/>
        <v>0</v>
      </c>
      <c r="F49" s="257">
        <f>'Estado.Gen.Costos.Gastos'!E48+'Estado.Gen.Costos.Gastos'!F48</f>
        <v>0</v>
      </c>
    </row>
    <row r="50" spans="1:6" x14ac:dyDescent="0.35">
      <c r="A50" s="252" t="s">
        <v>323</v>
      </c>
      <c r="B50" s="264" t="s">
        <v>270</v>
      </c>
      <c r="C50" s="258">
        <f>('Estado.Gen.Costos.Gastos'!$E49+'Estado.Gen.Costos.Gastos'!$F49)*$C$6</f>
        <v>0</v>
      </c>
      <c r="D50" s="259">
        <f>('Estado.Gen.Costos.Gastos'!E49+'Estado.Gen.Costos.Gastos'!F49)*$D$6</f>
        <v>0</v>
      </c>
      <c r="E50" s="256">
        <f t="shared" si="1"/>
        <v>0</v>
      </c>
      <c r="F50" s="257">
        <f>'Estado.Gen.Costos.Gastos'!E49+'Estado.Gen.Costos.Gastos'!F49</f>
        <v>0</v>
      </c>
    </row>
    <row r="51" spans="1:6" ht="28" x14ac:dyDescent="0.35">
      <c r="A51" s="252" t="s">
        <v>324</v>
      </c>
      <c r="B51" s="270" t="s">
        <v>272</v>
      </c>
      <c r="C51" s="258">
        <f>('Estado.Gen.Costos.Gastos'!$E50+'Estado.Gen.Costos.Gastos'!$F50)*$C$6</f>
        <v>0</v>
      </c>
      <c r="D51" s="259">
        <f>('Estado.Gen.Costos.Gastos'!E50+'Estado.Gen.Costos.Gastos'!F50)*$D$6</f>
        <v>0</v>
      </c>
      <c r="E51" s="256">
        <f t="shared" si="1"/>
        <v>0</v>
      </c>
      <c r="F51" s="257">
        <f>'Estado.Gen.Costos.Gastos'!E50+'Estado.Gen.Costos.Gastos'!F50</f>
        <v>0</v>
      </c>
    </row>
    <row r="52" spans="1:6" x14ac:dyDescent="0.35">
      <c r="A52" s="252" t="s">
        <v>325</v>
      </c>
      <c r="B52" s="269" t="s">
        <v>326</v>
      </c>
      <c r="C52" s="254">
        <f>('Estado.Gen.Costos.Gastos'!$E51+'Estado.Gen.Costos.Gastos'!$F51)*$C$6</f>
        <v>0</v>
      </c>
      <c r="D52" s="255">
        <f>('Estado.Gen.Costos.Gastos'!E51+'Estado.Gen.Costos.Gastos'!F51)*$D$6</f>
        <v>0</v>
      </c>
      <c r="E52" s="256">
        <f t="shared" si="1"/>
        <v>0</v>
      </c>
      <c r="F52" s="257">
        <f>'Estado.Gen.Costos.Gastos'!E51+'Estado.Gen.Costos.Gastos'!F51</f>
        <v>0</v>
      </c>
    </row>
    <row r="53" spans="1:6" x14ac:dyDescent="0.35">
      <c r="A53" s="252" t="s">
        <v>327</v>
      </c>
      <c r="B53" s="269" t="s">
        <v>328</v>
      </c>
      <c r="C53" s="254">
        <f>('Estado.Gen.Costos.Gastos'!$E52+'Estado.Gen.Costos.Gastos'!$F52)*$C$6</f>
        <v>40000</v>
      </c>
      <c r="D53" s="255">
        <f>('Estado.Gen.Costos.Gastos'!E52+'Estado.Gen.Costos.Gastos'!F52)*$D$6</f>
        <v>160000</v>
      </c>
      <c r="E53" s="256">
        <f t="shared" si="1"/>
        <v>200000</v>
      </c>
      <c r="F53" s="257">
        <f>'Estado.Gen.Costos.Gastos'!E52+'Estado.Gen.Costos.Gastos'!F52</f>
        <v>200000</v>
      </c>
    </row>
    <row r="54" spans="1:6" x14ac:dyDescent="0.35">
      <c r="A54" s="252" t="s">
        <v>329</v>
      </c>
      <c r="B54" s="269" t="s">
        <v>330</v>
      </c>
      <c r="C54" s="254">
        <f>('Estado.Gen.Costos.Gastos'!$E53+'Estado.Gen.Costos.Gastos'!$F53)*$C$6</f>
        <v>5000</v>
      </c>
      <c r="D54" s="255">
        <f>('Estado.Gen.Costos.Gastos'!E53+'Estado.Gen.Costos.Gastos'!F53)*$D$6</f>
        <v>20000</v>
      </c>
      <c r="E54" s="256">
        <f t="shared" si="1"/>
        <v>25000</v>
      </c>
      <c r="F54" s="257">
        <f>'Estado.Gen.Costos.Gastos'!E53+'Estado.Gen.Costos.Gastos'!F53</f>
        <v>25000</v>
      </c>
    </row>
    <row r="55" spans="1:6" x14ac:dyDescent="0.35">
      <c r="A55" s="252" t="s">
        <v>331</v>
      </c>
      <c r="B55" s="269" t="s">
        <v>332</v>
      </c>
      <c r="C55" s="254">
        <f>('Estado.Gen.Costos.Gastos'!$E54+'Estado.Gen.Costos.Gastos'!$F54)*$C$6</f>
        <v>0</v>
      </c>
      <c r="D55" s="255">
        <f>('Estado.Gen.Costos.Gastos'!E54+'Estado.Gen.Costos.Gastos'!F54)*$D$6</f>
        <v>0</v>
      </c>
      <c r="E55" s="256">
        <f t="shared" si="1"/>
        <v>0</v>
      </c>
      <c r="F55" s="257">
        <f>'Estado.Gen.Costos.Gastos'!E54+'Estado.Gen.Costos.Gastos'!F54</f>
        <v>0</v>
      </c>
    </row>
    <row r="56" spans="1:6" x14ac:dyDescent="0.35">
      <c r="A56" s="252" t="s">
        <v>333</v>
      </c>
      <c r="B56" s="269" t="s">
        <v>334</v>
      </c>
      <c r="C56" s="271">
        <f>SUM(C47,C52:C55)</f>
        <v>45000</v>
      </c>
      <c r="D56" s="263">
        <f>SUM(D47,D52:D55)</f>
        <v>180000</v>
      </c>
      <c r="E56" s="256">
        <f t="shared" si="1"/>
        <v>225000</v>
      </c>
      <c r="F56" s="257">
        <f>'Estado.Gen.Costos.Gastos'!E55+'Estado.Gen.Costos.Gastos'!F55</f>
        <v>225000</v>
      </c>
    </row>
    <row r="57" spans="1:6" x14ac:dyDescent="0.35">
      <c r="A57" s="265">
        <v>4</v>
      </c>
      <c r="B57" s="247" t="s">
        <v>335</v>
      </c>
      <c r="C57" s="266"/>
      <c r="D57" s="267"/>
      <c r="E57" s="256">
        <f t="shared" si="1"/>
        <v>0</v>
      </c>
      <c r="F57" s="257">
        <f>'Estado.Gen.Costos.Gastos'!E56+'Estado.Gen.Costos.Gastos'!F56</f>
        <v>0</v>
      </c>
    </row>
    <row r="58" spans="1:6" x14ac:dyDescent="0.35">
      <c r="A58" s="252" t="s">
        <v>336</v>
      </c>
      <c r="B58" s="264" t="s">
        <v>337</v>
      </c>
      <c r="C58" s="258">
        <f>('Estado.Gen.Costos.Gastos'!$E57+'Estado.Gen.Costos.Gastos'!$F57)*$C$6</f>
        <v>0</v>
      </c>
      <c r="D58" s="259">
        <f>('Estado.Gen.Costos.Gastos'!E57+'Estado.Gen.Costos.Gastos'!F57)*$D$6</f>
        <v>0</v>
      </c>
      <c r="E58" s="256">
        <f t="shared" si="1"/>
        <v>0</v>
      </c>
      <c r="F58" s="257">
        <f>'Estado.Gen.Costos.Gastos'!E57+'Estado.Gen.Costos.Gastos'!F57</f>
        <v>0</v>
      </c>
    </row>
    <row r="59" spans="1:6" x14ac:dyDescent="0.35">
      <c r="A59" s="252" t="s">
        <v>338</v>
      </c>
      <c r="B59" s="264" t="s">
        <v>339</v>
      </c>
      <c r="C59" s="258">
        <f>('Estado.Gen.Costos.Gastos'!$E58+'Estado.Gen.Costos.Gastos'!$F58)*$C$6</f>
        <v>0</v>
      </c>
      <c r="D59" s="259">
        <f>('Estado.Gen.Costos.Gastos'!E58+'Estado.Gen.Costos.Gastos'!F58)*$D$6</f>
        <v>0</v>
      </c>
      <c r="E59" s="256">
        <f t="shared" si="1"/>
        <v>0</v>
      </c>
      <c r="F59" s="257">
        <f>'Estado.Gen.Costos.Gastos'!E58+'Estado.Gen.Costos.Gastos'!F58</f>
        <v>0</v>
      </c>
    </row>
    <row r="60" spans="1:6" x14ac:dyDescent="0.35">
      <c r="A60" s="252" t="s">
        <v>340</v>
      </c>
      <c r="B60" s="264" t="s">
        <v>341</v>
      </c>
      <c r="C60" s="258">
        <f>('Estado.Gen.Costos.Gastos'!$E59+'Estado.Gen.Costos.Gastos'!$F59)*$C$6</f>
        <v>0</v>
      </c>
      <c r="D60" s="259">
        <f>('Estado.Gen.Costos.Gastos'!E59+'Estado.Gen.Costos.Gastos'!F59)*$D$6</f>
        <v>0</v>
      </c>
      <c r="E60" s="256">
        <f t="shared" si="1"/>
        <v>0</v>
      </c>
      <c r="F60" s="257">
        <f>'Estado.Gen.Costos.Gastos'!E59+'Estado.Gen.Costos.Gastos'!F59</f>
        <v>0</v>
      </c>
    </row>
    <row r="61" spans="1:6" x14ac:dyDescent="0.35">
      <c r="A61" s="252" t="s">
        <v>342</v>
      </c>
      <c r="B61" s="264" t="s">
        <v>343</v>
      </c>
      <c r="C61" s="258">
        <f>('Estado.Gen.Costos.Gastos'!$E60+'Estado.Gen.Costos.Gastos'!$F60)*$C$6</f>
        <v>0</v>
      </c>
      <c r="D61" s="259">
        <f>('Estado.Gen.Costos.Gastos'!E60+'Estado.Gen.Costos.Gastos'!F60)*$D$6</f>
        <v>0</v>
      </c>
      <c r="E61" s="256">
        <f t="shared" si="1"/>
        <v>0</v>
      </c>
      <c r="F61" s="257">
        <f>'Estado.Gen.Costos.Gastos'!E60+'Estado.Gen.Costos.Gastos'!F60</f>
        <v>0</v>
      </c>
    </row>
    <row r="62" spans="1:6" x14ac:dyDescent="0.35">
      <c r="A62" s="252"/>
      <c r="B62" s="269" t="s">
        <v>344</v>
      </c>
      <c r="C62" s="272">
        <f>('Estado.Gen.Costos.Gastos'!$E61+'Estado.Gen.Costos.Gastos'!$F61)*$C$6</f>
        <v>0</v>
      </c>
      <c r="D62" s="273">
        <f>('Estado.Gen.Costos.Gastos'!E61+'Estado.Gen.Costos.Gastos'!F61)*$D$6</f>
        <v>0</v>
      </c>
      <c r="E62" s="256">
        <f t="shared" si="1"/>
        <v>0</v>
      </c>
      <c r="F62" s="257">
        <f>'Estado.Gen.Costos.Gastos'!E61+'Estado.Gen.Costos.Gastos'!F61</f>
        <v>0</v>
      </c>
    </row>
    <row r="63" spans="1:6" x14ac:dyDescent="0.35">
      <c r="A63" s="265">
        <v>5</v>
      </c>
      <c r="B63" s="247" t="s">
        <v>345</v>
      </c>
      <c r="C63" s="266"/>
      <c r="D63" s="267"/>
      <c r="E63" s="256">
        <f t="shared" si="1"/>
        <v>0</v>
      </c>
      <c r="F63" s="257">
        <f>'Estado.Gen.Costos.Gastos'!E62+'Estado.Gen.Costos.Gastos'!F62</f>
        <v>0</v>
      </c>
    </row>
    <row r="64" spans="1:6" x14ac:dyDescent="0.35">
      <c r="A64" s="252" t="s">
        <v>346</v>
      </c>
      <c r="B64" s="264" t="s">
        <v>347</v>
      </c>
      <c r="C64" s="258">
        <f>('Estado.Gen.Costos.Gastos'!$E63+'Estado.Gen.Costos.Gastos'!$F63)*$C$6</f>
        <v>0</v>
      </c>
      <c r="D64" s="259">
        <f>('Estado.Gen.Costos.Gastos'!E63+'Estado.Gen.Costos.Gastos'!F63)*$D$6</f>
        <v>0</v>
      </c>
      <c r="E64" s="256">
        <f t="shared" si="1"/>
        <v>0</v>
      </c>
      <c r="F64" s="257">
        <f>'Estado.Gen.Costos.Gastos'!E63+'Estado.Gen.Costos.Gastos'!F63</f>
        <v>0</v>
      </c>
    </row>
    <row r="65" spans="1:12" x14ac:dyDescent="0.35">
      <c r="A65" s="253" t="s">
        <v>348</v>
      </c>
      <c r="B65" s="264" t="s">
        <v>349</v>
      </c>
      <c r="C65" s="258">
        <f>('Estado.Gen.Costos.Gastos'!$E64+'Estado.Gen.Costos.Gastos'!$F64)*$C$6</f>
        <v>0</v>
      </c>
      <c r="D65" s="259">
        <f>('Estado.Gen.Costos.Gastos'!E64+'Estado.Gen.Costos.Gastos'!F64)*$D$6</f>
        <v>0</v>
      </c>
      <c r="E65" s="256">
        <f t="shared" si="1"/>
        <v>0</v>
      </c>
      <c r="F65" s="257">
        <f>'Estado.Gen.Costos.Gastos'!E64+'Estado.Gen.Costos.Gastos'!F64</f>
        <v>0</v>
      </c>
    </row>
    <row r="66" spans="1:12" x14ac:dyDescent="0.35">
      <c r="A66" s="253"/>
      <c r="B66" s="269" t="s">
        <v>350</v>
      </c>
      <c r="C66" s="272">
        <f>SUM(C64:C65)</f>
        <v>0</v>
      </c>
      <c r="D66" s="272">
        <f>SUM(D64:D65)</f>
        <v>0</v>
      </c>
      <c r="E66" s="256">
        <f t="shared" si="1"/>
        <v>0</v>
      </c>
      <c r="F66" s="257">
        <f>'Estado.Gen.Costos.Gastos'!E65+'Estado.Gen.Costos.Gastos'!F65</f>
        <v>0</v>
      </c>
    </row>
    <row r="67" spans="1:12" x14ac:dyDescent="0.35">
      <c r="A67" s="55"/>
      <c r="E67" s="157"/>
      <c r="F67" s="89"/>
      <c r="L67" s="2">
        <f>J68-SUM(J69:J73)</f>
        <v>68806.777311543046</v>
      </c>
    </row>
    <row r="68" spans="1:12" x14ac:dyDescent="0.35">
      <c r="A68" s="55"/>
      <c r="B68" s="92"/>
      <c r="C68" s="88"/>
      <c r="D68" s="154"/>
      <c r="E68" s="157"/>
      <c r="J68" s="2">
        <f>(C70)/(1-A71-A72-A73-A74-A75)</f>
        <v>140720.66694932722</v>
      </c>
    </row>
    <row r="69" spans="1:12" x14ac:dyDescent="0.35">
      <c r="A69" s="290"/>
      <c r="B69" s="247" t="s">
        <v>351</v>
      </c>
      <c r="C69" s="291">
        <f>SUM(C24,C45,C56,C62,C66)</f>
        <v>13761355.462308604</v>
      </c>
      <c r="D69" s="291">
        <f>SUM(D24,D45,D56,D62,D66)</f>
        <v>16548188.515901083</v>
      </c>
      <c r="E69" s="157"/>
      <c r="J69" s="2">
        <f>$J$68*(A71)</f>
        <v>14072.066694932722</v>
      </c>
    </row>
    <row r="70" spans="1:12" x14ac:dyDescent="0.35">
      <c r="A70" s="229"/>
      <c r="B70" s="247" t="s">
        <v>368</v>
      </c>
      <c r="C70" s="292">
        <f>C69/C5</f>
        <v>68806.777311543017</v>
      </c>
      <c r="D70" s="267">
        <f>D69/D5</f>
        <v>41370.471289752706</v>
      </c>
      <c r="E70" s="157"/>
      <c r="J70" s="2">
        <f>$J$68*(A72)</f>
        <v>1553.5561631205724</v>
      </c>
    </row>
    <row r="71" spans="1:12" x14ac:dyDescent="0.35">
      <c r="A71" s="293">
        <v>0.1</v>
      </c>
      <c r="B71" s="294" t="s">
        <v>369</v>
      </c>
      <c r="C71" s="295">
        <f>$C$77*(A71)</f>
        <v>14072.066694932722</v>
      </c>
      <c r="D71" s="295">
        <f>$D$77*(A71)</f>
        <v>8460.911176732805</v>
      </c>
      <c r="E71" s="157"/>
      <c r="J71" s="2">
        <f>$J$68*(A73)</f>
        <v>8443.2400169596331</v>
      </c>
    </row>
    <row r="72" spans="1:12" x14ac:dyDescent="0.35">
      <c r="A72" s="296">
        <f>11.04/1000</f>
        <v>1.1039999999999999E-2</v>
      </c>
      <c r="B72" s="294" t="s">
        <v>370</v>
      </c>
      <c r="C72" s="295">
        <f>$C$77*(A72)</f>
        <v>1553.5561631205724</v>
      </c>
      <c r="D72" s="295">
        <f>$D$77*(A72)</f>
        <v>934.08459391130145</v>
      </c>
      <c r="E72" s="157"/>
      <c r="J72" s="2">
        <f>$J$68*(A74)</f>
        <v>21108.100042399081</v>
      </c>
    </row>
    <row r="73" spans="1:12" x14ac:dyDescent="0.35">
      <c r="A73" s="293">
        <v>0.06</v>
      </c>
      <c r="B73" s="294" t="s">
        <v>371</v>
      </c>
      <c r="C73" s="295">
        <f>$C$77*(A73)</f>
        <v>8443.2400169596331</v>
      </c>
      <c r="D73" s="295">
        <f>$D$77*(A73)</f>
        <v>5076.5467060396822</v>
      </c>
      <c r="E73" s="157"/>
      <c r="H73" s="8">
        <f>'Estado.Gen.Costos.Gastos'!E69</f>
        <v>30309543.978209689</v>
      </c>
      <c r="J73" s="2">
        <f>$J$68*(A75)</f>
        <v>26736.926720372172</v>
      </c>
    </row>
    <row r="74" spans="1:12" x14ac:dyDescent="0.35">
      <c r="A74" s="293">
        <v>0.15</v>
      </c>
      <c r="B74" s="294" t="s">
        <v>372</v>
      </c>
      <c r="C74" s="295">
        <f>$C$77*(A74)</f>
        <v>21108.100042399081</v>
      </c>
      <c r="D74" s="295">
        <f>$D$77*(A74)</f>
        <v>12691.366765099205</v>
      </c>
      <c r="E74" s="157"/>
      <c r="H74" s="8">
        <f>SUM(C69:D69)</f>
        <v>30309543.978209689</v>
      </c>
      <c r="J74" s="2"/>
    </row>
    <row r="75" spans="1:12" x14ac:dyDescent="0.35">
      <c r="A75" s="293">
        <v>0.19</v>
      </c>
      <c r="B75" s="294" t="s">
        <v>373</v>
      </c>
      <c r="C75" s="295">
        <f>$C$77*(A75)</f>
        <v>26736.926720372172</v>
      </c>
      <c r="D75" s="295">
        <f>$D$77*(A75)</f>
        <v>16075.731235792327</v>
      </c>
      <c r="E75" s="157"/>
      <c r="H75" s="8">
        <f>H74-H73</f>
        <v>0</v>
      </c>
    </row>
    <row r="76" spans="1:12" x14ac:dyDescent="0.35">
      <c r="A76" s="297"/>
      <c r="B76" s="247" t="s">
        <v>374</v>
      </c>
      <c r="C76" s="292">
        <f>C77*(1-A75)</f>
        <v>113983.74022895505</v>
      </c>
      <c r="D76" s="292">
        <f>D77*(1-A75)</f>
        <v>68533.380531535717</v>
      </c>
      <c r="E76" s="157"/>
      <c r="F76" s="89"/>
    </row>
    <row r="77" spans="1:12" x14ac:dyDescent="0.35">
      <c r="A77" s="229"/>
      <c r="B77" s="298" t="s">
        <v>375</v>
      </c>
      <c r="C77" s="292">
        <f>(C70)/(1-A71-A72-A73-A74-A75)</f>
        <v>140720.66694932722</v>
      </c>
      <c r="D77" s="292">
        <f>(D70)/(1-A71-A72-A73-A74-A75)</f>
        <v>84609.111767328039</v>
      </c>
      <c r="E77" s="156"/>
      <c r="F77" s="155"/>
    </row>
    <row r="78" spans="1:12" hidden="1" x14ac:dyDescent="0.35">
      <c r="B78" s="153"/>
      <c r="C78" s="223">
        <f>$C$77*(A78)</f>
        <v>0</v>
      </c>
      <c r="D78" s="89">
        <f>SUM(D70:D75)</f>
        <v>84609.111767328024</v>
      </c>
    </row>
    <row r="79" spans="1:12" x14ac:dyDescent="0.35">
      <c r="C79" s="2"/>
    </row>
    <row r="80" spans="1:12" x14ac:dyDescent="0.35">
      <c r="C80" s="2"/>
      <c r="E80" s="2"/>
    </row>
    <row r="81" spans="3:10" x14ac:dyDescent="0.35">
      <c r="C81" s="2"/>
      <c r="E81" s="2"/>
    </row>
    <row r="82" spans="3:10" x14ac:dyDescent="0.35">
      <c r="C82" s="2"/>
      <c r="E82" t="s">
        <v>376</v>
      </c>
      <c r="F82" s="89">
        <f>C70</f>
        <v>68806.777311543017</v>
      </c>
      <c r="G82" s="89">
        <f>F82/(1+General!$C$61%)</f>
        <v>63288.058601492688</v>
      </c>
      <c r="H82" s="87">
        <f>ProyeccionEstadoVentas!L1</f>
        <v>100</v>
      </c>
    </row>
    <row r="83" spans="3:10" x14ac:dyDescent="0.35">
      <c r="E83" t="s">
        <v>377</v>
      </c>
      <c r="F83" s="89">
        <f>D70</f>
        <v>41370.471289752706</v>
      </c>
      <c r="G83" s="89">
        <f>F83/(1+General!$C$61%)</f>
        <v>38052.309869161705</v>
      </c>
      <c r="H83" s="87">
        <f>ProyeccionEstadoVentas!L2</f>
        <v>200</v>
      </c>
    </row>
    <row r="84" spans="3:10" x14ac:dyDescent="0.35">
      <c r="E84" s="382" t="s">
        <v>378</v>
      </c>
      <c r="F84" s="382"/>
      <c r="G84" s="382"/>
      <c r="H84" s="382" t="s">
        <v>379</v>
      </c>
      <c r="I84" s="382"/>
      <c r="J84" s="218"/>
    </row>
    <row r="85" spans="3:10" x14ac:dyDescent="0.35">
      <c r="E85" s="218"/>
      <c r="F85" s="219" t="s">
        <v>376</v>
      </c>
      <c r="G85" s="219" t="s">
        <v>237</v>
      </c>
      <c r="H85" s="219" t="s">
        <v>376</v>
      </c>
      <c r="I85" s="219" t="s">
        <v>237</v>
      </c>
      <c r="J85" s="219" t="s">
        <v>380</v>
      </c>
    </row>
    <row r="86" spans="3:10" x14ac:dyDescent="0.35">
      <c r="E86" s="218">
        <v>2022</v>
      </c>
      <c r="F86" s="88">
        <f>$G$82*(1+General!C61%)</f>
        <v>68806.777311543017</v>
      </c>
      <c r="G86" s="88">
        <f>$G$83*(1+General!C61%)</f>
        <v>41370.471289752706</v>
      </c>
      <c r="H86" s="88">
        <f>$H$82*F86</f>
        <v>6880677.7311543021</v>
      </c>
      <c r="I86" s="88">
        <f>$H$83*G86</f>
        <v>8274094.2579505416</v>
      </c>
      <c r="J86" s="88">
        <f>H86+I86</f>
        <v>15154771.989104845</v>
      </c>
    </row>
    <row r="87" spans="3:10" x14ac:dyDescent="0.35">
      <c r="E87" s="218">
        <v>2023</v>
      </c>
      <c r="F87" s="88">
        <f>$G$82*(1+General!C62%)</f>
        <v>70996.544139154692</v>
      </c>
      <c r="G87" s="88">
        <f>$G$83*(1+General!C62%)</f>
        <v>42687.081211225719</v>
      </c>
      <c r="H87" s="88">
        <f t="shared" ref="H87:H91" si="2">$H$82*F87</f>
        <v>7099654.4139154693</v>
      </c>
      <c r="I87" s="88">
        <f t="shared" ref="I87:I91" si="3">$H$83*G87</f>
        <v>8537416.2422451433</v>
      </c>
      <c r="J87" s="88">
        <f t="shared" ref="J87:J91" si="4">H87+I87</f>
        <v>15637070.656160612</v>
      </c>
    </row>
    <row r="88" spans="3:10" x14ac:dyDescent="0.35">
      <c r="E88" s="218">
        <v>2024</v>
      </c>
      <c r="F88" s="88">
        <f>$G$82*(1+General!C63%)</f>
        <v>73186.310966766352</v>
      </c>
      <c r="G88" s="88">
        <f>$G$83*(1+General!C63%)</f>
        <v>44003.691132698717</v>
      </c>
      <c r="H88" s="88">
        <f t="shared" si="2"/>
        <v>7318631.0966766356</v>
      </c>
      <c r="I88" s="88">
        <f t="shared" si="3"/>
        <v>8800738.2265397441</v>
      </c>
      <c r="J88" s="88">
        <f t="shared" si="4"/>
        <v>16119369.323216379</v>
      </c>
    </row>
    <row r="89" spans="3:10" x14ac:dyDescent="0.35">
      <c r="E89" s="218">
        <v>2025</v>
      </c>
      <c r="F89" s="88">
        <f>$G$82*(1+General!C64%)</f>
        <v>75376.077794378027</v>
      </c>
      <c r="G89" s="88">
        <f>$G$83*(1+General!C64%)</f>
        <v>45320.30105417173</v>
      </c>
      <c r="H89" s="88">
        <f t="shared" si="2"/>
        <v>7537607.7794378027</v>
      </c>
      <c r="I89" s="88">
        <f t="shared" si="3"/>
        <v>9064060.2108343467</v>
      </c>
      <c r="J89" s="88">
        <f t="shared" si="4"/>
        <v>16601667.990272149</v>
      </c>
    </row>
    <row r="90" spans="3:10" x14ac:dyDescent="0.35">
      <c r="E90" s="218">
        <v>2026</v>
      </c>
      <c r="F90" s="88">
        <f>$G$82*(1+General!C65%)</f>
        <v>77565.844621989687</v>
      </c>
      <c r="G90" s="88">
        <f>$G$83*(1+General!C65%)</f>
        <v>46636.910975644736</v>
      </c>
      <c r="H90" s="88">
        <f t="shared" si="2"/>
        <v>7756584.462198969</v>
      </c>
      <c r="I90" s="88">
        <f t="shared" si="3"/>
        <v>9327382.1951289475</v>
      </c>
      <c r="J90" s="88">
        <f t="shared" si="4"/>
        <v>17083966.657327916</v>
      </c>
    </row>
    <row r="91" spans="3:10" x14ac:dyDescent="0.35">
      <c r="E91" s="218">
        <v>2027</v>
      </c>
      <c r="F91" s="88">
        <f>$G$82*(1+General!C66%)</f>
        <v>79755.611449601362</v>
      </c>
      <c r="G91" s="88">
        <f>$G$83*(1+General!C66%)</f>
        <v>47953.520897117749</v>
      </c>
      <c r="H91" s="88">
        <f t="shared" si="2"/>
        <v>7975561.1449601362</v>
      </c>
      <c r="I91" s="88">
        <f t="shared" si="3"/>
        <v>9590704.1794235501</v>
      </c>
      <c r="J91" s="88">
        <f t="shared" si="4"/>
        <v>17566265.324383687</v>
      </c>
    </row>
  </sheetData>
  <mergeCells count="5">
    <mergeCell ref="C3:D3"/>
    <mergeCell ref="E3:F3"/>
    <mergeCell ref="E84:G84"/>
    <mergeCell ref="H84:I84"/>
    <mergeCell ref="C2:D2"/>
  </mergeCells>
  <phoneticPr fontId="7" type="noConversion"/>
  <conditionalFormatting sqref="E6">
    <cfRule type="cellIs" dxfId="6" priority="9" operator="equal">
      <formula>$D$6+$C$6</formula>
    </cfRule>
  </conditionalFormatting>
  <conditionalFormatting sqref="H75">
    <cfRule type="cellIs" dxfId="5" priority="1" operator="equal">
      <formula>0</formula>
    </cfRule>
    <cfRule type="cellIs" dxfId="4" priority="2" operator="lessThan">
      <formula>0</formula>
    </cfRule>
    <cfRule type="cellIs" dxfId="3" priority="3" operator="greaterThan">
      <formula>0</formula>
    </cfRule>
    <cfRule type="cellIs" dxfId="2" priority="4" operator="equal">
      <formula>-4864638</formula>
    </cfRule>
    <cfRule type="cellIs" priority="5" operator="notEqual">
      <formula>0</formula>
    </cfRule>
    <cfRule type="cellIs" priority="6" operator="notEqual">
      <formula>$H$73</formula>
    </cfRule>
    <cfRule type="cellIs" dxfId="1" priority="7" operator="equal">
      <formula>$H$73+$H$74</formula>
    </cfRule>
    <cfRule type="cellIs" dxfId="0" priority="8" operator="equal">
      <formula>$H$74-$H$73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B00E-C9DB-4934-ABC0-005CE34CCAE7}">
  <dimension ref="A1:W76"/>
  <sheetViews>
    <sheetView topLeftCell="K58" workbookViewId="0">
      <selection activeCell="U5" sqref="U5"/>
    </sheetView>
  </sheetViews>
  <sheetFormatPr baseColWidth="10" defaultColWidth="11.453125" defaultRowHeight="14" x14ac:dyDescent="0.3"/>
  <cols>
    <col min="1" max="2" width="11.453125" style="240"/>
    <col min="3" max="3" width="4" style="240" bestFit="1" customWidth="1"/>
    <col min="4" max="4" width="5.81640625" style="240" customWidth="1"/>
    <col min="5" max="5" width="6" style="351" bestFit="1" customWidth="1"/>
    <col min="6" max="6" width="10.7265625" style="351" bestFit="1" customWidth="1"/>
    <col min="7" max="7" width="10.453125" style="351" bestFit="1" customWidth="1"/>
    <col min="8" max="8" width="9.453125" style="351" bestFit="1" customWidth="1"/>
    <col min="9" max="10" width="13" style="351" bestFit="1" customWidth="1"/>
    <col min="11" max="13" width="13" style="230" bestFit="1" customWidth="1"/>
    <col min="14" max="15" width="13.453125" style="230" customWidth="1"/>
    <col min="16" max="17" width="12" style="230" bestFit="1" customWidth="1"/>
    <col min="18" max="18" width="13" style="230" bestFit="1" customWidth="1"/>
    <col min="19" max="19" width="14" style="230" bestFit="1" customWidth="1"/>
    <col min="20" max="20" width="13.54296875" style="230" bestFit="1" customWidth="1"/>
    <col min="21" max="21" width="15.1796875" style="230" bestFit="1" customWidth="1"/>
    <col min="22" max="22" width="11.453125" style="230"/>
    <col min="23" max="23" width="15.1796875" style="230" bestFit="1" customWidth="1"/>
    <col min="24" max="16384" width="11.453125" style="230"/>
  </cols>
  <sheetData>
    <row r="1" spans="1:23" x14ac:dyDescent="0.3">
      <c r="I1" s="352">
        <f>I5/(1+$F$5%)</f>
        <v>130284.8504298928</v>
      </c>
      <c r="J1" s="352">
        <f>J5/(1+$F$5%)</f>
        <v>78334.516958918655</v>
      </c>
      <c r="K1" s="240" t="s">
        <v>352</v>
      </c>
      <c r="L1" s="353">
        <v>100</v>
      </c>
    </row>
    <row r="2" spans="1:23" x14ac:dyDescent="0.3">
      <c r="I2" s="354">
        <f>G5/(1+F5%)</f>
        <v>48259.51609418881</v>
      </c>
      <c r="J2" s="354">
        <f>H5/(1+F5%)</f>
        <v>9258.4019998148306</v>
      </c>
      <c r="K2" s="240" t="s">
        <v>353</v>
      </c>
      <c r="L2" s="353">
        <v>200</v>
      </c>
      <c r="U2" s="285">
        <f>P5/(1+F5%)</f>
        <v>13028.485042989279</v>
      </c>
      <c r="V2" s="285">
        <f>Q5/(1+F5%)</f>
        <v>7833.4516958918657</v>
      </c>
    </row>
    <row r="3" spans="1:23" ht="29.15" customHeight="1" x14ac:dyDescent="0.3">
      <c r="C3" s="429" t="s">
        <v>354</v>
      </c>
      <c r="D3" s="430"/>
      <c r="O3" s="355" t="s">
        <v>965</v>
      </c>
    </row>
    <row r="4" spans="1:23" s="309" customFormat="1" ht="72" customHeight="1" thickBot="1" x14ac:dyDescent="0.4">
      <c r="C4" s="356" t="s">
        <v>155</v>
      </c>
      <c r="D4" s="356" t="s">
        <v>237</v>
      </c>
      <c r="F4" s="357" t="s">
        <v>10</v>
      </c>
      <c r="G4" s="357" t="s">
        <v>355</v>
      </c>
      <c r="H4" s="357" t="s">
        <v>356</v>
      </c>
      <c r="I4" s="357" t="s">
        <v>357</v>
      </c>
      <c r="J4" s="357" t="s">
        <v>358</v>
      </c>
      <c r="K4" s="357" t="s">
        <v>359</v>
      </c>
      <c r="L4" s="357" t="s">
        <v>360</v>
      </c>
      <c r="M4" s="357" t="s">
        <v>361</v>
      </c>
      <c r="O4" s="358" t="s">
        <v>965</v>
      </c>
      <c r="P4" s="358" t="s">
        <v>362</v>
      </c>
      <c r="Q4" s="358" t="s">
        <v>363</v>
      </c>
      <c r="S4" s="358" t="s">
        <v>364</v>
      </c>
      <c r="T4" s="358" t="s">
        <v>365</v>
      </c>
    </row>
    <row r="5" spans="1:23" s="240" customFormat="1" ht="14.5" thickBot="1" x14ac:dyDescent="0.35">
      <c r="A5" s="359">
        <v>2022</v>
      </c>
      <c r="B5" s="360" t="s">
        <v>959</v>
      </c>
      <c r="C5" s="361">
        <v>0</v>
      </c>
      <c r="D5" s="276">
        <v>0</v>
      </c>
      <c r="F5" s="362">
        <f>General!$M$28</f>
        <v>8.01</v>
      </c>
      <c r="G5" s="363">
        <f>CostoMateriaPrimaDelProducto!$D$15</f>
        <v>52125.103333333333</v>
      </c>
      <c r="H5" s="363">
        <f>CostoMateriaPrimaDelProducto!$C$20</f>
        <v>10000</v>
      </c>
      <c r="I5" s="363">
        <f>Distribución.Gastos!$C$77</f>
        <v>140720.66694932722</v>
      </c>
      <c r="J5" s="363">
        <f>Distribución.Gastos!$D$77</f>
        <v>84609.111767328039</v>
      </c>
      <c r="K5" s="364">
        <f t="shared" ref="K5:K36" si="0">C5*I5</f>
        <v>0</v>
      </c>
      <c r="L5" s="364">
        <f t="shared" ref="L5:L36" si="1">D5*J5</f>
        <v>0</v>
      </c>
      <c r="M5" s="344">
        <f>K5+L5</f>
        <v>0</v>
      </c>
      <c r="O5" s="328">
        <f t="shared" ref="O5:O36" si="2">M5*19%</f>
        <v>0</v>
      </c>
      <c r="P5" s="344">
        <f>Distribución.Gastos!C71</f>
        <v>14072.066694932722</v>
      </c>
      <c r="Q5" s="344">
        <f>Distribución.Gastos!$D$71</f>
        <v>8460.911176732805</v>
      </c>
      <c r="S5" s="365">
        <f t="shared" ref="S5:S36" si="3">(P5*C5)+(Q5*D5)</f>
        <v>0</v>
      </c>
      <c r="T5" s="344">
        <f>SUM(S5)</f>
        <v>0</v>
      </c>
    </row>
    <row r="6" spans="1:23" x14ac:dyDescent="0.3">
      <c r="A6" s="425">
        <v>2023</v>
      </c>
      <c r="B6" s="366" t="s">
        <v>960</v>
      </c>
      <c r="C6" s="367">
        <v>0</v>
      </c>
      <c r="D6" s="368">
        <v>0</v>
      </c>
      <c r="E6" s="230"/>
      <c r="F6" s="236">
        <f>General!$C$62</f>
        <v>12.180000000000291</v>
      </c>
      <c r="G6" s="344">
        <f t="shared" ref="G6:G37" si="4">$I$2*(1+F6%)</f>
        <v>54137.525154461153</v>
      </c>
      <c r="H6" s="344">
        <f t="shared" ref="H6:H37" si="5">$J$2*(1+F6%)</f>
        <v>10386.075363392305</v>
      </c>
      <c r="I6" s="344">
        <f t="shared" ref="I6:I37" si="6">$I$1*(1+F6%)</f>
        <v>146153.54521225413</v>
      </c>
      <c r="J6" s="344">
        <f t="shared" ref="J6:J37" si="7">$J$1*(1+F6%)</f>
        <v>87875.661124515187</v>
      </c>
      <c r="K6" s="364">
        <f t="shared" si="0"/>
        <v>0</v>
      </c>
      <c r="L6" s="364">
        <f t="shared" si="1"/>
        <v>0</v>
      </c>
      <c r="M6" s="344">
        <f>K6+L6</f>
        <v>0</v>
      </c>
      <c r="O6" s="328">
        <f t="shared" si="2"/>
        <v>0</v>
      </c>
      <c r="P6" s="344">
        <f t="shared" ref="P6:P37" si="8">$U$2*(1+F6%)</f>
        <v>14615.354521225414</v>
      </c>
      <c r="Q6" s="344">
        <f t="shared" ref="Q6:Q37" si="9">$V$2*(1+F6%)</f>
        <v>8787.5661124515191</v>
      </c>
      <c r="S6" s="365">
        <f t="shared" si="3"/>
        <v>0</v>
      </c>
      <c r="T6" s="344">
        <f t="shared" ref="T6:T8" si="10">SUM(S5:S6)</f>
        <v>0</v>
      </c>
      <c r="U6" s="369"/>
      <c r="V6" s="428" t="s">
        <v>366</v>
      </c>
      <c r="W6" s="428"/>
    </row>
    <row r="7" spans="1:23" x14ac:dyDescent="0.3">
      <c r="A7" s="426"/>
      <c r="B7" s="370" t="s">
        <v>956</v>
      </c>
      <c r="C7" s="367">
        <v>0</v>
      </c>
      <c r="D7" s="368">
        <v>0</v>
      </c>
      <c r="E7" s="230"/>
      <c r="F7" s="236">
        <f>General!$C$62</f>
        <v>12.180000000000291</v>
      </c>
      <c r="G7" s="344">
        <f t="shared" si="4"/>
        <v>54137.525154461153</v>
      </c>
      <c r="H7" s="344">
        <f t="shared" si="5"/>
        <v>10386.075363392305</v>
      </c>
      <c r="I7" s="344">
        <f t="shared" si="6"/>
        <v>146153.54521225413</v>
      </c>
      <c r="J7" s="344">
        <f t="shared" si="7"/>
        <v>87875.661124515187</v>
      </c>
      <c r="K7" s="364">
        <f t="shared" si="0"/>
        <v>0</v>
      </c>
      <c r="L7" s="364">
        <f t="shared" si="1"/>
        <v>0</v>
      </c>
      <c r="M7" s="344">
        <f>K7+L7</f>
        <v>0</v>
      </c>
      <c r="O7" s="328">
        <f t="shared" si="2"/>
        <v>0</v>
      </c>
      <c r="P7" s="344">
        <f t="shared" si="8"/>
        <v>14615.354521225414</v>
      </c>
      <c r="Q7" s="344">
        <f t="shared" si="9"/>
        <v>8787.5661124515191</v>
      </c>
      <c r="S7" s="365">
        <f t="shared" si="3"/>
        <v>0</v>
      </c>
      <c r="T7" s="344">
        <f t="shared" si="10"/>
        <v>0</v>
      </c>
      <c r="U7" s="369"/>
      <c r="V7" s="236">
        <v>2023</v>
      </c>
      <c r="W7" s="344">
        <f>SUM(S6:S17)</f>
        <v>32190486.746128459</v>
      </c>
    </row>
    <row r="8" spans="1:23" x14ac:dyDescent="0.3">
      <c r="A8" s="426"/>
      <c r="B8" s="370" t="s">
        <v>949</v>
      </c>
      <c r="C8" s="367">
        <f t="shared" ref="C8:C39" si="11">$L$1</f>
        <v>100</v>
      </c>
      <c r="D8" s="368">
        <f t="shared" ref="D8:D39" si="12">$L$2</f>
        <v>200</v>
      </c>
      <c r="E8" s="230"/>
      <c r="F8" s="236">
        <f>General!$C$62</f>
        <v>12.180000000000291</v>
      </c>
      <c r="G8" s="344">
        <f t="shared" si="4"/>
        <v>54137.525154461153</v>
      </c>
      <c r="H8" s="344">
        <f t="shared" si="5"/>
        <v>10386.075363392305</v>
      </c>
      <c r="I8" s="344">
        <f t="shared" si="6"/>
        <v>146153.54521225413</v>
      </c>
      <c r="J8" s="344">
        <f t="shared" si="7"/>
        <v>87875.661124515187</v>
      </c>
      <c r="K8" s="364">
        <f t="shared" si="0"/>
        <v>14615354.521225413</v>
      </c>
      <c r="L8" s="364">
        <f t="shared" si="1"/>
        <v>17575132.224903036</v>
      </c>
      <c r="M8" s="344">
        <f t="shared" ref="M8:M65" si="13">K8+L8</f>
        <v>32190486.746128447</v>
      </c>
      <c r="O8" s="328">
        <f t="shared" si="2"/>
        <v>6116192.481764405</v>
      </c>
      <c r="P8" s="344">
        <f t="shared" si="8"/>
        <v>14615.354521225414</v>
      </c>
      <c r="Q8" s="344">
        <f t="shared" si="9"/>
        <v>8787.5661124515191</v>
      </c>
      <c r="S8" s="365">
        <f t="shared" si="3"/>
        <v>3219048.6746128453</v>
      </c>
      <c r="T8" s="344">
        <f t="shared" si="10"/>
        <v>3219048.6746128453</v>
      </c>
      <c r="U8" s="369"/>
      <c r="V8" s="236">
        <v>2024</v>
      </c>
      <c r="W8" s="344">
        <f>SUM(S18:S29)</f>
        <v>39820016.623165913</v>
      </c>
    </row>
    <row r="9" spans="1:23" x14ac:dyDescent="0.3">
      <c r="A9" s="426"/>
      <c r="B9" s="370" t="s">
        <v>957</v>
      </c>
      <c r="C9" s="367">
        <f t="shared" si="11"/>
        <v>100</v>
      </c>
      <c r="D9" s="368">
        <f t="shared" si="12"/>
        <v>200</v>
      </c>
      <c r="E9" s="230"/>
      <c r="F9" s="236">
        <f>General!$C$62</f>
        <v>12.180000000000291</v>
      </c>
      <c r="G9" s="344">
        <f t="shared" si="4"/>
        <v>54137.525154461153</v>
      </c>
      <c r="H9" s="344">
        <f t="shared" si="5"/>
        <v>10386.075363392305</v>
      </c>
      <c r="I9" s="344">
        <f t="shared" si="6"/>
        <v>146153.54521225413</v>
      </c>
      <c r="J9" s="344">
        <f t="shared" si="7"/>
        <v>87875.661124515187</v>
      </c>
      <c r="K9" s="364">
        <f t="shared" si="0"/>
        <v>14615354.521225413</v>
      </c>
      <c r="L9" s="364">
        <f t="shared" si="1"/>
        <v>17575132.224903036</v>
      </c>
      <c r="M9" s="344">
        <f t="shared" si="13"/>
        <v>32190486.746128447</v>
      </c>
      <c r="O9" s="328">
        <f t="shared" si="2"/>
        <v>6116192.481764405</v>
      </c>
      <c r="P9" s="344">
        <f t="shared" si="8"/>
        <v>14615.354521225414</v>
      </c>
      <c r="Q9" s="344">
        <f t="shared" si="9"/>
        <v>8787.5661124515191</v>
      </c>
      <c r="S9" s="365">
        <f t="shared" si="3"/>
        <v>3219048.6746128453</v>
      </c>
      <c r="T9" s="344">
        <f>SUM(S8:S9)</f>
        <v>6438097.3492256906</v>
      </c>
      <c r="U9" s="369"/>
      <c r="V9" s="236">
        <v>2025</v>
      </c>
      <c r="W9" s="344">
        <f>SUM(S30:S41)</f>
        <v>41011449.150977708</v>
      </c>
    </row>
    <row r="10" spans="1:23" x14ac:dyDescent="0.3">
      <c r="A10" s="426"/>
      <c r="B10" s="370" t="s">
        <v>951</v>
      </c>
      <c r="C10" s="367">
        <f t="shared" si="11"/>
        <v>100</v>
      </c>
      <c r="D10" s="368">
        <f t="shared" si="12"/>
        <v>200</v>
      </c>
      <c r="E10" s="230"/>
      <c r="F10" s="236">
        <f>General!$C$62</f>
        <v>12.180000000000291</v>
      </c>
      <c r="G10" s="344">
        <f t="shared" si="4"/>
        <v>54137.525154461153</v>
      </c>
      <c r="H10" s="344">
        <f t="shared" si="5"/>
        <v>10386.075363392305</v>
      </c>
      <c r="I10" s="344">
        <f t="shared" si="6"/>
        <v>146153.54521225413</v>
      </c>
      <c r="J10" s="344">
        <f t="shared" si="7"/>
        <v>87875.661124515187</v>
      </c>
      <c r="K10" s="364">
        <f t="shared" si="0"/>
        <v>14615354.521225413</v>
      </c>
      <c r="L10" s="364">
        <f t="shared" si="1"/>
        <v>17575132.224903036</v>
      </c>
      <c r="M10" s="344">
        <f t="shared" si="13"/>
        <v>32190486.746128447</v>
      </c>
      <c r="O10" s="328">
        <f t="shared" si="2"/>
        <v>6116192.481764405</v>
      </c>
      <c r="P10" s="344">
        <f t="shared" si="8"/>
        <v>14615.354521225414</v>
      </c>
      <c r="Q10" s="344">
        <f t="shared" si="9"/>
        <v>8787.5661124515191</v>
      </c>
      <c r="S10" s="365">
        <f t="shared" si="3"/>
        <v>3219048.6746128453</v>
      </c>
      <c r="T10" s="344">
        <f>SUM(S10)+T9</f>
        <v>9657146.023838535</v>
      </c>
      <c r="U10" s="369"/>
      <c r="V10" s="236">
        <v>2026</v>
      </c>
      <c r="W10" s="344">
        <f>SUM(S42:S53)</f>
        <v>42202881.678789504</v>
      </c>
    </row>
    <row r="11" spans="1:23" x14ac:dyDescent="0.3">
      <c r="A11" s="426"/>
      <c r="B11" s="370" t="s">
        <v>950</v>
      </c>
      <c r="C11" s="367">
        <f t="shared" si="11"/>
        <v>100</v>
      </c>
      <c r="D11" s="368">
        <f t="shared" si="12"/>
        <v>200</v>
      </c>
      <c r="E11" s="230"/>
      <c r="F11" s="236">
        <f>General!$C$62</f>
        <v>12.180000000000291</v>
      </c>
      <c r="G11" s="344">
        <f t="shared" si="4"/>
        <v>54137.525154461153</v>
      </c>
      <c r="H11" s="344">
        <f t="shared" si="5"/>
        <v>10386.075363392305</v>
      </c>
      <c r="I11" s="344">
        <f t="shared" si="6"/>
        <v>146153.54521225413</v>
      </c>
      <c r="J11" s="344">
        <f t="shared" si="7"/>
        <v>87875.661124515187</v>
      </c>
      <c r="K11" s="364">
        <f t="shared" si="0"/>
        <v>14615354.521225413</v>
      </c>
      <c r="L11" s="364">
        <f t="shared" si="1"/>
        <v>17575132.224903036</v>
      </c>
      <c r="M11" s="344">
        <f t="shared" si="13"/>
        <v>32190486.746128447</v>
      </c>
      <c r="O11" s="328">
        <f t="shared" si="2"/>
        <v>6116192.481764405</v>
      </c>
      <c r="P11" s="344">
        <f t="shared" si="8"/>
        <v>14615.354521225414</v>
      </c>
      <c r="Q11" s="344">
        <f t="shared" si="9"/>
        <v>8787.5661124515191</v>
      </c>
      <c r="S11" s="365">
        <f t="shared" si="3"/>
        <v>3219048.6746128453</v>
      </c>
      <c r="T11" s="344">
        <f t="shared" ref="T11:T65" si="14">SUM(S11)+T10</f>
        <v>12876194.698451381</v>
      </c>
      <c r="U11" s="369"/>
      <c r="V11" s="236">
        <v>2027</v>
      </c>
      <c r="W11" s="344">
        <f>SUM(S54:S65)</f>
        <v>43394314.206601284</v>
      </c>
    </row>
    <row r="12" spans="1:23" x14ac:dyDescent="0.3">
      <c r="A12" s="426"/>
      <c r="B12" s="370" t="s">
        <v>952</v>
      </c>
      <c r="C12" s="367">
        <f t="shared" si="11"/>
        <v>100</v>
      </c>
      <c r="D12" s="368">
        <f t="shared" si="12"/>
        <v>200</v>
      </c>
      <c r="E12" s="230"/>
      <c r="F12" s="236">
        <f>General!$C$62</f>
        <v>12.180000000000291</v>
      </c>
      <c r="G12" s="344">
        <f t="shared" si="4"/>
        <v>54137.525154461153</v>
      </c>
      <c r="H12" s="344">
        <f t="shared" si="5"/>
        <v>10386.075363392305</v>
      </c>
      <c r="I12" s="344">
        <f t="shared" si="6"/>
        <v>146153.54521225413</v>
      </c>
      <c r="J12" s="344">
        <f t="shared" si="7"/>
        <v>87875.661124515187</v>
      </c>
      <c r="K12" s="364">
        <f t="shared" si="0"/>
        <v>14615354.521225413</v>
      </c>
      <c r="L12" s="364">
        <f t="shared" si="1"/>
        <v>17575132.224903036</v>
      </c>
      <c r="M12" s="344">
        <f t="shared" si="13"/>
        <v>32190486.746128447</v>
      </c>
      <c r="O12" s="328">
        <f t="shared" si="2"/>
        <v>6116192.481764405</v>
      </c>
      <c r="P12" s="344">
        <f t="shared" si="8"/>
        <v>14615.354521225414</v>
      </c>
      <c r="Q12" s="344">
        <f t="shared" si="9"/>
        <v>8787.5661124515191</v>
      </c>
      <c r="S12" s="365">
        <f t="shared" si="3"/>
        <v>3219048.6746128453</v>
      </c>
      <c r="T12" s="344">
        <f t="shared" si="14"/>
        <v>16095243.373064227</v>
      </c>
      <c r="U12" s="369"/>
      <c r="W12" s="328"/>
    </row>
    <row r="13" spans="1:23" x14ac:dyDescent="0.3">
      <c r="A13" s="426"/>
      <c r="B13" s="370" t="s">
        <v>953</v>
      </c>
      <c r="C13" s="367">
        <f t="shared" si="11"/>
        <v>100</v>
      </c>
      <c r="D13" s="368">
        <f t="shared" si="12"/>
        <v>200</v>
      </c>
      <c r="E13" s="230"/>
      <c r="F13" s="236">
        <f>General!$C$62</f>
        <v>12.180000000000291</v>
      </c>
      <c r="G13" s="344">
        <f t="shared" si="4"/>
        <v>54137.525154461153</v>
      </c>
      <c r="H13" s="344">
        <f t="shared" si="5"/>
        <v>10386.075363392305</v>
      </c>
      <c r="I13" s="344">
        <f t="shared" si="6"/>
        <v>146153.54521225413</v>
      </c>
      <c r="J13" s="344">
        <f t="shared" si="7"/>
        <v>87875.661124515187</v>
      </c>
      <c r="K13" s="364">
        <f t="shared" si="0"/>
        <v>14615354.521225413</v>
      </c>
      <c r="L13" s="364">
        <f t="shared" si="1"/>
        <v>17575132.224903036</v>
      </c>
      <c r="M13" s="344">
        <f t="shared" si="13"/>
        <v>32190486.746128447</v>
      </c>
      <c r="O13" s="328">
        <f t="shared" si="2"/>
        <v>6116192.481764405</v>
      </c>
      <c r="P13" s="344">
        <f t="shared" si="8"/>
        <v>14615.354521225414</v>
      </c>
      <c r="Q13" s="344">
        <f t="shared" si="9"/>
        <v>8787.5661124515191</v>
      </c>
      <c r="S13" s="365">
        <f t="shared" si="3"/>
        <v>3219048.6746128453</v>
      </c>
      <c r="T13" s="344">
        <f t="shared" si="14"/>
        <v>19314292.047677074</v>
      </c>
      <c r="U13" s="369"/>
    </row>
    <row r="14" spans="1:23" x14ac:dyDescent="0.3">
      <c r="A14" s="426"/>
      <c r="B14" s="370" t="s">
        <v>954</v>
      </c>
      <c r="C14" s="367">
        <f t="shared" si="11"/>
        <v>100</v>
      </c>
      <c r="D14" s="368">
        <f t="shared" si="12"/>
        <v>200</v>
      </c>
      <c r="E14" s="230"/>
      <c r="F14" s="236">
        <f>General!$C$62</f>
        <v>12.180000000000291</v>
      </c>
      <c r="G14" s="344">
        <f t="shared" si="4"/>
        <v>54137.525154461153</v>
      </c>
      <c r="H14" s="344">
        <f t="shared" si="5"/>
        <v>10386.075363392305</v>
      </c>
      <c r="I14" s="344">
        <f t="shared" si="6"/>
        <v>146153.54521225413</v>
      </c>
      <c r="J14" s="344">
        <f t="shared" si="7"/>
        <v>87875.661124515187</v>
      </c>
      <c r="K14" s="364">
        <f t="shared" si="0"/>
        <v>14615354.521225413</v>
      </c>
      <c r="L14" s="364">
        <f t="shared" si="1"/>
        <v>17575132.224903036</v>
      </c>
      <c r="M14" s="344">
        <f t="shared" si="13"/>
        <v>32190486.746128447</v>
      </c>
      <c r="O14" s="328">
        <f t="shared" si="2"/>
        <v>6116192.481764405</v>
      </c>
      <c r="P14" s="344">
        <f t="shared" si="8"/>
        <v>14615.354521225414</v>
      </c>
      <c r="Q14" s="344">
        <f t="shared" si="9"/>
        <v>8787.5661124515191</v>
      </c>
      <c r="S14" s="365">
        <f t="shared" si="3"/>
        <v>3219048.6746128453</v>
      </c>
      <c r="T14" s="344">
        <f t="shared" si="14"/>
        <v>22533340.72228992</v>
      </c>
      <c r="U14" s="369"/>
      <c r="V14" s="431"/>
    </row>
    <row r="15" spans="1:23" x14ac:dyDescent="0.3">
      <c r="A15" s="426"/>
      <c r="B15" s="370" t="s">
        <v>955</v>
      </c>
      <c r="C15" s="367">
        <f t="shared" si="11"/>
        <v>100</v>
      </c>
      <c r="D15" s="368">
        <f t="shared" si="12"/>
        <v>200</v>
      </c>
      <c r="E15" s="230"/>
      <c r="F15" s="236">
        <f>General!$C$62</f>
        <v>12.180000000000291</v>
      </c>
      <c r="G15" s="344">
        <f t="shared" si="4"/>
        <v>54137.525154461153</v>
      </c>
      <c r="H15" s="344">
        <f t="shared" si="5"/>
        <v>10386.075363392305</v>
      </c>
      <c r="I15" s="344">
        <f t="shared" si="6"/>
        <v>146153.54521225413</v>
      </c>
      <c r="J15" s="344">
        <f t="shared" si="7"/>
        <v>87875.661124515187</v>
      </c>
      <c r="K15" s="364">
        <f t="shared" si="0"/>
        <v>14615354.521225413</v>
      </c>
      <c r="L15" s="364">
        <f t="shared" si="1"/>
        <v>17575132.224903036</v>
      </c>
      <c r="M15" s="344">
        <f t="shared" si="13"/>
        <v>32190486.746128447</v>
      </c>
      <c r="O15" s="328">
        <f t="shared" si="2"/>
        <v>6116192.481764405</v>
      </c>
      <c r="P15" s="344">
        <f t="shared" si="8"/>
        <v>14615.354521225414</v>
      </c>
      <c r="Q15" s="344">
        <f t="shared" si="9"/>
        <v>8787.5661124515191</v>
      </c>
      <c r="S15" s="365">
        <f t="shared" si="3"/>
        <v>3219048.6746128453</v>
      </c>
      <c r="T15" s="344">
        <f t="shared" si="14"/>
        <v>25752389.396902766</v>
      </c>
      <c r="U15" s="369"/>
      <c r="V15" s="431"/>
      <c r="W15" s="328"/>
    </row>
    <row r="16" spans="1:23" x14ac:dyDescent="0.3">
      <c r="A16" s="426"/>
      <c r="B16" s="370" t="s">
        <v>958</v>
      </c>
      <c r="C16" s="367">
        <f t="shared" si="11"/>
        <v>100</v>
      </c>
      <c r="D16" s="368">
        <f t="shared" si="12"/>
        <v>200</v>
      </c>
      <c r="E16" s="230"/>
      <c r="F16" s="236">
        <f>General!$C$62</f>
        <v>12.180000000000291</v>
      </c>
      <c r="G16" s="344">
        <f t="shared" si="4"/>
        <v>54137.525154461153</v>
      </c>
      <c r="H16" s="344">
        <f t="shared" si="5"/>
        <v>10386.075363392305</v>
      </c>
      <c r="I16" s="344">
        <f t="shared" si="6"/>
        <v>146153.54521225413</v>
      </c>
      <c r="J16" s="344">
        <f t="shared" si="7"/>
        <v>87875.661124515187</v>
      </c>
      <c r="K16" s="364">
        <f t="shared" si="0"/>
        <v>14615354.521225413</v>
      </c>
      <c r="L16" s="364">
        <f t="shared" si="1"/>
        <v>17575132.224903036</v>
      </c>
      <c r="M16" s="344">
        <f t="shared" si="13"/>
        <v>32190486.746128447</v>
      </c>
      <c r="O16" s="328">
        <f t="shared" si="2"/>
        <v>6116192.481764405</v>
      </c>
      <c r="P16" s="344">
        <f t="shared" si="8"/>
        <v>14615.354521225414</v>
      </c>
      <c r="Q16" s="344">
        <f t="shared" si="9"/>
        <v>8787.5661124515191</v>
      </c>
      <c r="S16" s="365">
        <f t="shared" si="3"/>
        <v>3219048.6746128453</v>
      </c>
      <c r="T16" s="344">
        <f t="shared" si="14"/>
        <v>28971438.071515612</v>
      </c>
      <c r="U16" s="369"/>
    </row>
    <row r="17" spans="1:21" ht="14.5" thickBot="1" x14ac:dyDescent="0.35">
      <c r="A17" s="427"/>
      <c r="B17" s="371" t="s">
        <v>959</v>
      </c>
      <c r="C17" s="367">
        <f t="shared" si="11"/>
        <v>100</v>
      </c>
      <c r="D17" s="368">
        <f t="shared" si="12"/>
        <v>200</v>
      </c>
      <c r="E17" s="230"/>
      <c r="F17" s="236">
        <f>General!$C$62</f>
        <v>12.180000000000291</v>
      </c>
      <c r="G17" s="344">
        <f t="shared" si="4"/>
        <v>54137.525154461153</v>
      </c>
      <c r="H17" s="344">
        <f t="shared" si="5"/>
        <v>10386.075363392305</v>
      </c>
      <c r="I17" s="344">
        <f t="shared" si="6"/>
        <v>146153.54521225413</v>
      </c>
      <c r="J17" s="344">
        <f t="shared" si="7"/>
        <v>87875.661124515187</v>
      </c>
      <c r="K17" s="364">
        <f t="shared" si="0"/>
        <v>14615354.521225413</v>
      </c>
      <c r="L17" s="364">
        <f t="shared" si="1"/>
        <v>17575132.224903036</v>
      </c>
      <c r="M17" s="344">
        <f t="shared" si="13"/>
        <v>32190486.746128447</v>
      </c>
      <c r="O17" s="328">
        <f t="shared" si="2"/>
        <v>6116192.481764405</v>
      </c>
      <c r="P17" s="344">
        <f t="shared" si="8"/>
        <v>14615.354521225414</v>
      </c>
      <c r="Q17" s="344">
        <f t="shared" si="9"/>
        <v>8787.5661124515191</v>
      </c>
      <c r="S17" s="365">
        <f t="shared" si="3"/>
        <v>3219048.6746128453</v>
      </c>
      <c r="T17" s="344">
        <f t="shared" si="14"/>
        <v>32190486.746128459</v>
      </c>
      <c r="U17" s="369"/>
    </row>
    <row r="18" spans="1:21" x14ac:dyDescent="0.3">
      <c r="A18" s="425">
        <v>2024</v>
      </c>
      <c r="B18" s="366" t="s">
        <v>960</v>
      </c>
      <c r="C18" s="367">
        <f t="shared" si="11"/>
        <v>100</v>
      </c>
      <c r="D18" s="368">
        <f t="shared" si="12"/>
        <v>200</v>
      </c>
      <c r="E18" s="230"/>
      <c r="F18" s="236">
        <f>General!$C$63</f>
        <v>15.640000000000327</v>
      </c>
      <c r="G18" s="344">
        <f t="shared" si="4"/>
        <v>55807.304411320096</v>
      </c>
      <c r="H18" s="344">
        <f t="shared" si="5"/>
        <v>10706.4160725859</v>
      </c>
      <c r="I18" s="344">
        <f t="shared" si="6"/>
        <v>150661.40103712847</v>
      </c>
      <c r="J18" s="344">
        <f t="shared" si="7"/>
        <v>90586.035411293778</v>
      </c>
      <c r="K18" s="364">
        <f t="shared" si="0"/>
        <v>15066140.103712847</v>
      </c>
      <c r="L18" s="364">
        <f t="shared" si="1"/>
        <v>18117207.082258757</v>
      </c>
      <c r="M18" s="344">
        <f t="shared" si="13"/>
        <v>33183347.185971603</v>
      </c>
      <c r="O18" s="328">
        <f t="shared" si="2"/>
        <v>6304835.9653346045</v>
      </c>
      <c r="P18" s="344">
        <f t="shared" si="8"/>
        <v>15066.140103712845</v>
      </c>
      <c r="Q18" s="344">
        <f t="shared" si="9"/>
        <v>9058.6035411293778</v>
      </c>
      <c r="S18" s="365">
        <f t="shared" si="3"/>
        <v>3318334.7185971602</v>
      </c>
      <c r="T18" s="344">
        <f t="shared" si="14"/>
        <v>35508821.464725621</v>
      </c>
      <c r="U18" s="369"/>
    </row>
    <row r="19" spans="1:21" x14ac:dyDescent="0.3">
      <c r="A19" s="426"/>
      <c r="B19" s="370" t="s">
        <v>956</v>
      </c>
      <c r="C19" s="367">
        <f t="shared" si="11"/>
        <v>100</v>
      </c>
      <c r="D19" s="368">
        <f t="shared" si="12"/>
        <v>200</v>
      </c>
      <c r="E19" s="230"/>
      <c r="F19" s="236">
        <f>General!$C$63</f>
        <v>15.640000000000327</v>
      </c>
      <c r="G19" s="344">
        <f t="shared" si="4"/>
        <v>55807.304411320096</v>
      </c>
      <c r="H19" s="344">
        <f t="shared" si="5"/>
        <v>10706.4160725859</v>
      </c>
      <c r="I19" s="344">
        <f t="shared" si="6"/>
        <v>150661.40103712847</v>
      </c>
      <c r="J19" s="344">
        <f t="shared" si="7"/>
        <v>90586.035411293778</v>
      </c>
      <c r="K19" s="364">
        <f t="shared" si="0"/>
        <v>15066140.103712847</v>
      </c>
      <c r="L19" s="364">
        <f t="shared" si="1"/>
        <v>18117207.082258757</v>
      </c>
      <c r="M19" s="344">
        <f t="shared" si="13"/>
        <v>33183347.185971603</v>
      </c>
      <c r="O19" s="328">
        <f t="shared" si="2"/>
        <v>6304835.9653346045</v>
      </c>
      <c r="P19" s="344">
        <f t="shared" si="8"/>
        <v>15066.140103712845</v>
      </c>
      <c r="Q19" s="344">
        <f t="shared" si="9"/>
        <v>9058.6035411293778</v>
      </c>
      <c r="S19" s="365">
        <f t="shared" si="3"/>
        <v>3318334.7185971602</v>
      </c>
      <c r="T19" s="344">
        <f t="shared" si="14"/>
        <v>38827156.18332278</v>
      </c>
      <c r="U19" s="369"/>
    </row>
    <row r="20" spans="1:21" x14ac:dyDescent="0.3">
      <c r="A20" s="426"/>
      <c r="B20" s="370" t="s">
        <v>949</v>
      </c>
      <c r="C20" s="367">
        <f t="shared" si="11"/>
        <v>100</v>
      </c>
      <c r="D20" s="368">
        <f t="shared" si="12"/>
        <v>200</v>
      </c>
      <c r="E20" s="230"/>
      <c r="F20" s="236">
        <f>General!$C$63</f>
        <v>15.640000000000327</v>
      </c>
      <c r="G20" s="344">
        <f t="shared" si="4"/>
        <v>55807.304411320096</v>
      </c>
      <c r="H20" s="344">
        <f t="shared" si="5"/>
        <v>10706.4160725859</v>
      </c>
      <c r="I20" s="344">
        <f t="shared" si="6"/>
        <v>150661.40103712847</v>
      </c>
      <c r="J20" s="344">
        <f t="shared" si="7"/>
        <v>90586.035411293778</v>
      </c>
      <c r="K20" s="364">
        <f t="shared" si="0"/>
        <v>15066140.103712847</v>
      </c>
      <c r="L20" s="364">
        <f t="shared" si="1"/>
        <v>18117207.082258757</v>
      </c>
      <c r="M20" s="344">
        <f t="shared" si="13"/>
        <v>33183347.185971603</v>
      </c>
      <c r="O20" s="328">
        <f t="shared" si="2"/>
        <v>6304835.9653346045</v>
      </c>
      <c r="P20" s="344">
        <f t="shared" si="8"/>
        <v>15066.140103712845</v>
      </c>
      <c r="Q20" s="344">
        <f t="shared" si="9"/>
        <v>9058.6035411293778</v>
      </c>
      <c r="S20" s="365">
        <f t="shared" si="3"/>
        <v>3318334.7185971602</v>
      </c>
      <c r="T20" s="344">
        <f t="shared" si="14"/>
        <v>42145490.901919939</v>
      </c>
      <c r="U20" s="369"/>
    </row>
    <row r="21" spans="1:21" x14ac:dyDescent="0.3">
      <c r="A21" s="426"/>
      <c r="B21" s="370" t="s">
        <v>957</v>
      </c>
      <c r="C21" s="367">
        <f t="shared" si="11"/>
        <v>100</v>
      </c>
      <c r="D21" s="368">
        <f t="shared" si="12"/>
        <v>200</v>
      </c>
      <c r="E21" s="230"/>
      <c r="F21" s="236">
        <f>General!$C$63</f>
        <v>15.640000000000327</v>
      </c>
      <c r="G21" s="344">
        <f t="shared" si="4"/>
        <v>55807.304411320096</v>
      </c>
      <c r="H21" s="344">
        <f t="shared" si="5"/>
        <v>10706.4160725859</v>
      </c>
      <c r="I21" s="344">
        <f t="shared" si="6"/>
        <v>150661.40103712847</v>
      </c>
      <c r="J21" s="344">
        <f t="shared" si="7"/>
        <v>90586.035411293778</v>
      </c>
      <c r="K21" s="364">
        <f t="shared" si="0"/>
        <v>15066140.103712847</v>
      </c>
      <c r="L21" s="364">
        <f t="shared" si="1"/>
        <v>18117207.082258757</v>
      </c>
      <c r="M21" s="344">
        <f t="shared" si="13"/>
        <v>33183347.185971603</v>
      </c>
      <c r="O21" s="328">
        <f t="shared" si="2"/>
        <v>6304835.9653346045</v>
      </c>
      <c r="P21" s="344">
        <f t="shared" si="8"/>
        <v>15066.140103712845</v>
      </c>
      <c r="Q21" s="344">
        <f t="shared" si="9"/>
        <v>9058.6035411293778</v>
      </c>
      <c r="S21" s="365">
        <f t="shared" si="3"/>
        <v>3318334.7185971602</v>
      </c>
      <c r="T21" s="344">
        <f t="shared" si="14"/>
        <v>45463825.620517097</v>
      </c>
      <c r="U21" s="369"/>
    </row>
    <row r="22" spans="1:21" x14ac:dyDescent="0.3">
      <c r="A22" s="426"/>
      <c r="B22" s="370" t="s">
        <v>951</v>
      </c>
      <c r="C22" s="367">
        <f t="shared" si="11"/>
        <v>100</v>
      </c>
      <c r="D22" s="368">
        <f t="shared" si="12"/>
        <v>200</v>
      </c>
      <c r="E22" s="230"/>
      <c r="F22" s="236">
        <f>General!$C$63</f>
        <v>15.640000000000327</v>
      </c>
      <c r="G22" s="344">
        <f t="shared" si="4"/>
        <v>55807.304411320096</v>
      </c>
      <c r="H22" s="344">
        <f t="shared" si="5"/>
        <v>10706.4160725859</v>
      </c>
      <c r="I22" s="344">
        <f t="shared" si="6"/>
        <v>150661.40103712847</v>
      </c>
      <c r="J22" s="344">
        <f t="shared" si="7"/>
        <v>90586.035411293778</v>
      </c>
      <c r="K22" s="364">
        <f t="shared" si="0"/>
        <v>15066140.103712847</v>
      </c>
      <c r="L22" s="364">
        <f t="shared" si="1"/>
        <v>18117207.082258757</v>
      </c>
      <c r="M22" s="344">
        <f t="shared" si="13"/>
        <v>33183347.185971603</v>
      </c>
      <c r="O22" s="328">
        <f t="shared" si="2"/>
        <v>6304835.9653346045</v>
      </c>
      <c r="P22" s="344">
        <f t="shared" si="8"/>
        <v>15066.140103712845</v>
      </c>
      <c r="Q22" s="344">
        <f t="shared" si="9"/>
        <v>9058.6035411293778</v>
      </c>
      <c r="S22" s="365">
        <f t="shared" si="3"/>
        <v>3318334.7185971602</v>
      </c>
      <c r="T22" s="344">
        <f t="shared" si="14"/>
        <v>48782160.339114256</v>
      </c>
      <c r="U22" s="369"/>
    </row>
    <row r="23" spans="1:21" x14ac:dyDescent="0.3">
      <c r="A23" s="426"/>
      <c r="B23" s="370" t="s">
        <v>950</v>
      </c>
      <c r="C23" s="367">
        <f t="shared" si="11"/>
        <v>100</v>
      </c>
      <c r="D23" s="368">
        <f t="shared" si="12"/>
        <v>200</v>
      </c>
      <c r="E23" s="230"/>
      <c r="F23" s="236">
        <f>General!$C$63</f>
        <v>15.640000000000327</v>
      </c>
      <c r="G23" s="344">
        <f t="shared" si="4"/>
        <v>55807.304411320096</v>
      </c>
      <c r="H23" s="344">
        <f t="shared" si="5"/>
        <v>10706.4160725859</v>
      </c>
      <c r="I23" s="344">
        <f t="shared" si="6"/>
        <v>150661.40103712847</v>
      </c>
      <c r="J23" s="344">
        <f t="shared" si="7"/>
        <v>90586.035411293778</v>
      </c>
      <c r="K23" s="364">
        <f t="shared" si="0"/>
        <v>15066140.103712847</v>
      </c>
      <c r="L23" s="364">
        <f t="shared" si="1"/>
        <v>18117207.082258757</v>
      </c>
      <c r="M23" s="344">
        <f t="shared" si="13"/>
        <v>33183347.185971603</v>
      </c>
      <c r="O23" s="328">
        <f t="shared" si="2"/>
        <v>6304835.9653346045</v>
      </c>
      <c r="P23" s="344">
        <f t="shared" si="8"/>
        <v>15066.140103712845</v>
      </c>
      <c r="Q23" s="344">
        <f t="shared" si="9"/>
        <v>9058.6035411293778</v>
      </c>
      <c r="S23" s="365">
        <f t="shared" si="3"/>
        <v>3318334.7185971602</v>
      </c>
      <c r="T23" s="344">
        <f t="shared" si="14"/>
        <v>52100495.057711415</v>
      </c>
      <c r="U23" s="369"/>
    </row>
    <row r="24" spans="1:21" x14ac:dyDescent="0.3">
      <c r="A24" s="426"/>
      <c r="B24" s="370" t="s">
        <v>952</v>
      </c>
      <c r="C24" s="367">
        <f t="shared" si="11"/>
        <v>100</v>
      </c>
      <c r="D24" s="368">
        <f t="shared" si="12"/>
        <v>200</v>
      </c>
      <c r="E24" s="230"/>
      <c r="F24" s="236">
        <f>General!$C$63</f>
        <v>15.640000000000327</v>
      </c>
      <c r="G24" s="344">
        <f t="shared" si="4"/>
        <v>55807.304411320096</v>
      </c>
      <c r="H24" s="344">
        <f t="shared" si="5"/>
        <v>10706.4160725859</v>
      </c>
      <c r="I24" s="344">
        <f t="shared" si="6"/>
        <v>150661.40103712847</v>
      </c>
      <c r="J24" s="344">
        <f t="shared" si="7"/>
        <v>90586.035411293778</v>
      </c>
      <c r="K24" s="364">
        <f t="shared" si="0"/>
        <v>15066140.103712847</v>
      </c>
      <c r="L24" s="364">
        <f t="shared" si="1"/>
        <v>18117207.082258757</v>
      </c>
      <c r="M24" s="344">
        <f t="shared" si="13"/>
        <v>33183347.185971603</v>
      </c>
      <c r="O24" s="328">
        <f t="shared" si="2"/>
        <v>6304835.9653346045</v>
      </c>
      <c r="P24" s="344">
        <f t="shared" si="8"/>
        <v>15066.140103712845</v>
      </c>
      <c r="Q24" s="344">
        <f t="shared" si="9"/>
        <v>9058.6035411293778</v>
      </c>
      <c r="S24" s="365">
        <f t="shared" si="3"/>
        <v>3318334.7185971602</v>
      </c>
      <c r="T24" s="344">
        <f t="shared" si="14"/>
        <v>55418829.776308574</v>
      </c>
      <c r="U24" s="369"/>
    </row>
    <row r="25" spans="1:21" x14ac:dyDescent="0.3">
      <c r="A25" s="426"/>
      <c r="B25" s="370" t="s">
        <v>953</v>
      </c>
      <c r="C25" s="367">
        <f t="shared" si="11"/>
        <v>100</v>
      </c>
      <c r="D25" s="368">
        <f t="shared" si="12"/>
        <v>200</v>
      </c>
      <c r="E25" s="230"/>
      <c r="F25" s="236">
        <f>General!$C$63</f>
        <v>15.640000000000327</v>
      </c>
      <c r="G25" s="344">
        <f t="shared" si="4"/>
        <v>55807.304411320096</v>
      </c>
      <c r="H25" s="344">
        <f t="shared" si="5"/>
        <v>10706.4160725859</v>
      </c>
      <c r="I25" s="344">
        <f t="shared" si="6"/>
        <v>150661.40103712847</v>
      </c>
      <c r="J25" s="344">
        <f t="shared" si="7"/>
        <v>90586.035411293778</v>
      </c>
      <c r="K25" s="364">
        <f t="shared" si="0"/>
        <v>15066140.103712847</v>
      </c>
      <c r="L25" s="364">
        <f t="shared" si="1"/>
        <v>18117207.082258757</v>
      </c>
      <c r="M25" s="344">
        <f t="shared" si="13"/>
        <v>33183347.185971603</v>
      </c>
      <c r="O25" s="328">
        <f t="shared" si="2"/>
        <v>6304835.9653346045</v>
      </c>
      <c r="P25" s="344">
        <f t="shared" si="8"/>
        <v>15066.140103712845</v>
      </c>
      <c r="Q25" s="344">
        <f t="shared" si="9"/>
        <v>9058.6035411293778</v>
      </c>
      <c r="S25" s="365">
        <f t="shared" si="3"/>
        <v>3318334.7185971602</v>
      </c>
      <c r="T25" s="344">
        <f t="shared" si="14"/>
        <v>58737164.494905733</v>
      </c>
      <c r="U25" s="369"/>
    </row>
    <row r="26" spans="1:21" x14ac:dyDescent="0.3">
      <c r="A26" s="426"/>
      <c r="B26" s="370" t="s">
        <v>954</v>
      </c>
      <c r="C26" s="367">
        <f t="shared" si="11"/>
        <v>100</v>
      </c>
      <c r="D26" s="368">
        <f t="shared" si="12"/>
        <v>200</v>
      </c>
      <c r="E26" s="230"/>
      <c r="F26" s="236">
        <f>General!$C$63</f>
        <v>15.640000000000327</v>
      </c>
      <c r="G26" s="344">
        <f t="shared" si="4"/>
        <v>55807.304411320096</v>
      </c>
      <c r="H26" s="344">
        <f t="shared" si="5"/>
        <v>10706.4160725859</v>
      </c>
      <c r="I26" s="344">
        <f t="shared" si="6"/>
        <v>150661.40103712847</v>
      </c>
      <c r="J26" s="344">
        <f t="shared" si="7"/>
        <v>90586.035411293778</v>
      </c>
      <c r="K26" s="364">
        <f t="shared" si="0"/>
        <v>15066140.103712847</v>
      </c>
      <c r="L26" s="364">
        <f t="shared" si="1"/>
        <v>18117207.082258757</v>
      </c>
      <c r="M26" s="344">
        <f t="shared" si="13"/>
        <v>33183347.185971603</v>
      </c>
      <c r="O26" s="328">
        <f t="shared" si="2"/>
        <v>6304835.9653346045</v>
      </c>
      <c r="P26" s="344">
        <f t="shared" si="8"/>
        <v>15066.140103712845</v>
      </c>
      <c r="Q26" s="344">
        <f t="shared" si="9"/>
        <v>9058.6035411293778</v>
      </c>
      <c r="S26" s="365">
        <f t="shared" si="3"/>
        <v>3318334.7185971602</v>
      </c>
      <c r="T26" s="344">
        <f t="shared" si="14"/>
        <v>62055499.213502891</v>
      </c>
      <c r="U26" s="369"/>
    </row>
    <row r="27" spans="1:21" x14ac:dyDescent="0.3">
      <c r="A27" s="426"/>
      <c r="B27" s="370" t="s">
        <v>955</v>
      </c>
      <c r="C27" s="367">
        <f t="shared" si="11"/>
        <v>100</v>
      </c>
      <c r="D27" s="368">
        <f t="shared" si="12"/>
        <v>200</v>
      </c>
      <c r="E27" s="230"/>
      <c r="F27" s="236">
        <f>General!$C$63</f>
        <v>15.640000000000327</v>
      </c>
      <c r="G27" s="344">
        <f t="shared" si="4"/>
        <v>55807.304411320096</v>
      </c>
      <c r="H27" s="344">
        <f t="shared" si="5"/>
        <v>10706.4160725859</v>
      </c>
      <c r="I27" s="344">
        <f t="shared" si="6"/>
        <v>150661.40103712847</v>
      </c>
      <c r="J27" s="344">
        <f t="shared" si="7"/>
        <v>90586.035411293778</v>
      </c>
      <c r="K27" s="364">
        <f t="shared" si="0"/>
        <v>15066140.103712847</v>
      </c>
      <c r="L27" s="364">
        <f t="shared" si="1"/>
        <v>18117207.082258757</v>
      </c>
      <c r="M27" s="344">
        <f t="shared" si="13"/>
        <v>33183347.185971603</v>
      </c>
      <c r="O27" s="328">
        <f t="shared" si="2"/>
        <v>6304835.9653346045</v>
      </c>
      <c r="P27" s="344">
        <f t="shared" si="8"/>
        <v>15066.140103712845</v>
      </c>
      <c r="Q27" s="344">
        <f t="shared" si="9"/>
        <v>9058.6035411293778</v>
      </c>
      <c r="S27" s="365">
        <f t="shared" si="3"/>
        <v>3318334.7185971602</v>
      </c>
      <c r="T27" s="344">
        <f t="shared" si="14"/>
        <v>65373833.93210005</v>
      </c>
      <c r="U27" s="369"/>
    </row>
    <row r="28" spans="1:21" x14ac:dyDescent="0.3">
      <c r="A28" s="426"/>
      <c r="B28" s="370" t="s">
        <v>958</v>
      </c>
      <c r="C28" s="367">
        <f t="shared" si="11"/>
        <v>100</v>
      </c>
      <c r="D28" s="368">
        <f t="shared" si="12"/>
        <v>200</v>
      </c>
      <c r="E28" s="230"/>
      <c r="F28" s="236">
        <f>General!$C$63</f>
        <v>15.640000000000327</v>
      </c>
      <c r="G28" s="344">
        <f t="shared" si="4"/>
        <v>55807.304411320096</v>
      </c>
      <c r="H28" s="344">
        <f t="shared" si="5"/>
        <v>10706.4160725859</v>
      </c>
      <c r="I28" s="344">
        <f t="shared" si="6"/>
        <v>150661.40103712847</v>
      </c>
      <c r="J28" s="344">
        <f t="shared" si="7"/>
        <v>90586.035411293778</v>
      </c>
      <c r="K28" s="364">
        <f t="shared" si="0"/>
        <v>15066140.103712847</v>
      </c>
      <c r="L28" s="364">
        <f t="shared" si="1"/>
        <v>18117207.082258757</v>
      </c>
      <c r="M28" s="344">
        <f t="shared" si="13"/>
        <v>33183347.185971603</v>
      </c>
      <c r="O28" s="328">
        <f t="shared" si="2"/>
        <v>6304835.9653346045</v>
      </c>
      <c r="P28" s="344">
        <f t="shared" si="8"/>
        <v>15066.140103712845</v>
      </c>
      <c r="Q28" s="344">
        <f t="shared" si="9"/>
        <v>9058.6035411293778</v>
      </c>
      <c r="S28" s="365">
        <f t="shared" si="3"/>
        <v>3318334.7185971602</v>
      </c>
      <c r="T28" s="344">
        <f t="shared" si="14"/>
        <v>68692168.650697216</v>
      </c>
      <c r="U28" s="369"/>
    </row>
    <row r="29" spans="1:21" ht="14.5" thickBot="1" x14ac:dyDescent="0.35">
      <c r="A29" s="427"/>
      <c r="B29" s="371" t="s">
        <v>959</v>
      </c>
      <c r="C29" s="367">
        <f t="shared" si="11"/>
        <v>100</v>
      </c>
      <c r="D29" s="368">
        <f t="shared" si="12"/>
        <v>200</v>
      </c>
      <c r="E29" s="230"/>
      <c r="F29" s="236">
        <f>General!$C$63</f>
        <v>15.640000000000327</v>
      </c>
      <c r="G29" s="344">
        <f t="shared" si="4"/>
        <v>55807.304411320096</v>
      </c>
      <c r="H29" s="344">
        <f t="shared" si="5"/>
        <v>10706.4160725859</v>
      </c>
      <c r="I29" s="344">
        <f t="shared" si="6"/>
        <v>150661.40103712847</v>
      </c>
      <c r="J29" s="344">
        <f t="shared" si="7"/>
        <v>90586.035411293778</v>
      </c>
      <c r="K29" s="364">
        <f t="shared" si="0"/>
        <v>15066140.103712847</v>
      </c>
      <c r="L29" s="364">
        <f t="shared" si="1"/>
        <v>18117207.082258757</v>
      </c>
      <c r="M29" s="344">
        <f t="shared" si="13"/>
        <v>33183347.185971603</v>
      </c>
      <c r="O29" s="328">
        <f t="shared" si="2"/>
        <v>6304835.9653346045</v>
      </c>
      <c r="P29" s="344">
        <f t="shared" si="8"/>
        <v>15066.140103712845</v>
      </c>
      <c r="Q29" s="344">
        <f t="shared" si="9"/>
        <v>9058.6035411293778</v>
      </c>
      <c r="S29" s="365">
        <f t="shared" si="3"/>
        <v>3318334.7185971602</v>
      </c>
      <c r="T29" s="344">
        <f t="shared" si="14"/>
        <v>72010503.369294375</v>
      </c>
      <c r="U29" s="369"/>
    </row>
    <row r="30" spans="1:21" x14ac:dyDescent="0.3">
      <c r="A30" s="425">
        <v>2025</v>
      </c>
      <c r="B30" s="366" t="s">
        <v>960</v>
      </c>
      <c r="C30" s="367">
        <f t="shared" si="11"/>
        <v>100</v>
      </c>
      <c r="D30" s="368">
        <f t="shared" si="12"/>
        <v>200</v>
      </c>
      <c r="E30" s="230"/>
      <c r="F30" s="236">
        <f>General!$C$64</f>
        <v>19.100000000000364</v>
      </c>
      <c r="G30" s="344">
        <f t="shared" si="4"/>
        <v>57477.083668179046</v>
      </c>
      <c r="H30" s="344">
        <f t="shared" si="5"/>
        <v>11026.756781779497</v>
      </c>
      <c r="I30" s="344">
        <f t="shared" si="6"/>
        <v>155169.2568620028</v>
      </c>
      <c r="J30" s="344">
        <f t="shared" si="7"/>
        <v>93296.409698072399</v>
      </c>
      <c r="K30" s="364">
        <f t="shared" si="0"/>
        <v>15516925.68620028</v>
      </c>
      <c r="L30" s="364">
        <f t="shared" si="1"/>
        <v>18659281.939614478</v>
      </c>
      <c r="M30" s="344">
        <f t="shared" si="13"/>
        <v>34176207.625814758</v>
      </c>
      <c r="O30" s="328">
        <f t="shared" si="2"/>
        <v>6493479.448904804</v>
      </c>
      <c r="P30" s="344">
        <f t="shared" si="8"/>
        <v>15516.925686200279</v>
      </c>
      <c r="Q30" s="344">
        <f t="shared" si="9"/>
        <v>9329.6409698072403</v>
      </c>
      <c r="S30" s="365">
        <f t="shared" si="3"/>
        <v>3417620.762581476</v>
      </c>
      <c r="T30" s="344">
        <f t="shared" si="14"/>
        <v>75428124.131875858</v>
      </c>
      <c r="U30" s="369"/>
    </row>
    <row r="31" spans="1:21" x14ac:dyDescent="0.3">
      <c r="A31" s="426"/>
      <c r="B31" s="370" t="s">
        <v>956</v>
      </c>
      <c r="C31" s="367">
        <f t="shared" si="11"/>
        <v>100</v>
      </c>
      <c r="D31" s="368">
        <f t="shared" si="12"/>
        <v>200</v>
      </c>
      <c r="E31" s="230"/>
      <c r="F31" s="236">
        <f>General!$C$64</f>
        <v>19.100000000000364</v>
      </c>
      <c r="G31" s="344">
        <f t="shared" si="4"/>
        <v>57477.083668179046</v>
      </c>
      <c r="H31" s="344">
        <f t="shared" si="5"/>
        <v>11026.756781779497</v>
      </c>
      <c r="I31" s="344">
        <f t="shared" si="6"/>
        <v>155169.2568620028</v>
      </c>
      <c r="J31" s="344">
        <f t="shared" si="7"/>
        <v>93296.409698072399</v>
      </c>
      <c r="K31" s="364">
        <f t="shared" si="0"/>
        <v>15516925.68620028</v>
      </c>
      <c r="L31" s="364">
        <f t="shared" si="1"/>
        <v>18659281.939614478</v>
      </c>
      <c r="M31" s="344">
        <f t="shared" si="13"/>
        <v>34176207.625814758</v>
      </c>
      <c r="O31" s="328">
        <f t="shared" si="2"/>
        <v>6493479.448904804</v>
      </c>
      <c r="P31" s="344">
        <f t="shared" si="8"/>
        <v>15516.925686200279</v>
      </c>
      <c r="Q31" s="344">
        <f t="shared" si="9"/>
        <v>9329.6409698072403</v>
      </c>
      <c r="S31" s="365">
        <f t="shared" si="3"/>
        <v>3417620.762581476</v>
      </c>
      <c r="T31" s="344">
        <f t="shared" si="14"/>
        <v>78845744.89445734</v>
      </c>
      <c r="U31" s="369"/>
    </row>
    <row r="32" spans="1:21" x14ac:dyDescent="0.3">
      <c r="A32" s="426"/>
      <c r="B32" s="370" t="s">
        <v>949</v>
      </c>
      <c r="C32" s="367">
        <f t="shared" si="11"/>
        <v>100</v>
      </c>
      <c r="D32" s="368">
        <f t="shared" si="12"/>
        <v>200</v>
      </c>
      <c r="E32" s="230"/>
      <c r="F32" s="236">
        <f>General!$C$64</f>
        <v>19.100000000000364</v>
      </c>
      <c r="G32" s="344">
        <f t="shared" si="4"/>
        <v>57477.083668179046</v>
      </c>
      <c r="H32" s="344">
        <f t="shared" si="5"/>
        <v>11026.756781779497</v>
      </c>
      <c r="I32" s="344">
        <f t="shared" si="6"/>
        <v>155169.2568620028</v>
      </c>
      <c r="J32" s="344">
        <f t="shared" si="7"/>
        <v>93296.409698072399</v>
      </c>
      <c r="K32" s="364">
        <f t="shared" si="0"/>
        <v>15516925.68620028</v>
      </c>
      <c r="L32" s="364">
        <f t="shared" si="1"/>
        <v>18659281.939614478</v>
      </c>
      <c r="M32" s="344">
        <f t="shared" si="13"/>
        <v>34176207.625814758</v>
      </c>
      <c r="O32" s="328">
        <f t="shared" si="2"/>
        <v>6493479.448904804</v>
      </c>
      <c r="P32" s="344">
        <f t="shared" si="8"/>
        <v>15516.925686200279</v>
      </c>
      <c r="Q32" s="344">
        <f t="shared" si="9"/>
        <v>9329.6409698072403</v>
      </c>
      <c r="S32" s="365">
        <f t="shared" si="3"/>
        <v>3417620.762581476</v>
      </c>
      <c r="T32" s="344">
        <f t="shared" si="14"/>
        <v>82263365.657038823</v>
      </c>
      <c r="U32" s="369"/>
    </row>
    <row r="33" spans="1:21" x14ac:dyDescent="0.3">
      <c r="A33" s="426"/>
      <c r="B33" s="370" t="s">
        <v>957</v>
      </c>
      <c r="C33" s="367">
        <f t="shared" si="11"/>
        <v>100</v>
      </c>
      <c r="D33" s="368">
        <f t="shared" si="12"/>
        <v>200</v>
      </c>
      <c r="E33" s="230"/>
      <c r="F33" s="236">
        <f>General!$C$64</f>
        <v>19.100000000000364</v>
      </c>
      <c r="G33" s="344">
        <f t="shared" si="4"/>
        <v>57477.083668179046</v>
      </c>
      <c r="H33" s="344">
        <f t="shared" si="5"/>
        <v>11026.756781779497</v>
      </c>
      <c r="I33" s="344">
        <f t="shared" si="6"/>
        <v>155169.2568620028</v>
      </c>
      <c r="J33" s="344">
        <f t="shared" si="7"/>
        <v>93296.409698072399</v>
      </c>
      <c r="K33" s="364">
        <f t="shared" si="0"/>
        <v>15516925.68620028</v>
      </c>
      <c r="L33" s="364">
        <f t="shared" si="1"/>
        <v>18659281.939614478</v>
      </c>
      <c r="M33" s="344">
        <f t="shared" si="13"/>
        <v>34176207.625814758</v>
      </c>
      <c r="O33" s="328">
        <f t="shared" si="2"/>
        <v>6493479.448904804</v>
      </c>
      <c r="P33" s="344">
        <f t="shared" si="8"/>
        <v>15516.925686200279</v>
      </c>
      <c r="Q33" s="344">
        <f t="shared" si="9"/>
        <v>9329.6409698072403</v>
      </c>
      <c r="S33" s="365">
        <f t="shared" si="3"/>
        <v>3417620.762581476</v>
      </c>
      <c r="T33" s="344">
        <f t="shared" si="14"/>
        <v>85680986.419620305</v>
      </c>
      <c r="U33" s="369"/>
    </row>
    <row r="34" spans="1:21" x14ac:dyDescent="0.3">
      <c r="A34" s="426"/>
      <c r="B34" s="370" t="s">
        <v>951</v>
      </c>
      <c r="C34" s="367">
        <f t="shared" si="11"/>
        <v>100</v>
      </c>
      <c r="D34" s="368">
        <f t="shared" si="12"/>
        <v>200</v>
      </c>
      <c r="E34" s="230"/>
      <c r="F34" s="236">
        <f>General!$C$64</f>
        <v>19.100000000000364</v>
      </c>
      <c r="G34" s="344">
        <f t="shared" si="4"/>
        <v>57477.083668179046</v>
      </c>
      <c r="H34" s="344">
        <f t="shared" si="5"/>
        <v>11026.756781779497</v>
      </c>
      <c r="I34" s="344">
        <f t="shared" si="6"/>
        <v>155169.2568620028</v>
      </c>
      <c r="J34" s="344">
        <f t="shared" si="7"/>
        <v>93296.409698072399</v>
      </c>
      <c r="K34" s="364">
        <f t="shared" si="0"/>
        <v>15516925.68620028</v>
      </c>
      <c r="L34" s="364">
        <f t="shared" si="1"/>
        <v>18659281.939614478</v>
      </c>
      <c r="M34" s="344">
        <f t="shared" si="13"/>
        <v>34176207.625814758</v>
      </c>
      <c r="O34" s="328">
        <f t="shared" si="2"/>
        <v>6493479.448904804</v>
      </c>
      <c r="P34" s="344">
        <f t="shared" si="8"/>
        <v>15516.925686200279</v>
      </c>
      <c r="Q34" s="344">
        <f t="shared" si="9"/>
        <v>9329.6409698072403</v>
      </c>
      <c r="S34" s="365">
        <f t="shared" si="3"/>
        <v>3417620.762581476</v>
      </c>
      <c r="T34" s="344">
        <f t="shared" si="14"/>
        <v>89098607.182201788</v>
      </c>
      <c r="U34" s="369"/>
    </row>
    <row r="35" spans="1:21" x14ac:dyDescent="0.3">
      <c r="A35" s="426"/>
      <c r="B35" s="370" t="s">
        <v>950</v>
      </c>
      <c r="C35" s="367">
        <f t="shared" si="11"/>
        <v>100</v>
      </c>
      <c r="D35" s="368">
        <f t="shared" si="12"/>
        <v>200</v>
      </c>
      <c r="E35" s="230"/>
      <c r="F35" s="236">
        <f>General!$C$64</f>
        <v>19.100000000000364</v>
      </c>
      <c r="G35" s="344">
        <f t="shared" si="4"/>
        <v>57477.083668179046</v>
      </c>
      <c r="H35" s="344">
        <f t="shared" si="5"/>
        <v>11026.756781779497</v>
      </c>
      <c r="I35" s="344">
        <f t="shared" si="6"/>
        <v>155169.2568620028</v>
      </c>
      <c r="J35" s="344">
        <f t="shared" si="7"/>
        <v>93296.409698072399</v>
      </c>
      <c r="K35" s="364">
        <f t="shared" si="0"/>
        <v>15516925.68620028</v>
      </c>
      <c r="L35" s="364">
        <f t="shared" si="1"/>
        <v>18659281.939614478</v>
      </c>
      <c r="M35" s="344">
        <f t="shared" si="13"/>
        <v>34176207.625814758</v>
      </c>
      <c r="O35" s="328">
        <f t="shared" si="2"/>
        <v>6493479.448904804</v>
      </c>
      <c r="P35" s="344">
        <f t="shared" si="8"/>
        <v>15516.925686200279</v>
      </c>
      <c r="Q35" s="344">
        <f t="shared" si="9"/>
        <v>9329.6409698072403</v>
      </c>
      <c r="S35" s="365">
        <f t="shared" si="3"/>
        <v>3417620.762581476</v>
      </c>
      <c r="T35" s="344">
        <f t="shared" si="14"/>
        <v>92516227.94478327</v>
      </c>
      <c r="U35" s="369"/>
    </row>
    <row r="36" spans="1:21" x14ac:dyDescent="0.3">
      <c r="A36" s="426"/>
      <c r="B36" s="370" t="s">
        <v>952</v>
      </c>
      <c r="C36" s="367">
        <f t="shared" si="11"/>
        <v>100</v>
      </c>
      <c r="D36" s="368">
        <f t="shared" si="12"/>
        <v>200</v>
      </c>
      <c r="E36" s="230"/>
      <c r="F36" s="236">
        <f>General!$C$64</f>
        <v>19.100000000000364</v>
      </c>
      <c r="G36" s="344">
        <f t="shared" si="4"/>
        <v>57477.083668179046</v>
      </c>
      <c r="H36" s="344">
        <f t="shared" si="5"/>
        <v>11026.756781779497</v>
      </c>
      <c r="I36" s="344">
        <f t="shared" si="6"/>
        <v>155169.2568620028</v>
      </c>
      <c r="J36" s="344">
        <f t="shared" si="7"/>
        <v>93296.409698072399</v>
      </c>
      <c r="K36" s="364">
        <f t="shared" si="0"/>
        <v>15516925.68620028</v>
      </c>
      <c r="L36" s="364">
        <f t="shared" si="1"/>
        <v>18659281.939614478</v>
      </c>
      <c r="M36" s="344">
        <f t="shared" si="13"/>
        <v>34176207.625814758</v>
      </c>
      <c r="O36" s="328">
        <f t="shared" si="2"/>
        <v>6493479.448904804</v>
      </c>
      <c r="P36" s="344">
        <f t="shared" si="8"/>
        <v>15516.925686200279</v>
      </c>
      <c r="Q36" s="344">
        <f t="shared" si="9"/>
        <v>9329.6409698072403</v>
      </c>
      <c r="S36" s="365">
        <f t="shared" si="3"/>
        <v>3417620.762581476</v>
      </c>
      <c r="T36" s="344">
        <f t="shared" si="14"/>
        <v>95933848.707364753</v>
      </c>
      <c r="U36" s="369"/>
    </row>
    <row r="37" spans="1:21" x14ac:dyDescent="0.3">
      <c r="A37" s="426"/>
      <c r="B37" s="370" t="s">
        <v>953</v>
      </c>
      <c r="C37" s="367">
        <f t="shared" si="11"/>
        <v>100</v>
      </c>
      <c r="D37" s="368">
        <f t="shared" si="12"/>
        <v>200</v>
      </c>
      <c r="E37" s="230"/>
      <c r="F37" s="236">
        <f>General!$C$64</f>
        <v>19.100000000000364</v>
      </c>
      <c r="G37" s="344">
        <f t="shared" si="4"/>
        <v>57477.083668179046</v>
      </c>
      <c r="H37" s="344">
        <f t="shared" si="5"/>
        <v>11026.756781779497</v>
      </c>
      <c r="I37" s="344">
        <f t="shared" si="6"/>
        <v>155169.2568620028</v>
      </c>
      <c r="J37" s="344">
        <f t="shared" si="7"/>
        <v>93296.409698072399</v>
      </c>
      <c r="K37" s="364">
        <f t="shared" ref="K37:K65" si="15">C37*I37</f>
        <v>15516925.68620028</v>
      </c>
      <c r="L37" s="364">
        <f t="shared" ref="L37:L65" si="16">D37*J37</f>
        <v>18659281.939614478</v>
      </c>
      <c r="M37" s="344">
        <f t="shared" si="13"/>
        <v>34176207.625814758</v>
      </c>
      <c r="O37" s="328">
        <f t="shared" ref="O37:O65" si="17">M37*19%</f>
        <v>6493479.448904804</v>
      </c>
      <c r="P37" s="344">
        <f t="shared" si="8"/>
        <v>15516.925686200279</v>
      </c>
      <c r="Q37" s="344">
        <f t="shared" si="9"/>
        <v>9329.6409698072403</v>
      </c>
      <c r="S37" s="365">
        <f t="shared" ref="S37:S65" si="18">(P37*C37)+(Q37*D37)</f>
        <v>3417620.762581476</v>
      </c>
      <c r="T37" s="344">
        <f t="shared" si="14"/>
        <v>99351469.469946235</v>
      </c>
      <c r="U37" s="369"/>
    </row>
    <row r="38" spans="1:21" x14ac:dyDescent="0.3">
      <c r="A38" s="426"/>
      <c r="B38" s="370" t="s">
        <v>954</v>
      </c>
      <c r="C38" s="367">
        <f t="shared" si="11"/>
        <v>100</v>
      </c>
      <c r="D38" s="368">
        <f t="shared" si="12"/>
        <v>200</v>
      </c>
      <c r="E38" s="230"/>
      <c r="F38" s="236">
        <f>General!$C$64</f>
        <v>19.100000000000364</v>
      </c>
      <c r="G38" s="344">
        <f t="shared" ref="G38:G65" si="19">$I$2*(1+F38%)</f>
        <v>57477.083668179046</v>
      </c>
      <c r="H38" s="344">
        <f t="shared" ref="H38:H65" si="20">$J$2*(1+F38%)</f>
        <v>11026.756781779497</v>
      </c>
      <c r="I38" s="344">
        <f t="shared" ref="I38:I65" si="21">$I$1*(1+F38%)</f>
        <v>155169.2568620028</v>
      </c>
      <c r="J38" s="344">
        <f t="shared" ref="J38:J65" si="22">$J$1*(1+F38%)</f>
        <v>93296.409698072399</v>
      </c>
      <c r="K38" s="364">
        <f t="shared" si="15"/>
        <v>15516925.68620028</v>
      </c>
      <c r="L38" s="364">
        <f t="shared" si="16"/>
        <v>18659281.939614478</v>
      </c>
      <c r="M38" s="344">
        <f t="shared" si="13"/>
        <v>34176207.625814758</v>
      </c>
      <c r="O38" s="328">
        <f t="shared" si="17"/>
        <v>6493479.448904804</v>
      </c>
      <c r="P38" s="344">
        <f t="shared" ref="P38:P65" si="23">$U$2*(1+F38%)</f>
        <v>15516.925686200279</v>
      </c>
      <c r="Q38" s="344">
        <f t="shared" ref="Q38:Q65" si="24">$V$2*(1+F38%)</f>
        <v>9329.6409698072403</v>
      </c>
      <c r="S38" s="365">
        <f t="shared" si="18"/>
        <v>3417620.762581476</v>
      </c>
      <c r="T38" s="344">
        <f t="shared" si="14"/>
        <v>102769090.23252772</v>
      </c>
      <c r="U38" s="369"/>
    </row>
    <row r="39" spans="1:21" x14ac:dyDescent="0.3">
      <c r="A39" s="426"/>
      <c r="B39" s="370" t="s">
        <v>955</v>
      </c>
      <c r="C39" s="367">
        <f t="shared" si="11"/>
        <v>100</v>
      </c>
      <c r="D39" s="368">
        <f t="shared" si="12"/>
        <v>200</v>
      </c>
      <c r="E39" s="230"/>
      <c r="F39" s="236">
        <f>General!$C$64</f>
        <v>19.100000000000364</v>
      </c>
      <c r="G39" s="344">
        <f t="shared" si="19"/>
        <v>57477.083668179046</v>
      </c>
      <c r="H39" s="344">
        <f t="shared" si="20"/>
        <v>11026.756781779497</v>
      </c>
      <c r="I39" s="344">
        <f t="shared" si="21"/>
        <v>155169.2568620028</v>
      </c>
      <c r="J39" s="344">
        <f t="shared" si="22"/>
        <v>93296.409698072399</v>
      </c>
      <c r="K39" s="364">
        <f t="shared" si="15"/>
        <v>15516925.68620028</v>
      </c>
      <c r="L39" s="364">
        <f t="shared" si="16"/>
        <v>18659281.939614478</v>
      </c>
      <c r="M39" s="344">
        <f t="shared" si="13"/>
        <v>34176207.625814758</v>
      </c>
      <c r="O39" s="328">
        <f t="shared" si="17"/>
        <v>6493479.448904804</v>
      </c>
      <c r="P39" s="344">
        <f t="shared" si="23"/>
        <v>15516.925686200279</v>
      </c>
      <c r="Q39" s="344">
        <f t="shared" si="24"/>
        <v>9329.6409698072403</v>
      </c>
      <c r="S39" s="365">
        <f t="shared" si="18"/>
        <v>3417620.762581476</v>
      </c>
      <c r="T39" s="344">
        <f t="shared" si="14"/>
        <v>106186710.9951092</v>
      </c>
      <c r="U39" s="369"/>
    </row>
    <row r="40" spans="1:21" x14ac:dyDescent="0.3">
      <c r="A40" s="426"/>
      <c r="B40" s="370" t="s">
        <v>958</v>
      </c>
      <c r="C40" s="367">
        <f t="shared" ref="C40:C65" si="25">$L$1</f>
        <v>100</v>
      </c>
      <c r="D40" s="368">
        <f t="shared" ref="D40:D65" si="26">$L$2</f>
        <v>200</v>
      </c>
      <c r="E40" s="230"/>
      <c r="F40" s="236">
        <f>General!$C$64</f>
        <v>19.100000000000364</v>
      </c>
      <c r="G40" s="344">
        <f t="shared" si="19"/>
        <v>57477.083668179046</v>
      </c>
      <c r="H40" s="344">
        <f t="shared" si="20"/>
        <v>11026.756781779497</v>
      </c>
      <c r="I40" s="344">
        <f t="shared" si="21"/>
        <v>155169.2568620028</v>
      </c>
      <c r="J40" s="344">
        <f t="shared" si="22"/>
        <v>93296.409698072399</v>
      </c>
      <c r="K40" s="364">
        <f t="shared" si="15"/>
        <v>15516925.68620028</v>
      </c>
      <c r="L40" s="364">
        <f t="shared" si="16"/>
        <v>18659281.939614478</v>
      </c>
      <c r="M40" s="344">
        <f t="shared" si="13"/>
        <v>34176207.625814758</v>
      </c>
      <c r="O40" s="328">
        <f t="shared" si="17"/>
        <v>6493479.448904804</v>
      </c>
      <c r="P40" s="344">
        <f t="shared" si="23"/>
        <v>15516.925686200279</v>
      </c>
      <c r="Q40" s="344">
        <f t="shared" si="24"/>
        <v>9329.6409698072403</v>
      </c>
      <c r="S40" s="365">
        <f t="shared" si="18"/>
        <v>3417620.762581476</v>
      </c>
      <c r="T40" s="344">
        <f t="shared" si="14"/>
        <v>109604331.75769068</v>
      </c>
      <c r="U40" s="369"/>
    </row>
    <row r="41" spans="1:21" ht="14.5" thickBot="1" x14ac:dyDescent="0.35">
      <c r="A41" s="427"/>
      <c r="B41" s="371" t="s">
        <v>959</v>
      </c>
      <c r="C41" s="367">
        <f t="shared" si="25"/>
        <v>100</v>
      </c>
      <c r="D41" s="368">
        <f t="shared" si="26"/>
        <v>200</v>
      </c>
      <c r="E41" s="230"/>
      <c r="F41" s="236">
        <f>General!$C$64</f>
        <v>19.100000000000364</v>
      </c>
      <c r="G41" s="344">
        <f t="shared" si="19"/>
        <v>57477.083668179046</v>
      </c>
      <c r="H41" s="344">
        <f t="shared" si="20"/>
        <v>11026.756781779497</v>
      </c>
      <c r="I41" s="344">
        <f t="shared" si="21"/>
        <v>155169.2568620028</v>
      </c>
      <c r="J41" s="344">
        <f t="shared" si="22"/>
        <v>93296.409698072399</v>
      </c>
      <c r="K41" s="364">
        <f t="shared" si="15"/>
        <v>15516925.68620028</v>
      </c>
      <c r="L41" s="364">
        <f t="shared" si="16"/>
        <v>18659281.939614478</v>
      </c>
      <c r="M41" s="344">
        <f t="shared" si="13"/>
        <v>34176207.625814758</v>
      </c>
      <c r="O41" s="328">
        <f t="shared" si="17"/>
        <v>6493479.448904804</v>
      </c>
      <c r="P41" s="344">
        <f t="shared" si="23"/>
        <v>15516.925686200279</v>
      </c>
      <c r="Q41" s="344">
        <f t="shared" si="24"/>
        <v>9329.6409698072403</v>
      </c>
      <c r="S41" s="365">
        <f t="shared" si="18"/>
        <v>3417620.762581476</v>
      </c>
      <c r="T41" s="344">
        <f t="shared" si="14"/>
        <v>113021952.52027217</v>
      </c>
      <c r="U41" s="369"/>
    </row>
    <row r="42" spans="1:21" x14ac:dyDescent="0.3">
      <c r="A42" s="425">
        <v>2026</v>
      </c>
      <c r="B42" s="366" t="s">
        <v>960</v>
      </c>
      <c r="C42" s="367">
        <f t="shared" si="25"/>
        <v>100</v>
      </c>
      <c r="D42" s="368">
        <f t="shared" si="26"/>
        <v>200</v>
      </c>
      <c r="E42" s="230"/>
      <c r="F42" s="236">
        <f>General!$C$65</f>
        <v>22.5600000000004</v>
      </c>
      <c r="G42" s="344">
        <f t="shared" si="19"/>
        <v>59146.862925037996</v>
      </c>
      <c r="H42" s="344">
        <f t="shared" si="20"/>
        <v>11347.097490973094</v>
      </c>
      <c r="I42" s="344">
        <f t="shared" si="21"/>
        <v>159677.11268687714</v>
      </c>
      <c r="J42" s="344">
        <f t="shared" si="22"/>
        <v>96006.783984851019</v>
      </c>
      <c r="K42" s="364">
        <f t="shared" si="15"/>
        <v>15967711.268687714</v>
      </c>
      <c r="L42" s="364">
        <f t="shared" si="16"/>
        <v>19201356.796970204</v>
      </c>
      <c r="M42" s="344">
        <f t="shared" si="13"/>
        <v>35169068.065657914</v>
      </c>
      <c r="O42" s="328">
        <f t="shared" si="17"/>
        <v>6682122.9324750034</v>
      </c>
      <c r="P42" s="344">
        <f t="shared" si="23"/>
        <v>15967.711268687714</v>
      </c>
      <c r="Q42" s="344">
        <f t="shared" si="24"/>
        <v>9600.6783984851027</v>
      </c>
      <c r="S42" s="365">
        <f t="shared" si="18"/>
        <v>3516906.8065657918</v>
      </c>
      <c r="T42" s="344">
        <f t="shared" si="14"/>
        <v>116538859.32683796</v>
      </c>
      <c r="U42" s="369"/>
    </row>
    <row r="43" spans="1:21" x14ac:dyDescent="0.3">
      <c r="A43" s="426"/>
      <c r="B43" s="370" t="s">
        <v>956</v>
      </c>
      <c r="C43" s="367">
        <f t="shared" si="25"/>
        <v>100</v>
      </c>
      <c r="D43" s="368">
        <f t="shared" si="26"/>
        <v>200</v>
      </c>
      <c r="E43" s="230"/>
      <c r="F43" s="236">
        <f>General!$C$65</f>
        <v>22.5600000000004</v>
      </c>
      <c r="G43" s="344">
        <f t="shared" si="19"/>
        <v>59146.862925037996</v>
      </c>
      <c r="H43" s="344">
        <f t="shared" si="20"/>
        <v>11347.097490973094</v>
      </c>
      <c r="I43" s="344">
        <f t="shared" si="21"/>
        <v>159677.11268687714</v>
      </c>
      <c r="J43" s="344">
        <f t="shared" si="22"/>
        <v>96006.783984851019</v>
      </c>
      <c r="K43" s="364">
        <f t="shared" si="15"/>
        <v>15967711.268687714</v>
      </c>
      <c r="L43" s="364">
        <f t="shared" si="16"/>
        <v>19201356.796970204</v>
      </c>
      <c r="M43" s="344">
        <f t="shared" si="13"/>
        <v>35169068.065657914</v>
      </c>
      <c r="O43" s="328">
        <f t="shared" si="17"/>
        <v>6682122.9324750034</v>
      </c>
      <c r="P43" s="344">
        <f t="shared" si="23"/>
        <v>15967.711268687714</v>
      </c>
      <c r="Q43" s="344">
        <f t="shared" si="24"/>
        <v>9600.6783984851027</v>
      </c>
      <c r="S43" s="365">
        <f t="shared" si="18"/>
        <v>3516906.8065657918</v>
      </c>
      <c r="T43" s="344">
        <f t="shared" si="14"/>
        <v>120055766.13340375</v>
      </c>
      <c r="U43" s="369"/>
    </row>
    <row r="44" spans="1:21" x14ac:dyDescent="0.3">
      <c r="A44" s="426"/>
      <c r="B44" s="370" t="s">
        <v>949</v>
      </c>
      <c r="C44" s="367">
        <f t="shared" si="25"/>
        <v>100</v>
      </c>
      <c r="D44" s="368">
        <f t="shared" si="26"/>
        <v>200</v>
      </c>
      <c r="E44" s="230"/>
      <c r="F44" s="236">
        <f>General!$C$65</f>
        <v>22.5600000000004</v>
      </c>
      <c r="G44" s="344">
        <f t="shared" si="19"/>
        <v>59146.862925037996</v>
      </c>
      <c r="H44" s="344">
        <f t="shared" si="20"/>
        <v>11347.097490973094</v>
      </c>
      <c r="I44" s="344">
        <f t="shared" si="21"/>
        <v>159677.11268687714</v>
      </c>
      <c r="J44" s="344">
        <f t="shared" si="22"/>
        <v>96006.783984851019</v>
      </c>
      <c r="K44" s="364">
        <f t="shared" si="15"/>
        <v>15967711.268687714</v>
      </c>
      <c r="L44" s="364">
        <f t="shared" si="16"/>
        <v>19201356.796970204</v>
      </c>
      <c r="M44" s="344">
        <f t="shared" si="13"/>
        <v>35169068.065657914</v>
      </c>
      <c r="O44" s="328">
        <f t="shared" si="17"/>
        <v>6682122.9324750034</v>
      </c>
      <c r="P44" s="344">
        <f t="shared" si="23"/>
        <v>15967.711268687714</v>
      </c>
      <c r="Q44" s="344">
        <f t="shared" si="24"/>
        <v>9600.6783984851027</v>
      </c>
      <c r="S44" s="365">
        <f t="shared" si="18"/>
        <v>3516906.8065657918</v>
      </c>
      <c r="T44" s="344">
        <f t="shared" si="14"/>
        <v>123572672.93996954</v>
      </c>
      <c r="U44" s="369"/>
    </row>
    <row r="45" spans="1:21" x14ac:dyDescent="0.3">
      <c r="A45" s="426"/>
      <c r="B45" s="370" t="s">
        <v>957</v>
      </c>
      <c r="C45" s="367">
        <f t="shared" si="25"/>
        <v>100</v>
      </c>
      <c r="D45" s="368">
        <f t="shared" si="26"/>
        <v>200</v>
      </c>
      <c r="E45" s="230"/>
      <c r="F45" s="236">
        <f>General!$C$65</f>
        <v>22.5600000000004</v>
      </c>
      <c r="G45" s="344">
        <f t="shared" si="19"/>
        <v>59146.862925037996</v>
      </c>
      <c r="H45" s="344">
        <f t="shared" si="20"/>
        <v>11347.097490973094</v>
      </c>
      <c r="I45" s="344">
        <f t="shared" si="21"/>
        <v>159677.11268687714</v>
      </c>
      <c r="J45" s="344">
        <f t="shared" si="22"/>
        <v>96006.783984851019</v>
      </c>
      <c r="K45" s="364">
        <f t="shared" si="15"/>
        <v>15967711.268687714</v>
      </c>
      <c r="L45" s="364">
        <f t="shared" si="16"/>
        <v>19201356.796970204</v>
      </c>
      <c r="M45" s="344">
        <f t="shared" si="13"/>
        <v>35169068.065657914</v>
      </c>
      <c r="O45" s="328">
        <f t="shared" si="17"/>
        <v>6682122.9324750034</v>
      </c>
      <c r="P45" s="344">
        <f t="shared" si="23"/>
        <v>15967.711268687714</v>
      </c>
      <c r="Q45" s="344">
        <f t="shared" si="24"/>
        <v>9600.6783984851027</v>
      </c>
      <c r="S45" s="365">
        <f t="shared" si="18"/>
        <v>3516906.8065657918</v>
      </c>
      <c r="T45" s="344">
        <f t="shared" si="14"/>
        <v>127089579.74653533</v>
      </c>
      <c r="U45" s="369"/>
    </row>
    <row r="46" spans="1:21" x14ac:dyDescent="0.3">
      <c r="A46" s="426"/>
      <c r="B46" s="370" t="s">
        <v>951</v>
      </c>
      <c r="C46" s="367">
        <f t="shared" si="25"/>
        <v>100</v>
      </c>
      <c r="D46" s="368">
        <f t="shared" si="26"/>
        <v>200</v>
      </c>
      <c r="E46" s="230"/>
      <c r="F46" s="236">
        <f>General!$C$65</f>
        <v>22.5600000000004</v>
      </c>
      <c r="G46" s="344">
        <f t="shared" si="19"/>
        <v>59146.862925037996</v>
      </c>
      <c r="H46" s="344">
        <f t="shared" si="20"/>
        <v>11347.097490973094</v>
      </c>
      <c r="I46" s="344">
        <f t="shared" si="21"/>
        <v>159677.11268687714</v>
      </c>
      <c r="J46" s="344">
        <f t="shared" si="22"/>
        <v>96006.783984851019</v>
      </c>
      <c r="K46" s="364">
        <f t="shared" si="15"/>
        <v>15967711.268687714</v>
      </c>
      <c r="L46" s="364">
        <f t="shared" si="16"/>
        <v>19201356.796970204</v>
      </c>
      <c r="M46" s="344">
        <f t="shared" si="13"/>
        <v>35169068.065657914</v>
      </c>
      <c r="O46" s="328">
        <f t="shared" si="17"/>
        <v>6682122.9324750034</v>
      </c>
      <c r="P46" s="344">
        <f t="shared" si="23"/>
        <v>15967.711268687714</v>
      </c>
      <c r="Q46" s="344">
        <f t="shared" si="24"/>
        <v>9600.6783984851027</v>
      </c>
      <c r="S46" s="365">
        <f t="shared" si="18"/>
        <v>3516906.8065657918</v>
      </c>
      <c r="T46" s="344">
        <f t="shared" si="14"/>
        <v>130606486.55310112</v>
      </c>
      <c r="U46" s="369"/>
    </row>
    <row r="47" spans="1:21" x14ac:dyDescent="0.3">
      <c r="A47" s="426"/>
      <c r="B47" s="370" t="s">
        <v>950</v>
      </c>
      <c r="C47" s="367">
        <f t="shared" si="25"/>
        <v>100</v>
      </c>
      <c r="D47" s="368">
        <f t="shared" si="26"/>
        <v>200</v>
      </c>
      <c r="E47" s="230"/>
      <c r="F47" s="236">
        <f>General!$C$65</f>
        <v>22.5600000000004</v>
      </c>
      <c r="G47" s="344">
        <f t="shared" si="19"/>
        <v>59146.862925037996</v>
      </c>
      <c r="H47" s="344">
        <f t="shared" si="20"/>
        <v>11347.097490973094</v>
      </c>
      <c r="I47" s="344">
        <f t="shared" si="21"/>
        <v>159677.11268687714</v>
      </c>
      <c r="J47" s="344">
        <f t="shared" si="22"/>
        <v>96006.783984851019</v>
      </c>
      <c r="K47" s="364">
        <f t="shared" si="15"/>
        <v>15967711.268687714</v>
      </c>
      <c r="L47" s="364">
        <f t="shared" si="16"/>
        <v>19201356.796970204</v>
      </c>
      <c r="M47" s="344">
        <f t="shared" si="13"/>
        <v>35169068.065657914</v>
      </c>
      <c r="O47" s="328">
        <f t="shared" si="17"/>
        <v>6682122.9324750034</v>
      </c>
      <c r="P47" s="344">
        <f t="shared" si="23"/>
        <v>15967.711268687714</v>
      </c>
      <c r="Q47" s="344">
        <f t="shared" si="24"/>
        <v>9600.6783984851027</v>
      </c>
      <c r="S47" s="365">
        <f t="shared" si="18"/>
        <v>3516906.8065657918</v>
      </c>
      <c r="T47" s="344">
        <f t="shared" si="14"/>
        <v>134123393.35966691</v>
      </c>
      <c r="U47" s="369"/>
    </row>
    <row r="48" spans="1:21" x14ac:dyDescent="0.3">
      <c r="A48" s="426"/>
      <c r="B48" s="370" t="s">
        <v>952</v>
      </c>
      <c r="C48" s="367">
        <f t="shared" si="25"/>
        <v>100</v>
      </c>
      <c r="D48" s="368">
        <f t="shared" si="26"/>
        <v>200</v>
      </c>
      <c r="E48" s="230"/>
      <c r="F48" s="236">
        <f>General!$C$65</f>
        <v>22.5600000000004</v>
      </c>
      <c r="G48" s="344">
        <f t="shared" si="19"/>
        <v>59146.862925037996</v>
      </c>
      <c r="H48" s="344">
        <f t="shared" si="20"/>
        <v>11347.097490973094</v>
      </c>
      <c r="I48" s="344">
        <f t="shared" si="21"/>
        <v>159677.11268687714</v>
      </c>
      <c r="J48" s="344">
        <f t="shared" si="22"/>
        <v>96006.783984851019</v>
      </c>
      <c r="K48" s="364">
        <f t="shared" si="15"/>
        <v>15967711.268687714</v>
      </c>
      <c r="L48" s="364">
        <f t="shared" si="16"/>
        <v>19201356.796970204</v>
      </c>
      <c r="M48" s="344">
        <f t="shared" si="13"/>
        <v>35169068.065657914</v>
      </c>
      <c r="O48" s="328">
        <f t="shared" si="17"/>
        <v>6682122.9324750034</v>
      </c>
      <c r="P48" s="344">
        <f t="shared" si="23"/>
        <v>15967.711268687714</v>
      </c>
      <c r="Q48" s="344">
        <f t="shared" si="24"/>
        <v>9600.6783984851027</v>
      </c>
      <c r="S48" s="365">
        <f t="shared" si="18"/>
        <v>3516906.8065657918</v>
      </c>
      <c r="T48" s="344">
        <f t="shared" si="14"/>
        <v>137640300.16623271</v>
      </c>
      <c r="U48" s="369"/>
    </row>
    <row r="49" spans="1:21" x14ac:dyDescent="0.3">
      <c r="A49" s="426"/>
      <c r="B49" s="370" t="s">
        <v>953</v>
      </c>
      <c r="C49" s="367">
        <f t="shared" si="25"/>
        <v>100</v>
      </c>
      <c r="D49" s="368">
        <f t="shared" si="26"/>
        <v>200</v>
      </c>
      <c r="E49" s="230"/>
      <c r="F49" s="236">
        <f>General!$C$65</f>
        <v>22.5600000000004</v>
      </c>
      <c r="G49" s="344">
        <f t="shared" si="19"/>
        <v>59146.862925037996</v>
      </c>
      <c r="H49" s="344">
        <f t="shared" si="20"/>
        <v>11347.097490973094</v>
      </c>
      <c r="I49" s="344">
        <f t="shared" si="21"/>
        <v>159677.11268687714</v>
      </c>
      <c r="J49" s="344">
        <f t="shared" si="22"/>
        <v>96006.783984851019</v>
      </c>
      <c r="K49" s="364">
        <f t="shared" si="15"/>
        <v>15967711.268687714</v>
      </c>
      <c r="L49" s="364">
        <f t="shared" si="16"/>
        <v>19201356.796970204</v>
      </c>
      <c r="M49" s="344">
        <f t="shared" si="13"/>
        <v>35169068.065657914</v>
      </c>
      <c r="O49" s="328">
        <f t="shared" si="17"/>
        <v>6682122.9324750034</v>
      </c>
      <c r="P49" s="344">
        <f t="shared" si="23"/>
        <v>15967.711268687714</v>
      </c>
      <c r="Q49" s="344">
        <f t="shared" si="24"/>
        <v>9600.6783984851027</v>
      </c>
      <c r="S49" s="365">
        <f t="shared" si="18"/>
        <v>3516906.8065657918</v>
      </c>
      <c r="T49" s="344">
        <f t="shared" si="14"/>
        <v>141157206.9727985</v>
      </c>
      <c r="U49" s="369"/>
    </row>
    <row r="50" spans="1:21" x14ac:dyDescent="0.3">
      <c r="A50" s="426"/>
      <c r="B50" s="370" t="s">
        <v>954</v>
      </c>
      <c r="C50" s="367">
        <f t="shared" si="25"/>
        <v>100</v>
      </c>
      <c r="D50" s="368">
        <f t="shared" si="26"/>
        <v>200</v>
      </c>
      <c r="E50" s="230"/>
      <c r="F50" s="236">
        <f>General!$C$65</f>
        <v>22.5600000000004</v>
      </c>
      <c r="G50" s="344">
        <f t="shared" si="19"/>
        <v>59146.862925037996</v>
      </c>
      <c r="H50" s="344">
        <f t="shared" si="20"/>
        <v>11347.097490973094</v>
      </c>
      <c r="I50" s="344">
        <f t="shared" si="21"/>
        <v>159677.11268687714</v>
      </c>
      <c r="J50" s="344">
        <f t="shared" si="22"/>
        <v>96006.783984851019</v>
      </c>
      <c r="K50" s="364">
        <f t="shared" si="15"/>
        <v>15967711.268687714</v>
      </c>
      <c r="L50" s="364">
        <f t="shared" si="16"/>
        <v>19201356.796970204</v>
      </c>
      <c r="M50" s="344">
        <f t="shared" si="13"/>
        <v>35169068.065657914</v>
      </c>
      <c r="O50" s="328">
        <f t="shared" si="17"/>
        <v>6682122.9324750034</v>
      </c>
      <c r="P50" s="344">
        <f t="shared" si="23"/>
        <v>15967.711268687714</v>
      </c>
      <c r="Q50" s="344">
        <f t="shared" si="24"/>
        <v>9600.6783984851027</v>
      </c>
      <c r="S50" s="365">
        <f t="shared" si="18"/>
        <v>3516906.8065657918</v>
      </c>
      <c r="T50" s="344">
        <f t="shared" si="14"/>
        <v>144674113.77936429</v>
      </c>
      <c r="U50" s="369"/>
    </row>
    <row r="51" spans="1:21" x14ac:dyDescent="0.3">
      <c r="A51" s="426"/>
      <c r="B51" s="370" t="s">
        <v>955</v>
      </c>
      <c r="C51" s="367">
        <f t="shared" si="25"/>
        <v>100</v>
      </c>
      <c r="D51" s="368">
        <f t="shared" si="26"/>
        <v>200</v>
      </c>
      <c r="E51" s="230"/>
      <c r="F51" s="236">
        <f>General!$C$65</f>
        <v>22.5600000000004</v>
      </c>
      <c r="G51" s="344">
        <f t="shared" si="19"/>
        <v>59146.862925037996</v>
      </c>
      <c r="H51" s="344">
        <f t="shared" si="20"/>
        <v>11347.097490973094</v>
      </c>
      <c r="I51" s="344">
        <f t="shared" si="21"/>
        <v>159677.11268687714</v>
      </c>
      <c r="J51" s="344">
        <f t="shared" si="22"/>
        <v>96006.783984851019</v>
      </c>
      <c r="K51" s="364">
        <f t="shared" si="15"/>
        <v>15967711.268687714</v>
      </c>
      <c r="L51" s="364">
        <f t="shared" si="16"/>
        <v>19201356.796970204</v>
      </c>
      <c r="M51" s="344">
        <f t="shared" si="13"/>
        <v>35169068.065657914</v>
      </c>
      <c r="O51" s="328">
        <f t="shared" si="17"/>
        <v>6682122.9324750034</v>
      </c>
      <c r="P51" s="344">
        <f t="shared" si="23"/>
        <v>15967.711268687714</v>
      </c>
      <c r="Q51" s="344">
        <f t="shared" si="24"/>
        <v>9600.6783984851027</v>
      </c>
      <c r="S51" s="365">
        <f t="shared" si="18"/>
        <v>3516906.8065657918</v>
      </c>
      <c r="T51" s="344">
        <f t="shared" si="14"/>
        <v>148191020.58593008</v>
      </c>
      <c r="U51" s="369"/>
    </row>
    <row r="52" spans="1:21" x14ac:dyDescent="0.3">
      <c r="A52" s="426"/>
      <c r="B52" s="370" t="s">
        <v>958</v>
      </c>
      <c r="C52" s="367">
        <f t="shared" si="25"/>
        <v>100</v>
      </c>
      <c r="D52" s="368">
        <f t="shared" si="26"/>
        <v>200</v>
      </c>
      <c r="E52" s="230"/>
      <c r="F52" s="236">
        <f>General!$C$65</f>
        <v>22.5600000000004</v>
      </c>
      <c r="G52" s="344">
        <f t="shared" si="19"/>
        <v>59146.862925037996</v>
      </c>
      <c r="H52" s="344">
        <f t="shared" si="20"/>
        <v>11347.097490973094</v>
      </c>
      <c r="I52" s="344">
        <f t="shared" si="21"/>
        <v>159677.11268687714</v>
      </c>
      <c r="J52" s="344">
        <f t="shared" si="22"/>
        <v>96006.783984851019</v>
      </c>
      <c r="K52" s="364">
        <f t="shared" si="15"/>
        <v>15967711.268687714</v>
      </c>
      <c r="L52" s="364">
        <f t="shared" si="16"/>
        <v>19201356.796970204</v>
      </c>
      <c r="M52" s="344">
        <f t="shared" si="13"/>
        <v>35169068.065657914</v>
      </c>
      <c r="O52" s="328">
        <f t="shared" si="17"/>
        <v>6682122.9324750034</v>
      </c>
      <c r="P52" s="344">
        <f t="shared" si="23"/>
        <v>15967.711268687714</v>
      </c>
      <c r="Q52" s="344">
        <f t="shared" si="24"/>
        <v>9600.6783984851027</v>
      </c>
      <c r="S52" s="365">
        <f t="shared" si="18"/>
        <v>3516906.8065657918</v>
      </c>
      <c r="T52" s="344">
        <f t="shared" si="14"/>
        <v>151707927.39249587</v>
      </c>
      <c r="U52" s="369"/>
    </row>
    <row r="53" spans="1:21" ht="14.5" thickBot="1" x14ac:dyDescent="0.35">
      <c r="A53" s="426"/>
      <c r="B53" s="370" t="s">
        <v>959</v>
      </c>
      <c r="C53" s="367">
        <f t="shared" si="25"/>
        <v>100</v>
      </c>
      <c r="D53" s="368">
        <f t="shared" si="26"/>
        <v>200</v>
      </c>
      <c r="E53" s="230"/>
      <c r="F53" s="236">
        <f>General!$C$65</f>
        <v>22.5600000000004</v>
      </c>
      <c r="G53" s="344">
        <f t="shared" si="19"/>
        <v>59146.862925037996</v>
      </c>
      <c r="H53" s="344">
        <f t="shared" si="20"/>
        <v>11347.097490973094</v>
      </c>
      <c r="I53" s="344">
        <f t="shared" si="21"/>
        <v>159677.11268687714</v>
      </c>
      <c r="J53" s="344">
        <f t="shared" si="22"/>
        <v>96006.783984851019</v>
      </c>
      <c r="K53" s="364">
        <f t="shared" si="15"/>
        <v>15967711.268687714</v>
      </c>
      <c r="L53" s="364">
        <f t="shared" si="16"/>
        <v>19201356.796970204</v>
      </c>
      <c r="M53" s="344">
        <f t="shared" si="13"/>
        <v>35169068.065657914</v>
      </c>
      <c r="O53" s="328">
        <f t="shared" si="17"/>
        <v>6682122.9324750034</v>
      </c>
      <c r="P53" s="344">
        <f t="shared" si="23"/>
        <v>15967.711268687714</v>
      </c>
      <c r="Q53" s="344">
        <f t="shared" si="24"/>
        <v>9600.6783984851027</v>
      </c>
      <c r="S53" s="365">
        <f t="shared" si="18"/>
        <v>3516906.8065657918</v>
      </c>
      <c r="T53" s="344">
        <f t="shared" si="14"/>
        <v>155224834.19906166</v>
      </c>
      <c r="U53" s="369"/>
    </row>
    <row r="54" spans="1:21" x14ac:dyDescent="0.3">
      <c r="A54" s="425">
        <v>2027</v>
      </c>
      <c r="B54" s="366" t="s">
        <v>960</v>
      </c>
      <c r="C54" s="367">
        <f t="shared" si="25"/>
        <v>100</v>
      </c>
      <c r="D54" s="368">
        <f t="shared" si="26"/>
        <v>200</v>
      </c>
      <c r="E54" s="230"/>
      <c r="F54" s="236">
        <f>General!$C$66</f>
        <v>26.020000000000437</v>
      </c>
      <c r="G54" s="344">
        <f t="shared" si="19"/>
        <v>60816.642181896954</v>
      </c>
      <c r="H54" s="344">
        <f t="shared" si="20"/>
        <v>11667.438200166691</v>
      </c>
      <c r="I54" s="344">
        <f t="shared" si="21"/>
        <v>164184.96851175147</v>
      </c>
      <c r="J54" s="344">
        <f t="shared" si="22"/>
        <v>98717.15827162964</v>
      </c>
      <c r="K54" s="364">
        <f t="shared" si="15"/>
        <v>16418496.851175148</v>
      </c>
      <c r="L54" s="364">
        <f t="shared" si="16"/>
        <v>19743431.654325929</v>
      </c>
      <c r="M54" s="344">
        <f t="shared" si="13"/>
        <v>36161928.505501077</v>
      </c>
      <c r="O54" s="328">
        <f t="shared" si="17"/>
        <v>6870766.4160452047</v>
      </c>
      <c r="P54" s="344">
        <f t="shared" si="23"/>
        <v>16418.496851175147</v>
      </c>
      <c r="Q54" s="344">
        <f t="shared" si="24"/>
        <v>9871.7158271629633</v>
      </c>
      <c r="S54" s="365">
        <f t="shared" si="18"/>
        <v>3616192.8505501072</v>
      </c>
      <c r="T54" s="344">
        <f t="shared" si="14"/>
        <v>158841027.04961178</v>
      </c>
      <c r="U54" s="369"/>
    </row>
    <row r="55" spans="1:21" x14ac:dyDescent="0.3">
      <c r="A55" s="426"/>
      <c r="B55" s="370" t="s">
        <v>956</v>
      </c>
      <c r="C55" s="367">
        <f t="shared" si="25"/>
        <v>100</v>
      </c>
      <c r="D55" s="368">
        <f t="shared" si="26"/>
        <v>200</v>
      </c>
      <c r="E55" s="230"/>
      <c r="F55" s="236">
        <f>General!$C$66</f>
        <v>26.020000000000437</v>
      </c>
      <c r="G55" s="344">
        <f t="shared" si="19"/>
        <v>60816.642181896954</v>
      </c>
      <c r="H55" s="344">
        <f t="shared" si="20"/>
        <v>11667.438200166691</v>
      </c>
      <c r="I55" s="344">
        <f t="shared" si="21"/>
        <v>164184.96851175147</v>
      </c>
      <c r="J55" s="344">
        <f t="shared" si="22"/>
        <v>98717.15827162964</v>
      </c>
      <c r="K55" s="364">
        <f t="shared" si="15"/>
        <v>16418496.851175148</v>
      </c>
      <c r="L55" s="364">
        <f t="shared" si="16"/>
        <v>19743431.654325929</v>
      </c>
      <c r="M55" s="344">
        <f t="shared" si="13"/>
        <v>36161928.505501077</v>
      </c>
      <c r="O55" s="328">
        <f t="shared" si="17"/>
        <v>6870766.4160452047</v>
      </c>
      <c r="P55" s="344">
        <f t="shared" si="23"/>
        <v>16418.496851175147</v>
      </c>
      <c r="Q55" s="344">
        <f t="shared" si="24"/>
        <v>9871.7158271629633</v>
      </c>
      <c r="S55" s="365">
        <f t="shared" si="18"/>
        <v>3616192.8505501072</v>
      </c>
      <c r="T55" s="344">
        <f t="shared" si="14"/>
        <v>162457219.90016189</v>
      </c>
      <c r="U55" s="369"/>
    </row>
    <row r="56" spans="1:21" x14ac:dyDescent="0.3">
      <c r="A56" s="426"/>
      <c r="B56" s="370" t="s">
        <v>949</v>
      </c>
      <c r="C56" s="367">
        <f t="shared" si="25"/>
        <v>100</v>
      </c>
      <c r="D56" s="368">
        <f t="shared" si="26"/>
        <v>200</v>
      </c>
      <c r="E56" s="230"/>
      <c r="F56" s="236">
        <f>General!$C$66</f>
        <v>26.020000000000437</v>
      </c>
      <c r="G56" s="344">
        <f t="shared" si="19"/>
        <v>60816.642181896954</v>
      </c>
      <c r="H56" s="344">
        <f t="shared" si="20"/>
        <v>11667.438200166691</v>
      </c>
      <c r="I56" s="344">
        <f t="shared" si="21"/>
        <v>164184.96851175147</v>
      </c>
      <c r="J56" s="344">
        <f t="shared" si="22"/>
        <v>98717.15827162964</v>
      </c>
      <c r="K56" s="364">
        <f t="shared" si="15"/>
        <v>16418496.851175148</v>
      </c>
      <c r="L56" s="364">
        <f t="shared" si="16"/>
        <v>19743431.654325929</v>
      </c>
      <c r="M56" s="344">
        <f t="shared" si="13"/>
        <v>36161928.505501077</v>
      </c>
      <c r="O56" s="328">
        <f t="shared" si="17"/>
        <v>6870766.4160452047</v>
      </c>
      <c r="P56" s="344">
        <f t="shared" si="23"/>
        <v>16418.496851175147</v>
      </c>
      <c r="Q56" s="344">
        <f t="shared" si="24"/>
        <v>9871.7158271629633</v>
      </c>
      <c r="S56" s="365">
        <f t="shared" si="18"/>
        <v>3616192.8505501072</v>
      </c>
      <c r="T56" s="344">
        <f t="shared" si="14"/>
        <v>166073412.75071201</v>
      </c>
      <c r="U56" s="369"/>
    </row>
    <row r="57" spans="1:21" x14ac:dyDescent="0.3">
      <c r="A57" s="426"/>
      <c r="B57" s="370" t="s">
        <v>957</v>
      </c>
      <c r="C57" s="367">
        <f t="shared" si="25"/>
        <v>100</v>
      </c>
      <c r="D57" s="368">
        <f t="shared" si="26"/>
        <v>200</v>
      </c>
      <c r="E57" s="230"/>
      <c r="F57" s="236">
        <f>General!$C$66</f>
        <v>26.020000000000437</v>
      </c>
      <c r="G57" s="344">
        <f t="shared" si="19"/>
        <v>60816.642181896954</v>
      </c>
      <c r="H57" s="344">
        <f t="shared" si="20"/>
        <v>11667.438200166691</v>
      </c>
      <c r="I57" s="344">
        <f t="shared" si="21"/>
        <v>164184.96851175147</v>
      </c>
      <c r="J57" s="344">
        <f t="shared" si="22"/>
        <v>98717.15827162964</v>
      </c>
      <c r="K57" s="364">
        <f t="shared" si="15"/>
        <v>16418496.851175148</v>
      </c>
      <c r="L57" s="364">
        <f t="shared" si="16"/>
        <v>19743431.654325929</v>
      </c>
      <c r="M57" s="344">
        <f t="shared" si="13"/>
        <v>36161928.505501077</v>
      </c>
      <c r="O57" s="328">
        <f t="shared" si="17"/>
        <v>6870766.4160452047</v>
      </c>
      <c r="P57" s="344">
        <f t="shared" si="23"/>
        <v>16418.496851175147</v>
      </c>
      <c r="Q57" s="344">
        <f t="shared" si="24"/>
        <v>9871.7158271629633</v>
      </c>
      <c r="S57" s="365">
        <f t="shared" si="18"/>
        <v>3616192.8505501072</v>
      </c>
      <c r="T57" s="344">
        <f t="shared" si="14"/>
        <v>169689605.60126212</v>
      </c>
      <c r="U57" s="369"/>
    </row>
    <row r="58" spans="1:21" x14ac:dyDescent="0.3">
      <c r="A58" s="426"/>
      <c r="B58" s="370" t="s">
        <v>951</v>
      </c>
      <c r="C58" s="367">
        <f t="shared" si="25"/>
        <v>100</v>
      </c>
      <c r="D58" s="368">
        <f t="shared" si="26"/>
        <v>200</v>
      </c>
      <c r="E58" s="230"/>
      <c r="F58" s="236">
        <f>General!$C$66</f>
        <v>26.020000000000437</v>
      </c>
      <c r="G58" s="344">
        <f t="shared" si="19"/>
        <v>60816.642181896954</v>
      </c>
      <c r="H58" s="344">
        <f t="shared" si="20"/>
        <v>11667.438200166691</v>
      </c>
      <c r="I58" s="344">
        <f t="shared" si="21"/>
        <v>164184.96851175147</v>
      </c>
      <c r="J58" s="344">
        <f t="shared" si="22"/>
        <v>98717.15827162964</v>
      </c>
      <c r="K58" s="364">
        <f t="shared" si="15"/>
        <v>16418496.851175148</v>
      </c>
      <c r="L58" s="364">
        <f t="shared" si="16"/>
        <v>19743431.654325929</v>
      </c>
      <c r="M58" s="344">
        <f t="shared" si="13"/>
        <v>36161928.505501077</v>
      </c>
      <c r="O58" s="328">
        <f t="shared" si="17"/>
        <v>6870766.4160452047</v>
      </c>
      <c r="P58" s="344">
        <f t="shared" si="23"/>
        <v>16418.496851175147</v>
      </c>
      <c r="Q58" s="344">
        <f t="shared" si="24"/>
        <v>9871.7158271629633</v>
      </c>
      <c r="S58" s="365">
        <f t="shared" si="18"/>
        <v>3616192.8505501072</v>
      </c>
      <c r="T58" s="344">
        <f t="shared" si="14"/>
        <v>173305798.45181224</v>
      </c>
      <c r="U58" s="369"/>
    </row>
    <row r="59" spans="1:21" x14ac:dyDescent="0.3">
      <c r="A59" s="426"/>
      <c r="B59" s="370" t="s">
        <v>950</v>
      </c>
      <c r="C59" s="367">
        <f t="shared" si="25"/>
        <v>100</v>
      </c>
      <c r="D59" s="368">
        <f t="shared" si="26"/>
        <v>200</v>
      </c>
      <c r="E59" s="230"/>
      <c r="F59" s="236">
        <f>General!$C$66</f>
        <v>26.020000000000437</v>
      </c>
      <c r="G59" s="344">
        <f t="shared" si="19"/>
        <v>60816.642181896954</v>
      </c>
      <c r="H59" s="344">
        <f t="shared" si="20"/>
        <v>11667.438200166691</v>
      </c>
      <c r="I59" s="344">
        <f t="shared" si="21"/>
        <v>164184.96851175147</v>
      </c>
      <c r="J59" s="344">
        <f t="shared" si="22"/>
        <v>98717.15827162964</v>
      </c>
      <c r="K59" s="364">
        <f t="shared" si="15"/>
        <v>16418496.851175148</v>
      </c>
      <c r="L59" s="364">
        <f t="shared" si="16"/>
        <v>19743431.654325929</v>
      </c>
      <c r="M59" s="344">
        <f t="shared" si="13"/>
        <v>36161928.505501077</v>
      </c>
      <c r="O59" s="328">
        <f t="shared" si="17"/>
        <v>6870766.4160452047</v>
      </c>
      <c r="P59" s="344">
        <f t="shared" si="23"/>
        <v>16418.496851175147</v>
      </c>
      <c r="Q59" s="344">
        <f t="shared" si="24"/>
        <v>9871.7158271629633</v>
      </c>
      <c r="S59" s="365">
        <f t="shared" si="18"/>
        <v>3616192.8505501072</v>
      </c>
      <c r="T59" s="344">
        <f t="shared" si="14"/>
        <v>176921991.30236235</v>
      </c>
      <c r="U59" s="369"/>
    </row>
    <row r="60" spans="1:21" x14ac:dyDescent="0.3">
      <c r="A60" s="426"/>
      <c r="B60" s="370" t="s">
        <v>952</v>
      </c>
      <c r="C60" s="367">
        <f t="shared" si="25"/>
        <v>100</v>
      </c>
      <c r="D60" s="368">
        <f t="shared" si="26"/>
        <v>200</v>
      </c>
      <c r="E60" s="230"/>
      <c r="F60" s="236">
        <f>General!$C$66</f>
        <v>26.020000000000437</v>
      </c>
      <c r="G60" s="344">
        <f t="shared" si="19"/>
        <v>60816.642181896954</v>
      </c>
      <c r="H60" s="344">
        <f t="shared" si="20"/>
        <v>11667.438200166691</v>
      </c>
      <c r="I60" s="344">
        <f t="shared" si="21"/>
        <v>164184.96851175147</v>
      </c>
      <c r="J60" s="344">
        <f t="shared" si="22"/>
        <v>98717.15827162964</v>
      </c>
      <c r="K60" s="364">
        <f t="shared" si="15"/>
        <v>16418496.851175148</v>
      </c>
      <c r="L60" s="364">
        <f t="shared" si="16"/>
        <v>19743431.654325929</v>
      </c>
      <c r="M60" s="344">
        <f t="shared" si="13"/>
        <v>36161928.505501077</v>
      </c>
      <c r="O60" s="328">
        <f t="shared" si="17"/>
        <v>6870766.4160452047</v>
      </c>
      <c r="P60" s="344">
        <f t="shared" si="23"/>
        <v>16418.496851175147</v>
      </c>
      <c r="Q60" s="344">
        <f t="shared" si="24"/>
        <v>9871.7158271629633</v>
      </c>
      <c r="S60" s="365">
        <f t="shared" si="18"/>
        <v>3616192.8505501072</v>
      </c>
      <c r="T60" s="344">
        <f t="shared" si="14"/>
        <v>180538184.15291247</v>
      </c>
      <c r="U60" s="369"/>
    </row>
    <row r="61" spans="1:21" x14ac:dyDescent="0.3">
      <c r="A61" s="426"/>
      <c r="B61" s="370" t="s">
        <v>953</v>
      </c>
      <c r="C61" s="367">
        <f t="shared" si="25"/>
        <v>100</v>
      </c>
      <c r="D61" s="368">
        <f t="shared" si="26"/>
        <v>200</v>
      </c>
      <c r="E61" s="230"/>
      <c r="F61" s="236">
        <f>General!$C$66</f>
        <v>26.020000000000437</v>
      </c>
      <c r="G61" s="344">
        <f t="shared" si="19"/>
        <v>60816.642181896954</v>
      </c>
      <c r="H61" s="344">
        <f t="shared" si="20"/>
        <v>11667.438200166691</v>
      </c>
      <c r="I61" s="344">
        <f t="shared" si="21"/>
        <v>164184.96851175147</v>
      </c>
      <c r="J61" s="344">
        <f t="shared" si="22"/>
        <v>98717.15827162964</v>
      </c>
      <c r="K61" s="364">
        <f t="shared" si="15"/>
        <v>16418496.851175148</v>
      </c>
      <c r="L61" s="364">
        <f t="shared" si="16"/>
        <v>19743431.654325929</v>
      </c>
      <c r="M61" s="344">
        <f t="shared" si="13"/>
        <v>36161928.505501077</v>
      </c>
      <c r="O61" s="328">
        <f t="shared" si="17"/>
        <v>6870766.4160452047</v>
      </c>
      <c r="P61" s="344">
        <f t="shared" si="23"/>
        <v>16418.496851175147</v>
      </c>
      <c r="Q61" s="344">
        <f t="shared" si="24"/>
        <v>9871.7158271629633</v>
      </c>
      <c r="S61" s="365">
        <f t="shared" si="18"/>
        <v>3616192.8505501072</v>
      </c>
      <c r="T61" s="344">
        <f t="shared" si="14"/>
        <v>184154377.00346258</v>
      </c>
      <c r="U61" s="369"/>
    </row>
    <row r="62" spans="1:21" x14ac:dyDescent="0.3">
      <c r="A62" s="426"/>
      <c r="B62" s="370" t="s">
        <v>954</v>
      </c>
      <c r="C62" s="367">
        <f t="shared" si="25"/>
        <v>100</v>
      </c>
      <c r="D62" s="368">
        <f t="shared" si="26"/>
        <v>200</v>
      </c>
      <c r="E62" s="230"/>
      <c r="F62" s="236">
        <f>General!$C$66</f>
        <v>26.020000000000437</v>
      </c>
      <c r="G62" s="344">
        <f t="shared" si="19"/>
        <v>60816.642181896954</v>
      </c>
      <c r="H62" s="344">
        <f t="shared" si="20"/>
        <v>11667.438200166691</v>
      </c>
      <c r="I62" s="344">
        <f t="shared" si="21"/>
        <v>164184.96851175147</v>
      </c>
      <c r="J62" s="344">
        <f t="shared" si="22"/>
        <v>98717.15827162964</v>
      </c>
      <c r="K62" s="364">
        <f t="shared" si="15"/>
        <v>16418496.851175148</v>
      </c>
      <c r="L62" s="364">
        <f t="shared" si="16"/>
        <v>19743431.654325929</v>
      </c>
      <c r="M62" s="344">
        <f t="shared" si="13"/>
        <v>36161928.505501077</v>
      </c>
      <c r="O62" s="328">
        <f t="shared" si="17"/>
        <v>6870766.4160452047</v>
      </c>
      <c r="P62" s="344">
        <f t="shared" si="23"/>
        <v>16418.496851175147</v>
      </c>
      <c r="Q62" s="344">
        <f t="shared" si="24"/>
        <v>9871.7158271629633</v>
      </c>
      <c r="S62" s="365">
        <f t="shared" si="18"/>
        <v>3616192.8505501072</v>
      </c>
      <c r="T62" s="344">
        <f t="shared" si="14"/>
        <v>187770569.8540127</v>
      </c>
      <c r="U62" s="369"/>
    </row>
    <row r="63" spans="1:21" x14ac:dyDescent="0.3">
      <c r="A63" s="426"/>
      <c r="B63" s="370" t="s">
        <v>955</v>
      </c>
      <c r="C63" s="367">
        <f t="shared" si="25"/>
        <v>100</v>
      </c>
      <c r="D63" s="368">
        <f t="shared" si="26"/>
        <v>200</v>
      </c>
      <c r="E63" s="230"/>
      <c r="F63" s="236">
        <f>General!$C$66</f>
        <v>26.020000000000437</v>
      </c>
      <c r="G63" s="344">
        <f t="shared" si="19"/>
        <v>60816.642181896954</v>
      </c>
      <c r="H63" s="344">
        <f t="shared" si="20"/>
        <v>11667.438200166691</v>
      </c>
      <c r="I63" s="344">
        <f t="shared" si="21"/>
        <v>164184.96851175147</v>
      </c>
      <c r="J63" s="344">
        <f t="shared" si="22"/>
        <v>98717.15827162964</v>
      </c>
      <c r="K63" s="364">
        <f t="shared" si="15"/>
        <v>16418496.851175148</v>
      </c>
      <c r="L63" s="364">
        <f t="shared" si="16"/>
        <v>19743431.654325929</v>
      </c>
      <c r="M63" s="344">
        <f t="shared" si="13"/>
        <v>36161928.505501077</v>
      </c>
      <c r="O63" s="328">
        <f t="shared" si="17"/>
        <v>6870766.4160452047</v>
      </c>
      <c r="P63" s="344">
        <f t="shared" si="23"/>
        <v>16418.496851175147</v>
      </c>
      <c r="Q63" s="344">
        <f t="shared" si="24"/>
        <v>9871.7158271629633</v>
      </c>
      <c r="S63" s="365">
        <f t="shared" si="18"/>
        <v>3616192.8505501072</v>
      </c>
      <c r="T63" s="344">
        <f t="shared" si="14"/>
        <v>191386762.70456281</v>
      </c>
      <c r="U63" s="369"/>
    </row>
    <row r="64" spans="1:21" x14ac:dyDescent="0.3">
      <c r="A64" s="426"/>
      <c r="B64" s="370" t="s">
        <v>958</v>
      </c>
      <c r="C64" s="367">
        <f t="shared" si="25"/>
        <v>100</v>
      </c>
      <c r="D64" s="368">
        <f t="shared" si="26"/>
        <v>200</v>
      </c>
      <c r="E64" s="230"/>
      <c r="F64" s="346">
        <f>General!$C$66</f>
        <v>26.020000000000437</v>
      </c>
      <c r="G64" s="343">
        <f t="shared" si="19"/>
        <v>60816.642181896954</v>
      </c>
      <c r="H64" s="343">
        <f t="shared" si="20"/>
        <v>11667.438200166691</v>
      </c>
      <c r="I64" s="343">
        <f t="shared" si="21"/>
        <v>164184.96851175147</v>
      </c>
      <c r="J64" s="343">
        <f t="shared" si="22"/>
        <v>98717.15827162964</v>
      </c>
      <c r="K64" s="372">
        <f t="shared" si="15"/>
        <v>16418496.851175148</v>
      </c>
      <c r="L64" s="372">
        <f t="shared" si="16"/>
        <v>19743431.654325929</v>
      </c>
      <c r="M64" s="343">
        <f t="shared" si="13"/>
        <v>36161928.505501077</v>
      </c>
      <c r="O64" s="328">
        <f t="shared" si="17"/>
        <v>6870766.4160452047</v>
      </c>
      <c r="P64" s="344">
        <f t="shared" si="23"/>
        <v>16418.496851175147</v>
      </c>
      <c r="Q64" s="344">
        <f t="shared" si="24"/>
        <v>9871.7158271629633</v>
      </c>
      <c r="S64" s="365">
        <f t="shared" si="18"/>
        <v>3616192.8505501072</v>
      </c>
      <c r="T64" s="344">
        <f t="shared" si="14"/>
        <v>195002955.55511293</v>
      </c>
      <c r="U64" s="369"/>
    </row>
    <row r="65" spans="1:21" ht="14.5" thickBot="1" x14ac:dyDescent="0.35">
      <c r="A65" s="427"/>
      <c r="B65" s="371" t="s">
        <v>959</v>
      </c>
      <c r="C65" s="367">
        <f t="shared" si="25"/>
        <v>100</v>
      </c>
      <c r="D65" s="368">
        <f t="shared" si="26"/>
        <v>200</v>
      </c>
      <c r="E65" s="230"/>
      <c r="F65" s="236">
        <f>General!$C$66</f>
        <v>26.020000000000437</v>
      </c>
      <c r="G65" s="344">
        <f t="shared" si="19"/>
        <v>60816.642181896954</v>
      </c>
      <c r="H65" s="344">
        <f t="shared" si="20"/>
        <v>11667.438200166691</v>
      </c>
      <c r="I65" s="344">
        <f t="shared" si="21"/>
        <v>164184.96851175147</v>
      </c>
      <c r="J65" s="344">
        <f t="shared" si="22"/>
        <v>98717.15827162964</v>
      </c>
      <c r="K65" s="364">
        <f t="shared" si="15"/>
        <v>16418496.851175148</v>
      </c>
      <c r="L65" s="364">
        <f t="shared" si="16"/>
        <v>19743431.654325929</v>
      </c>
      <c r="M65" s="344">
        <f t="shared" si="13"/>
        <v>36161928.505501077</v>
      </c>
      <c r="O65" s="328">
        <f t="shared" si="17"/>
        <v>6870766.4160452047</v>
      </c>
      <c r="P65" s="343">
        <f t="shared" si="23"/>
        <v>16418.496851175147</v>
      </c>
      <c r="Q65" s="343">
        <f t="shared" si="24"/>
        <v>9871.7158271629633</v>
      </c>
      <c r="S65" s="373">
        <f t="shared" si="18"/>
        <v>3616192.8505501072</v>
      </c>
      <c r="T65" s="343">
        <f t="shared" si="14"/>
        <v>198619148.40566304</v>
      </c>
      <c r="U65" s="369"/>
    </row>
    <row r="66" spans="1:21" x14ac:dyDescent="0.3">
      <c r="A66" s="231"/>
      <c r="B66" s="231"/>
      <c r="C66" s="374"/>
      <c r="D66" s="374"/>
      <c r="E66" s="230"/>
      <c r="F66" s="230"/>
      <c r="G66" s="328"/>
      <c r="H66" s="328"/>
      <c r="I66" s="328"/>
      <c r="J66" s="328"/>
      <c r="K66" s="329"/>
      <c r="L66" s="329"/>
      <c r="M66" s="328"/>
      <c r="P66" s="328"/>
      <c r="Q66" s="328"/>
      <c r="S66" s="375"/>
      <c r="T66" s="328"/>
    </row>
    <row r="67" spans="1:21" x14ac:dyDescent="0.3">
      <c r="S67" s="328"/>
    </row>
    <row r="70" spans="1:21" x14ac:dyDescent="0.3">
      <c r="E70" s="230"/>
      <c r="F70" s="230"/>
      <c r="G70" s="230"/>
      <c r="H70" s="230"/>
      <c r="I70" s="230"/>
      <c r="J70" s="230"/>
    </row>
    <row r="71" spans="1:21" x14ac:dyDescent="0.3">
      <c r="E71" s="230"/>
      <c r="F71" s="376"/>
      <c r="G71" s="240"/>
      <c r="H71" s="240"/>
      <c r="I71" s="240"/>
      <c r="J71" s="240"/>
    </row>
    <row r="72" spans="1:21" x14ac:dyDescent="0.3">
      <c r="E72" s="230"/>
      <c r="G72" s="230"/>
      <c r="H72" s="230"/>
      <c r="I72" s="230"/>
      <c r="J72" s="230"/>
    </row>
    <row r="73" spans="1:21" x14ac:dyDescent="0.3">
      <c r="E73" s="230"/>
      <c r="G73" s="230"/>
      <c r="H73" s="230"/>
      <c r="I73" s="230"/>
      <c r="J73" s="230"/>
    </row>
    <row r="74" spans="1:21" x14ac:dyDescent="0.3">
      <c r="E74" s="230"/>
      <c r="G74" s="230"/>
      <c r="H74" s="230"/>
      <c r="I74" s="230"/>
      <c r="J74" s="230"/>
    </row>
    <row r="75" spans="1:21" x14ac:dyDescent="0.3">
      <c r="E75" s="230"/>
      <c r="G75" s="230"/>
      <c r="H75" s="230"/>
      <c r="I75" s="230"/>
      <c r="J75" s="230"/>
    </row>
    <row r="76" spans="1:21" x14ac:dyDescent="0.3">
      <c r="E76" s="230"/>
      <c r="G76" s="230"/>
      <c r="H76" s="230"/>
      <c r="I76" s="230"/>
      <c r="J76" s="230"/>
    </row>
  </sheetData>
  <mergeCells count="8">
    <mergeCell ref="A42:A53"/>
    <mergeCell ref="A54:A65"/>
    <mergeCell ref="V6:W6"/>
    <mergeCell ref="C3:D3"/>
    <mergeCell ref="A6:A17"/>
    <mergeCell ref="A18:A29"/>
    <mergeCell ref="A30:A41"/>
    <mergeCell ref="V14:V1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79415-38AD-4533-9805-6FB7AABDD336}">
  <dimension ref="A1:AB69"/>
  <sheetViews>
    <sheetView topLeftCell="A48" zoomScale="70" zoomScaleNormal="70" workbookViewId="0">
      <selection activeCell="T23" sqref="T23"/>
    </sheetView>
  </sheetViews>
  <sheetFormatPr baseColWidth="10" defaultColWidth="11.453125" defaultRowHeight="14.5" x14ac:dyDescent="0.35"/>
  <cols>
    <col min="1" max="1" width="5.7265625" style="114" bestFit="1" customWidth="1"/>
    <col min="2" max="2" width="43.26953125" style="49" bestFit="1" customWidth="1"/>
    <col min="3" max="3" width="16.453125" style="145" bestFit="1" customWidth="1"/>
    <col min="4" max="4" width="11.54296875" style="145" customWidth="1"/>
    <col min="5" max="5" width="16.453125" style="145" bestFit="1" customWidth="1"/>
    <col min="6" max="6" width="15.453125" style="145" bestFit="1" customWidth="1"/>
    <col min="8" max="8" width="16.453125" style="145" bestFit="1" customWidth="1"/>
    <col min="9" max="9" width="15.453125" style="145" bestFit="1" customWidth="1"/>
    <col min="10" max="10" width="16.81640625" style="145" bestFit="1" customWidth="1"/>
    <col min="11" max="11" width="15" style="145" bestFit="1" customWidth="1"/>
    <col min="12" max="12" width="16.81640625" style="145" bestFit="1" customWidth="1"/>
    <col min="13" max="13" width="16" style="145" bestFit="1" customWidth="1"/>
    <col min="14" max="14" width="16.81640625" style="145" bestFit="1" customWidth="1"/>
    <col min="15" max="15" width="16.453125" style="145" bestFit="1" customWidth="1"/>
    <col min="16" max="16" width="16.81640625" style="145" bestFit="1" customWidth="1"/>
    <col min="17" max="17" width="16" style="145" bestFit="1" customWidth="1"/>
    <col min="20" max="20" width="16.453125" style="145" bestFit="1" customWidth="1"/>
    <col min="21" max="21" width="15.453125" style="145" bestFit="1" customWidth="1"/>
    <col min="24" max="24" width="12.81640625" bestFit="1" customWidth="1"/>
    <col min="25" max="25" width="11.81640625" bestFit="1" customWidth="1"/>
    <col min="26" max="26" width="13.81640625" bestFit="1" customWidth="1"/>
    <col min="27" max="27" width="23" bestFit="1" customWidth="1"/>
    <col min="28" max="28" width="3.26953125" bestFit="1" customWidth="1"/>
  </cols>
  <sheetData>
    <row r="1" spans="1:28" x14ac:dyDescent="0.35">
      <c r="C1" s="444" t="s">
        <v>943</v>
      </c>
      <c r="D1" s="444"/>
      <c r="E1" s="444"/>
      <c r="F1" s="444"/>
      <c r="H1" s="444">
        <v>2023</v>
      </c>
      <c r="I1" s="444"/>
      <c r="J1" s="444">
        <v>2024</v>
      </c>
      <c r="K1" s="444"/>
      <c r="L1" s="444">
        <v>2025</v>
      </c>
      <c r="M1" s="444"/>
      <c r="N1" s="444">
        <v>2026</v>
      </c>
      <c r="O1" s="444"/>
      <c r="P1" s="444">
        <v>2027</v>
      </c>
      <c r="Q1" s="444"/>
    </row>
    <row r="2" spans="1:28" x14ac:dyDescent="0.35">
      <c r="C2" s="440" t="s">
        <v>239</v>
      </c>
      <c r="D2" s="440"/>
      <c r="E2" s="440"/>
      <c r="F2" s="440"/>
      <c r="H2" s="440" t="s">
        <v>240</v>
      </c>
      <c r="I2" s="440"/>
      <c r="J2" s="440" t="s">
        <v>241</v>
      </c>
      <c r="K2" s="440"/>
      <c r="L2" s="440" t="s">
        <v>242</v>
      </c>
      <c r="M2" s="440"/>
      <c r="N2" s="440" t="s">
        <v>243</v>
      </c>
      <c r="O2" s="440"/>
      <c r="P2" s="440" t="s">
        <v>244</v>
      </c>
      <c r="Q2" s="440"/>
      <c r="R2" s="158"/>
      <c r="S2" s="167"/>
      <c r="T2" s="439" t="s">
        <v>245</v>
      </c>
      <c r="U2" s="440"/>
      <c r="W2" s="448" t="s">
        <v>961</v>
      </c>
      <c r="X2" s="448"/>
      <c r="Y2" s="448"/>
      <c r="Z2" s="448"/>
      <c r="AA2" s="448"/>
    </row>
    <row r="3" spans="1:28" ht="15" thickBot="1" x14ac:dyDescent="0.4">
      <c r="C3" s="160"/>
      <c r="D3" s="160"/>
      <c r="E3" s="438">
        <f>General!C61</f>
        <v>8.7200000000002547</v>
      </c>
      <c r="F3" s="439"/>
      <c r="H3" s="438">
        <f>General!$C62</f>
        <v>12.180000000000291</v>
      </c>
      <c r="I3" s="439"/>
      <c r="J3" s="438">
        <f>General!$C63</f>
        <v>15.640000000000327</v>
      </c>
      <c r="K3" s="439"/>
      <c r="L3" s="438">
        <f>General!$C64</f>
        <v>19.100000000000364</v>
      </c>
      <c r="M3" s="439"/>
      <c r="N3" s="438">
        <f>General!$C65</f>
        <v>22.5600000000004</v>
      </c>
      <c r="O3" s="439"/>
      <c r="P3" s="438">
        <f>General!$C66</f>
        <v>26.020000000000437</v>
      </c>
      <c r="Q3" s="443"/>
      <c r="R3" s="158"/>
      <c r="S3" s="167"/>
      <c r="T3" s="162"/>
      <c r="U3" s="160"/>
      <c r="Y3" t="s">
        <v>966</v>
      </c>
      <c r="Z3" t="s">
        <v>967</v>
      </c>
      <c r="AA3" t="s">
        <v>968</v>
      </c>
    </row>
    <row r="4" spans="1:28" ht="15" thickBot="1" x14ac:dyDescent="0.4">
      <c r="C4" s="432" t="s">
        <v>246</v>
      </c>
      <c r="D4" s="432"/>
      <c r="E4" s="434" t="s">
        <v>247</v>
      </c>
      <c r="F4" s="434" t="s">
        <v>248</v>
      </c>
      <c r="H4" s="436" t="s">
        <v>247</v>
      </c>
      <c r="I4" s="436" t="s">
        <v>248</v>
      </c>
      <c r="J4" s="436" t="s">
        <v>247</v>
      </c>
      <c r="K4" s="436" t="s">
        <v>248</v>
      </c>
      <c r="L4" s="436" t="s">
        <v>247</v>
      </c>
      <c r="M4" s="436" t="s">
        <v>248</v>
      </c>
      <c r="N4" s="436" t="s">
        <v>247</v>
      </c>
      <c r="O4" s="436" t="s">
        <v>248</v>
      </c>
      <c r="P4" s="436" t="s">
        <v>247</v>
      </c>
      <c r="Q4" s="441" t="s">
        <v>248</v>
      </c>
      <c r="R4" s="158"/>
      <c r="S4" s="167"/>
      <c r="T4" s="449" t="s">
        <v>247</v>
      </c>
      <c r="U4" s="436" t="s">
        <v>248</v>
      </c>
      <c r="W4" s="210">
        <v>2022</v>
      </c>
      <c r="X4" s="211" t="s">
        <v>959</v>
      </c>
      <c r="Y4" s="226">
        <f>C23</f>
        <v>21330456.995073434</v>
      </c>
      <c r="Z4" s="226">
        <f>C44+C55+C61+C65</f>
        <v>6433716.3284067689</v>
      </c>
      <c r="AA4" s="224">
        <f>$C$67</f>
        <v>27764173.323480204</v>
      </c>
    </row>
    <row r="5" spans="1:28" x14ac:dyDescent="0.35">
      <c r="B5" s="24" t="s">
        <v>249</v>
      </c>
      <c r="C5" s="433"/>
      <c r="D5" s="433"/>
      <c r="E5" s="435"/>
      <c r="F5" s="435"/>
      <c r="H5" s="437"/>
      <c r="I5" s="437"/>
      <c r="J5" s="437"/>
      <c r="K5" s="437"/>
      <c r="L5" s="437"/>
      <c r="M5" s="437"/>
      <c r="N5" s="437"/>
      <c r="O5" s="437"/>
      <c r="P5" s="437"/>
      <c r="Q5" s="442"/>
      <c r="R5" s="158"/>
      <c r="S5" s="167"/>
      <c r="T5" s="450"/>
      <c r="U5" s="437"/>
      <c r="W5" s="445">
        <v>2023</v>
      </c>
      <c r="X5" s="208" t="s">
        <v>960</v>
      </c>
      <c r="Y5" s="227">
        <f>$I$23</f>
        <v>6294397.7590280687</v>
      </c>
      <c r="Z5" s="227">
        <f>$I$44+$I$55+$I$61+$I$65</f>
        <v>3362994.627326312</v>
      </c>
      <c r="AA5" s="212">
        <f>$I$67</f>
        <v>9657392.3863543812</v>
      </c>
      <c r="AB5" s="89">
        <f>SUM(Y5:Z5)</f>
        <v>9657392.3863543812</v>
      </c>
    </row>
    <row r="6" spans="1:28" x14ac:dyDescent="0.35">
      <c r="A6" s="151">
        <v>1</v>
      </c>
      <c r="B6" s="147" t="s">
        <v>250</v>
      </c>
      <c r="C6" s="152"/>
      <c r="D6" s="152"/>
      <c r="E6" s="152"/>
      <c r="F6" s="152"/>
      <c r="H6" s="152"/>
      <c r="I6" s="152"/>
      <c r="J6" s="152"/>
      <c r="K6" s="152"/>
      <c r="L6" s="152"/>
      <c r="M6" s="152"/>
      <c r="N6" s="152"/>
      <c r="O6" s="152"/>
      <c r="P6" s="152"/>
      <c r="Q6" s="161"/>
      <c r="R6" s="158"/>
      <c r="S6" s="167"/>
      <c r="T6" s="163"/>
      <c r="U6" s="152"/>
      <c r="W6" s="446"/>
      <c r="X6" t="s">
        <v>956</v>
      </c>
      <c r="Y6" s="89">
        <f>$I$23</f>
        <v>6294397.7590280687</v>
      </c>
      <c r="Z6" s="89">
        <f>$I$44+$I$55+$I$61+$I$65</f>
        <v>3362994.627326312</v>
      </c>
      <c r="AA6" s="213">
        <f>$I$67</f>
        <v>9657392.3863543812</v>
      </c>
    </row>
    <row r="7" spans="1:28" x14ac:dyDescent="0.35">
      <c r="A7" s="55" t="s">
        <v>251</v>
      </c>
      <c r="B7" s="117" t="s">
        <v>252</v>
      </c>
      <c r="C7" s="122">
        <f>CostoMateriaPrimaDelProducto!$C$21</f>
        <v>4000000</v>
      </c>
      <c r="D7" s="122"/>
      <c r="E7" s="122">
        <f>CostoMateriaPrimaDelProducto!$C$21</f>
        <v>4000000</v>
      </c>
      <c r="F7" s="122">
        <f>CostoMateriaPrimaDelProducto!$C$21</f>
        <v>4000000</v>
      </c>
      <c r="H7" s="122">
        <f>T7*(1+$H$3%)</f>
        <v>4127299.4849153804</v>
      </c>
      <c r="I7" s="122">
        <f>U7*(1+$H$3%)</f>
        <v>4127299.4849153804</v>
      </c>
      <c r="J7" s="122">
        <f>T7*(1+$J$3%)</f>
        <v>4254598.9698307598</v>
      </c>
      <c r="K7" s="122">
        <f>U7*(1+$J$3%)</f>
        <v>4254598.9698307598</v>
      </c>
      <c r="L7" s="122">
        <f>T7*(1+$L$3%)</f>
        <v>4381898.4547461402</v>
      </c>
      <c r="M7" s="122">
        <f>U7*(1+$L$3%)</f>
        <v>4381898.4547461402</v>
      </c>
      <c r="N7" s="122">
        <f>T7*(1+$N$3%)</f>
        <v>4509197.9396615196</v>
      </c>
      <c r="O7" s="122">
        <f>U7*(1+$N$3%)</f>
        <v>4509197.9396615196</v>
      </c>
      <c r="P7" s="122">
        <f>T7*(1+$P$3%)</f>
        <v>4636497.4245769</v>
      </c>
      <c r="Q7" s="122">
        <f>U7*(1+$P$3%)</f>
        <v>4636497.4245769</v>
      </c>
      <c r="R7" s="158"/>
      <c r="S7" s="167"/>
      <c r="T7" s="164">
        <f>E7/(1+$E$3%)</f>
        <v>3679175.8646063195</v>
      </c>
      <c r="U7" s="164">
        <f>F7/(1+$E$3%)</f>
        <v>3679175.8646063195</v>
      </c>
      <c r="W7" s="446"/>
      <c r="X7" t="s">
        <v>949</v>
      </c>
      <c r="Y7" s="89">
        <f>$H$23</f>
        <v>18253754.298640527</v>
      </c>
      <c r="Z7" s="89">
        <f>$H$44+$H$55+$H$61+$H$65</f>
        <v>3362994.627326312</v>
      </c>
      <c r="AA7" s="213">
        <f>$H$67</f>
        <v>21616748.92596684</v>
      </c>
    </row>
    <row r="8" spans="1:28" x14ac:dyDescent="0.35">
      <c r="A8" s="55" t="s">
        <v>253</v>
      </c>
      <c r="B8" s="117" t="s">
        <v>254</v>
      </c>
      <c r="C8" s="122">
        <f>SUM(C9:C12)</f>
        <v>15279240.666666666</v>
      </c>
      <c r="D8" s="122"/>
      <c r="E8" s="122">
        <f>SUM(E9:E12)</f>
        <v>11607399.5</v>
      </c>
      <c r="F8" s="122">
        <f>SUM(F9:F12)</f>
        <v>16908.833333333336</v>
      </c>
      <c r="H8" s="122">
        <f t="shared" ref="H8:H67" si="0">T8*(1+$H$3%)</f>
        <v>11976803.494389258</v>
      </c>
      <c r="I8" s="122">
        <f t="shared" ref="I8:I67" si="1">U8*(1+$H$3%)</f>
        <v>17446.954776796672</v>
      </c>
      <c r="J8" s="122">
        <f t="shared" ref="J8:K67" si="2">T8*(1+$J$3%)</f>
        <v>12346207.488778517</v>
      </c>
      <c r="K8" s="122">
        <f t="shared" si="2"/>
        <v>17985.076220260005</v>
      </c>
      <c r="L8" s="122">
        <f t="shared" ref="L8:M67" si="3">T8*(1+$L$3%)</f>
        <v>12715611.483167777</v>
      </c>
      <c r="M8" s="122">
        <f t="shared" si="3"/>
        <v>18523.197663723342</v>
      </c>
      <c r="N8" s="122">
        <f t="shared" ref="N8:O67" si="4">T8*(1+$N$3%)</f>
        <v>13085015.477557037</v>
      </c>
      <c r="O8" s="122">
        <f t="shared" si="4"/>
        <v>19061.319107186679</v>
      </c>
      <c r="P8" s="122">
        <f t="shared" ref="P8:Q67" si="5">T8*(1+$P$3%)</f>
        <v>13454419.471946297</v>
      </c>
      <c r="Q8" s="122">
        <f t="shared" si="5"/>
        <v>19599.440550650015</v>
      </c>
      <c r="R8" s="159"/>
      <c r="S8" s="168"/>
      <c r="T8" s="164">
        <f t="shared" ref="T8" si="6">SUM(T9:T12)</f>
        <v>10676416.022810863</v>
      </c>
      <c r="U8" s="122">
        <f>SUM(U9:U12)</f>
        <v>15552.642874662708</v>
      </c>
      <c r="W8" s="446"/>
      <c r="X8" t="s">
        <v>957</v>
      </c>
      <c r="Y8" s="89">
        <f>$I$23</f>
        <v>6294397.7590280687</v>
      </c>
      <c r="Z8" s="89">
        <f>$I$44+$I$55+$I$61+$I$65</f>
        <v>3362994.627326312</v>
      </c>
      <c r="AA8" s="213">
        <f>$I$67</f>
        <v>9657392.3863543812</v>
      </c>
      <c r="AB8" s="89">
        <f>SUM(AA7:AA8)</f>
        <v>31274141.312321223</v>
      </c>
    </row>
    <row r="9" spans="1:28" x14ac:dyDescent="0.35">
      <c r="A9" s="55" t="s">
        <v>255</v>
      </c>
      <c r="B9" s="55" t="s">
        <v>256</v>
      </c>
      <c r="C9" s="143">
        <f>CostoMateriaPrimaDelProducto!$C$19</f>
        <v>10425020.666666666</v>
      </c>
      <c r="D9" s="143"/>
      <c r="E9" s="143">
        <f>CostoMateriaPrimaDelProducto!$C$19</f>
        <v>10425020.666666666</v>
      </c>
      <c r="F9" s="143">
        <v>0</v>
      </c>
      <c r="H9" s="143">
        <f t="shared" si="0"/>
        <v>10756795.60694138</v>
      </c>
      <c r="I9" s="143">
        <f t="shared" si="1"/>
        <v>0</v>
      </c>
      <c r="J9" s="143">
        <f t="shared" si="2"/>
        <v>11088570.547216093</v>
      </c>
      <c r="K9" s="143">
        <f t="shared" si="2"/>
        <v>0</v>
      </c>
      <c r="L9" s="143">
        <f t="shared" si="3"/>
        <v>11420345.487490809</v>
      </c>
      <c r="M9" s="143">
        <f t="shared" si="3"/>
        <v>0</v>
      </c>
      <c r="N9" s="143">
        <f t="shared" si="4"/>
        <v>11752120.427765522</v>
      </c>
      <c r="O9" s="143">
        <f t="shared" si="4"/>
        <v>0</v>
      </c>
      <c r="P9" s="143">
        <f t="shared" si="5"/>
        <v>12083895.368040238</v>
      </c>
      <c r="Q9" s="143">
        <f t="shared" si="5"/>
        <v>0</v>
      </c>
      <c r="R9" s="158"/>
      <c r="S9" s="167"/>
      <c r="T9" s="170">
        <f>E9/(1+$E$3%)</f>
        <v>9588871.1062055193</v>
      </c>
      <c r="U9" s="170">
        <f>F9/(1+$E$3%)</f>
        <v>0</v>
      </c>
      <c r="W9" s="446"/>
      <c r="X9" t="s">
        <v>951</v>
      </c>
      <c r="Y9" s="89">
        <f>$H$23</f>
        <v>18253754.298640527</v>
      </c>
      <c r="Z9" s="89">
        <f>$H$44+$H$55+$H$61+$H$65</f>
        <v>3362994.627326312</v>
      </c>
      <c r="AA9" s="213">
        <f>$H$67</f>
        <v>21616748.92596684</v>
      </c>
    </row>
    <row r="10" spans="1:28" x14ac:dyDescent="0.35">
      <c r="A10" s="55" t="s">
        <v>257</v>
      </c>
      <c r="B10" s="55" t="s">
        <v>258</v>
      </c>
      <c r="C10" s="143">
        <f>'Costo.Herr.Serv.'!$J$11</f>
        <v>1165470</v>
      </c>
      <c r="D10" s="143"/>
      <c r="E10" s="143">
        <f>'Costo.Herr.Serv.'!$J$11</f>
        <v>1165470</v>
      </c>
      <c r="F10" s="143">
        <v>0</v>
      </c>
      <c r="H10" s="143">
        <f t="shared" si="0"/>
        <v>1202560.932671082</v>
      </c>
      <c r="I10" s="143">
        <f t="shared" si="1"/>
        <v>0</v>
      </c>
      <c r="J10" s="143">
        <f t="shared" si="2"/>
        <v>1239651.8653421637</v>
      </c>
      <c r="K10" s="143">
        <f t="shared" si="2"/>
        <v>0</v>
      </c>
      <c r="L10" s="143">
        <f t="shared" si="3"/>
        <v>1276742.7980132459</v>
      </c>
      <c r="M10" s="143">
        <f t="shared" si="3"/>
        <v>0</v>
      </c>
      <c r="N10" s="143">
        <f t="shared" si="4"/>
        <v>1313833.7306843279</v>
      </c>
      <c r="O10" s="143">
        <f t="shared" si="4"/>
        <v>0</v>
      </c>
      <c r="P10" s="143">
        <f t="shared" si="5"/>
        <v>1350924.6633554099</v>
      </c>
      <c r="Q10" s="143">
        <f t="shared" si="5"/>
        <v>0</v>
      </c>
      <c r="R10" s="158"/>
      <c r="S10" s="167"/>
      <c r="T10" s="170">
        <f t="shared" ref="T10:U12" si="7">E10/(1+$E$3%)</f>
        <v>1071992.2737306817</v>
      </c>
      <c r="U10" s="170">
        <f t="shared" si="7"/>
        <v>0</v>
      </c>
      <c r="W10" s="446"/>
      <c r="X10" t="s">
        <v>950</v>
      </c>
      <c r="Y10" s="89">
        <f>$I$23</f>
        <v>6294397.7590280687</v>
      </c>
      <c r="Z10" s="89">
        <f>$I$44+$I$55+$I$61+$I$65</f>
        <v>3362994.627326312</v>
      </c>
      <c r="AA10" s="213">
        <f>$I$67</f>
        <v>9657392.3863543812</v>
      </c>
    </row>
    <row r="11" spans="1:28" x14ac:dyDescent="0.35">
      <c r="A11" s="55" t="s">
        <v>259</v>
      </c>
      <c r="B11" s="55" t="s">
        <v>260</v>
      </c>
      <c r="C11" s="143">
        <f>'Costo.Herr.Serv.'!$D$31</f>
        <v>3688750</v>
      </c>
      <c r="D11" s="143"/>
      <c r="E11" s="143">
        <v>0</v>
      </c>
      <c r="F11" s="143">
        <v>0</v>
      </c>
      <c r="H11" s="143">
        <f t="shared" si="0"/>
        <v>0</v>
      </c>
      <c r="I11" s="143">
        <f t="shared" si="1"/>
        <v>0</v>
      </c>
      <c r="J11" s="143">
        <f t="shared" si="2"/>
        <v>0</v>
      </c>
      <c r="K11" s="143">
        <f t="shared" si="2"/>
        <v>0</v>
      </c>
      <c r="L11" s="143">
        <f t="shared" si="3"/>
        <v>0</v>
      </c>
      <c r="M11" s="143">
        <f t="shared" si="3"/>
        <v>0</v>
      </c>
      <c r="N11" s="143">
        <f t="shared" si="4"/>
        <v>0</v>
      </c>
      <c r="O11" s="143">
        <f t="shared" si="4"/>
        <v>0</v>
      </c>
      <c r="P11" s="143">
        <f t="shared" si="5"/>
        <v>0</v>
      </c>
      <c r="Q11" s="143">
        <f t="shared" si="5"/>
        <v>0</v>
      </c>
      <c r="R11" s="158"/>
      <c r="S11" s="167"/>
      <c r="T11" s="170">
        <f t="shared" si="7"/>
        <v>0</v>
      </c>
      <c r="U11" s="170">
        <f t="shared" si="7"/>
        <v>0</v>
      </c>
      <c r="W11" s="446"/>
      <c r="X11" t="s">
        <v>952</v>
      </c>
      <c r="Y11" s="89">
        <f>$H$23</f>
        <v>18253754.298640527</v>
      </c>
      <c r="Z11" s="89">
        <f>$H$44+$H$55+$H$61+$H$65</f>
        <v>3362994.627326312</v>
      </c>
      <c r="AA11" s="213">
        <f>$H$67</f>
        <v>21616748.92596684</v>
      </c>
    </row>
    <row r="12" spans="1:28" x14ac:dyDescent="0.35">
      <c r="A12" s="55" t="s">
        <v>261</v>
      </c>
      <c r="B12" s="55" t="s">
        <v>262</v>
      </c>
      <c r="C12" s="143">
        <v>0</v>
      </c>
      <c r="D12" s="143"/>
      <c r="E12" s="143">
        <f>'Costo.Herr.Serv.'!$G$31</f>
        <v>16908.833333333336</v>
      </c>
      <c r="F12" s="143">
        <f>'Costo.Herr.Serv.'!$G$31</f>
        <v>16908.833333333336</v>
      </c>
      <c r="H12" s="143">
        <f t="shared" si="0"/>
        <v>17446.954776796672</v>
      </c>
      <c r="I12" s="143">
        <f t="shared" si="1"/>
        <v>17446.954776796672</v>
      </c>
      <c r="J12" s="143">
        <f t="shared" si="2"/>
        <v>17985.076220260005</v>
      </c>
      <c r="K12" s="143">
        <f t="shared" si="2"/>
        <v>17985.076220260005</v>
      </c>
      <c r="L12" s="143">
        <f t="shared" si="3"/>
        <v>18523.197663723342</v>
      </c>
      <c r="M12" s="143">
        <f t="shared" si="3"/>
        <v>18523.197663723342</v>
      </c>
      <c r="N12" s="143">
        <f t="shared" si="4"/>
        <v>19061.319107186679</v>
      </c>
      <c r="O12" s="143">
        <f t="shared" si="4"/>
        <v>19061.319107186679</v>
      </c>
      <c r="P12" s="143">
        <f t="shared" si="5"/>
        <v>19599.440550650015</v>
      </c>
      <c r="Q12" s="143">
        <f t="shared" si="5"/>
        <v>19599.440550650015</v>
      </c>
      <c r="R12" s="158"/>
      <c r="S12" s="167"/>
      <c r="T12" s="170">
        <f t="shared" si="7"/>
        <v>15552.642874662708</v>
      </c>
      <c r="U12" s="170">
        <f t="shared" si="7"/>
        <v>15552.642874662708</v>
      </c>
      <c r="W12" s="446"/>
      <c r="X12" t="s">
        <v>953</v>
      </c>
      <c r="Y12" s="89">
        <f>$I$23</f>
        <v>6294397.7590280687</v>
      </c>
      <c r="Z12" s="89">
        <f>$I$44+$I$55+$I$61+$I$65</f>
        <v>3362994.627326312</v>
      </c>
      <c r="AA12" s="213">
        <f>$I$67</f>
        <v>9657392.3863543812</v>
      </c>
    </row>
    <row r="13" spans="1:28" x14ac:dyDescent="0.35">
      <c r="A13" s="55" t="s">
        <v>263</v>
      </c>
      <c r="B13" s="117" t="s">
        <v>264</v>
      </c>
      <c r="C13" s="122">
        <f>SUM(C14:C18)</f>
        <v>1851216.3284067686</v>
      </c>
      <c r="D13" s="122"/>
      <c r="E13" s="122">
        <f>SUM(E14:E18)</f>
        <v>1851216.3284067686</v>
      </c>
      <c r="F13" s="122">
        <f>SUM(F14:F18)</f>
        <v>1851216.3284067686</v>
      </c>
      <c r="H13" s="122">
        <f t="shared" si="0"/>
        <v>1910131.0496750495</v>
      </c>
      <c r="I13" s="122">
        <f t="shared" si="1"/>
        <v>1910131.0496750495</v>
      </c>
      <c r="J13" s="122">
        <f t="shared" si="2"/>
        <v>1969045.7709433299</v>
      </c>
      <c r="K13" s="122">
        <f t="shared" si="2"/>
        <v>1969045.7709433299</v>
      </c>
      <c r="L13" s="122">
        <f t="shared" si="3"/>
        <v>2027960.4922116105</v>
      </c>
      <c r="M13" s="122">
        <f t="shared" si="3"/>
        <v>2027960.4922116105</v>
      </c>
      <c r="N13" s="122">
        <f t="shared" si="4"/>
        <v>2086875.2134798914</v>
      </c>
      <c r="O13" s="122">
        <f t="shared" si="4"/>
        <v>2086875.2134798914</v>
      </c>
      <c r="P13" s="122">
        <f t="shared" si="5"/>
        <v>2145789.9347481718</v>
      </c>
      <c r="Q13" s="122">
        <f t="shared" si="5"/>
        <v>2145789.9347481718</v>
      </c>
      <c r="R13" s="159"/>
      <c r="S13" s="168"/>
      <c r="T13" s="164">
        <f t="shared" ref="T13" si="8">SUM(T14:T18)</f>
        <v>1702737.6089098274</v>
      </c>
      <c r="U13" s="122">
        <f>SUM(U14:U18)</f>
        <v>1702737.6089098274</v>
      </c>
      <c r="W13" s="446"/>
      <c r="X13" t="s">
        <v>954</v>
      </c>
      <c r="Y13" s="89">
        <f>$H$23</f>
        <v>18253754.298640527</v>
      </c>
      <c r="Z13" s="89">
        <f>$H$44+$H$55+$H$61+$H$65</f>
        <v>3362994.627326312</v>
      </c>
      <c r="AA13" s="213">
        <f>$H$67</f>
        <v>21616748.92596684</v>
      </c>
    </row>
    <row r="14" spans="1:28" x14ac:dyDescent="0.35">
      <c r="A14" s="55" t="s">
        <v>265</v>
      </c>
      <c r="B14" s="55" t="s">
        <v>266</v>
      </c>
      <c r="C14" s="143">
        <f>Nomina!$Z$4</f>
        <v>1175422</v>
      </c>
      <c r="D14" s="143"/>
      <c r="E14" s="143">
        <f>Nomina!$Z$4</f>
        <v>1175422</v>
      </c>
      <c r="F14" s="143">
        <f>Nomina!$Z$4</f>
        <v>1175422</v>
      </c>
      <c r="H14" s="143">
        <f>Nomina!$Z$10</f>
        <v>1218766.5290642881</v>
      </c>
      <c r="I14" s="143">
        <f>Nomina!$Z$12</f>
        <v>1218766.5290642881</v>
      </c>
      <c r="J14" s="143">
        <f>Nomina!$Z$16</f>
        <v>1274494.4673178643</v>
      </c>
      <c r="K14" s="143">
        <f>Nomina!$Z$18</f>
        <v>1274494.4673178643</v>
      </c>
      <c r="L14" s="143">
        <f>Nomina!$Z$22</f>
        <v>1330222.4055714402</v>
      </c>
      <c r="M14" s="143">
        <f>Nomina!$Z$24</f>
        <v>1330222.4055714402</v>
      </c>
      <c r="N14" s="143">
        <f>Nomina!$Z$28</f>
        <v>1385950.3438250003</v>
      </c>
      <c r="O14" s="143">
        <f>Nomina!$Z$30</f>
        <v>1385950.3438250003</v>
      </c>
      <c r="P14" s="143">
        <f>Nomina!$Z$34</f>
        <v>1441678.2820785765</v>
      </c>
      <c r="Q14" s="143">
        <f>Nomina!$Z$36</f>
        <v>1441678.2820785765</v>
      </c>
      <c r="R14" s="158"/>
      <c r="S14" s="167"/>
      <c r="T14" s="170">
        <f>E14/(1+$E$3%)</f>
        <v>1081146.0632818223</v>
      </c>
      <c r="U14" s="170">
        <f>F14/(1+$E$3%)</f>
        <v>1081146.0632818223</v>
      </c>
      <c r="W14" s="446"/>
      <c r="X14" t="s">
        <v>955</v>
      </c>
      <c r="Y14" s="89">
        <f>$I$23</f>
        <v>6294397.7590280687</v>
      </c>
      <c r="Z14" s="89">
        <f>$I$44+$I$55+$I$61+$I$65</f>
        <v>3362994.627326312</v>
      </c>
      <c r="AA14" s="213">
        <f>$I$67</f>
        <v>9657392.3863543812</v>
      </c>
    </row>
    <row r="15" spans="1:28" x14ac:dyDescent="0.35">
      <c r="A15" s="55" t="s">
        <v>267</v>
      </c>
      <c r="B15" s="55" t="s">
        <v>268</v>
      </c>
      <c r="C15" s="143">
        <f>Nomina!$AW$4</f>
        <v>228577.0367429826</v>
      </c>
      <c r="D15" s="143"/>
      <c r="E15" s="143">
        <f>Nomina!$AW$4</f>
        <v>228577.0367429826</v>
      </c>
      <c r="F15" s="143">
        <f>Nomina!$AW$4</f>
        <v>228577.0367429826</v>
      </c>
      <c r="H15" s="143">
        <f>Nomina!$AW$10</f>
        <v>228577.0367429826</v>
      </c>
      <c r="I15" s="143">
        <f>Nomina!$AW$12</f>
        <v>228577.0367429826</v>
      </c>
      <c r="J15" s="143">
        <f>Nomina!$AW$16</f>
        <v>228577.0367429826</v>
      </c>
      <c r="K15" s="143">
        <f>Nomina!$AW$18</f>
        <v>228577.0367429826</v>
      </c>
      <c r="L15" s="143">
        <f>Nomina!$AW$22</f>
        <v>228577.0367429826</v>
      </c>
      <c r="M15" s="143">
        <f>Nomina!$AW$24</f>
        <v>228577.0367429826</v>
      </c>
      <c r="N15" s="143">
        <f>Nomina!$AW$28</f>
        <v>228577.0367429826</v>
      </c>
      <c r="O15" s="143">
        <f>Nomina!$AW$30</f>
        <v>228577.0367429826</v>
      </c>
      <c r="P15" s="143">
        <f>Nomina!$AW$34</f>
        <v>228577.0367429826</v>
      </c>
      <c r="Q15" s="143">
        <f>Nomina!$AW$36</f>
        <v>228577.0367429826</v>
      </c>
      <c r="R15" s="158"/>
      <c r="S15" s="167"/>
      <c r="T15" s="170">
        <f t="shared" ref="T15:T18" si="9">E15/(1+$E$3%)</f>
        <v>210243.77919700337</v>
      </c>
      <c r="U15" s="170">
        <f t="shared" ref="U15:U18" si="10">F15/(1+$E$3%)</f>
        <v>210243.77919700337</v>
      </c>
      <c r="W15" s="446"/>
      <c r="X15" t="s">
        <v>958</v>
      </c>
      <c r="Y15" s="89">
        <f>$H$23</f>
        <v>18253754.298640527</v>
      </c>
      <c r="Z15" s="89">
        <f>$H$44+$H$55+$H$61+$H$65</f>
        <v>3362994.627326312</v>
      </c>
      <c r="AA15" s="213">
        <f>$H$67</f>
        <v>21616748.92596684</v>
      </c>
    </row>
    <row r="16" spans="1:28" ht="15" thickBot="1" x14ac:dyDescent="0.4">
      <c r="A16" s="55" t="s">
        <v>269</v>
      </c>
      <c r="B16" s="55" t="s">
        <v>270</v>
      </c>
      <c r="C16" s="143">
        <f>Nomina!$AR$4</f>
        <v>97859.068151785905</v>
      </c>
      <c r="D16" s="143"/>
      <c r="E16" s="143">
        <f>Nomina!$AR$4</f>
        <v>97859.068151785905</v>
      </c>
      <c r="F16" s="143">
        <f>Nomina!$AR$4</f>
        <v>97859.068151785905</v>
      </c>
      <c r="H16" s="143">
        <f>Nomina!$AR$10</f>
        <v>97859.068151785905</v>
      </c>
      <c r="I16" s="143">
        <f>Nomina!$AR$12</f>
        <v>97859.068151785905</v>
      </c>
      <c r="J16" s="143">
        <f>Nomina!$AR$16</f>
        <v>97859.068151785905</v>
      </c>
      <c r="K16" s="143">
        <f>Nomina!$AR$18</f>
        <v>97859.068151785905</v>
      </c>
      <c r="L16" s="143">
        <f>Nomina!$AR$22</f>
        <v>97859.068151785905</v>
      </c>
      <c r="M16" s="143">
        <f>Nomina!$AR$24</f>
        <v>97859.068151785905</v>
      </c>
      <c r="N16" s="143">
        <f>Nomina!$AR$28</f>
        <v>97859.068151785905</v>
      </c>
      <c r="O16" s="143">
        <f>Nomina!$AR$30</f>
        <v>97859.068151785905</v>
      </c>
      <c r="P16" s="143">
        <f>Nomina!$AR$34</f>
        <v>97859.068151785905</v>
      </c>
      <c r="Q16" s="143">
        <f>Nomina!$AR$36</f>
        <v>97859.068151785905</v>
      </c>
      <c r="R16" s="158"/>
      <c r="S16" s="167"/>
      <c r="T16" s="170">
        <f t="shared" si="9"/>
        <v>90010.180419228913</v>
      </c>
      <c r="U16" s="170">
        <f t="shared" si="10"/>
        <v>90010.180419228913</v>
      </c>
      <c r="W16" s="447"/>
      <c r="X16" s="209" t="s">
        <v>959</v>
      </c>
      <c r="Y16" s="228">
        <f>$I$23</f>
        <v>6294397.7590280687</v>
      </c>
      <c r="Z16" s="228">
        <f>$I$44+$I$55+$I$61+$I$65</f>
        <v>3362994.627326312</v>
      </c>
      <c r="AA16" s="214">
        <f>$I$67</f>
        <v>9657392.3863543812</v>
      </c>
    </row>
    <row r="17" spans="1:27" ht="51.75" customHeight="1" x14ac:dyDescent="0.35">
      <c r="A17" s="55" t="s">
        <v>271</v>
      </c>
      <c r="B17" s="140" t="s">
        <v>272</v>
      </c>
      <c r="C17" s="143">
        <f>Nomina!$AM$4</f>
        <v>249358.223512</v>
      </c>
      <c r="D17" s="143"/>
      <c r="E17" s="143">
        <f>Nomina!$AM$4</f>
        <v>249358.223512</v>
      </c>
      <c r="F17" s="143">
        <f>Nomina!$AM$4</f>
        <v>249358.223512</v>
      </c>
      <c r="H17" s="143">
        <f>Nomina!$AM$10</f>
        <v>258160.4745523514</v>
      </c>
      <c r="I17" s="143">
        <f>Nomina!$AM$12</f>
        <v>258160.4745523514</v>
      </c>
      <c r="J17" s="143">
        <f>Nomina!$AM$16</f>
        <v>270041.84995760873</v>
      </c>
      <c r="K17" s="143">
        <f>Nomina!$AM$18</f>
        <v>270041.84995760873</v>
      </c>
      <c r="L17" s="143">
        <f>Nomina!$AM$22</f>
        <v>281923.22536286595</v>
      </c>
      <c r="M17" s="143">
        <f>Nomina!$AM$24</f>
        <v>281923.22536286595</v>
      </c>
      <c r="N17" s="143">
        <f>Nomina!$AM$28</f>
        <v>293804.6007681198</v>
      </c>
      <c r="O17" s="143">
        <f>Nomina!$AM$30</f>
        <v>293804.6007681198</v>
      </c>
      <c r="P17" s="143">
        <f>Nomina!$AM$34</f>
        <v>305685.97617337707</v>
      </c>
      <c r="Q17" s="143">
        <f>Nomina!$AM$36</f>
        <v>305685.97617337707</v>
      </c>
      <c r="R17" s="158"/>
      <c r="S17" s="167"/>
      <c r="T17" s="170">
        <f t="shared" si="9"/>
        <v>229358.18939661462</v>
      </c>
      <c r="U17" s="170">
        <f t="shared" si="10"/>
        <v>229358.18939661462</v>
      </c>
      <c r="W17" s="445">
        <v>2024</v>
      </c>
      <c r="X17" s="208" t="s">
        <v>960</v>
      </c>
      <c r="Y17" s="227">
        <f>$J$23</f>
        <v>18816760.091770288</v>
      </c>
      <c r="Z17" s="227">
        <f>$J$44+$J$55+$J$61+$J$65</f>
        <v>3466720.4377252162</v>
      </c>
      <c r="AA17" s="212">
        <f>$J$67</f>
        <v>22283480.529495504</v>
      </c>
    </row>
    <row r="18" spans="1:27" x14ac:dyDescent="0.35">
      <c r="A18" s="55" t="s">
        <v>273</v>
      </c>
      <c r="B18" s="140" t="s">
        <v>274</v>
      </c>
      <c r="C18" s="143">
        <f>Nomina!$AX$4</f>
        <v>100000</v>
      </c>
      <c r="D18" s="143"/>
      <c r="E18" s="143">
        <f>Nomina!$AX$4</f>
        <v>100000</v>
      </c>
      <c r="F18" s="143">
        <f>Nomina!$AX$4</f>
        <v>100000</v>
      </c>
      <c r="H18" s="143">
        <f>Nomina!$AX$10</f>
        <v>100000</v>
      </c>
      <c r="I18" s="143">
        <f>Nomina!$AX$12</f>
        <v>100000</v>
      </c>
      <c r="J18" s="143">
        <f>Nomina!$AX$16</f>
        <v>100000</v>
      </c>
      <c r="K18" s="143">
        <f>Nomina!$AX$18</f>
        <v>100000</v>
      </c>
      <c r="L18" s="143">
        <f>Nomina!$AX$22</f>
        <v>100000</v>
      </c>
      <c r="M18" s="143">
        <f>Nomina!$AX$24</f>
        <v>100000</v>
      </c>
      <c r="N18" s="143">
        <f>Nomina!$AX$28</f>
        <v>100000</v>
      </c>
      <c r="O18" s="143">
        <f>Nomina!$AX$30</f>
        <v>100000</v>
      </c>
      <c r="P18" s="143">
        <f>Nomina!$AX$34</f>
        <v>100000</v>
      </c>
      <c r="Q18" s="143">
        <f>Nomina!$AX$36</f>
        <v>100000</v>
      </c>
      <c r="R18" s="158"/>
      <c r="S18" s="167"/>
      <c r="T18" s="170">
        <f t="shared" si="9"/>
        <v>91979.396615157981</v>
      </c>
      <c r="U18" s="170">
        <f t="shared" si="10"/>
        <v>91979.396615157981</v>
      </c>
      <c r="W18" s="446"/>
      <c r="X18" t="s">
        <v>956</v>
      </c>
      <c r="Y18" s="89">
        <f>$K$23</f>
        <v>6488537.6792120337</v>
      </c>
      <c r="Z18" s="89">
        <f>$K$44+$K$55+$K$61+$K$65</f>
        <v>3466720.4377252162</v>
      </c>
      <c r="AA18" s="213">
        <f>$K$67</f>
        <v>9955258.1169372499</v>
      </c>
    </row>
    <row r="19" spans="1:27" x14ac:dyDescent="0.35">
      <c r="A19" s="55" t="s">
        <v>275</v>
      </c>
      <c r="B19" s="117" t="s">
        <v>276</v>
      </c>
      <c r="C19" s="122">
        <f>SUM(C20)</f>
        <v>0</v>
      </c>
      <c r="D19" s="122"/>
      <c r="E19" s="122">
        <f>SUM(E20)</f>
        <v>0</v>
      </c>
      <c r="F19" s="122">
        <f>SUM(F20)</f>
        <v>0</v>
      </c>
      <c r="H19" s="122">
        <f t="shared" si="0"/>
        <v>0</v>
      </c>
      <c r="I19" s="122">
        <f t="shared" si="1"/>
        <v>0</v>
      </c>
      <c r="J19" s="122">
        <f t="shared" si="2"/>
        <v>0</v>
      </c>
      <c r="K19" s="122">
        <f t="shared" si="2"/>
        <v>0</v>
      </c>
      <c r="L19" s="122">
        <f t="shared" si="3"/>
        <v>0</v>
      </c>
      <c r="M19" s="122">
        <f t="shared" si="3"/>
        <v>0</v>
      </c>
      <c r="N19" s="122">
        <f t="shared" si="4"/>
        <v>0</v>
      </c>
      <c r="O19" s="122">
        <f t="shared" si="4"/>
        <v>0</v>
      </c>
      <c r="P19" s="122">
        <f t="shared" si="5"/>
        <v>0</v>
      </c>
      <c r="Q19" s="122">
        <f t="shared" si="5"/>
        <v>0</v>
      </c>
      <c r="R19" s="159"/>
      <c r="S19" s="168"/>
      <c r="T19" s="164">
        <f t="shared" ref="T19:U19" si="11">E19*(1-$E$3%)</f>
        <v>0</v>
      </c>
      <c r="U19" s="164">
        <f t="shared" si="11"/>
        <v>0</v>
      </c>
      <c r="W19" s="446"/>
      <c r="X19" t="s">
        <v>949</v>
      </c>
      <c r="Y19" s="89">
        <f>$J$23</f>
        <v>18816760.091770288</v>
      </c>
      <c r="Z19" s="89">
        <f>$J$44+$J$55+$J$61+$J$65</f>
        <v>3466720.4377252162</v>
      </c>
      <c r="AA19" s="213">
        <f>$J$67</f>
        <v>22283480.529495504</v>
      </c>
    </row>
    <row r="20" spans="1:27" x14ac:dyDescent="0.35">
      <c r="A20" s="55" t="s">
        <v>277</v>
      </c>
      <c r="B20" s="55" t="s">
        <v>278</v>
      </c>
      <c r="C20" s="143">
        <v>0</v>
      </c>
      <c r="D20" s="143"/>
      <c r="E20" s="143">
        <v>0</v>
      </c>
      <c r="F20" s="143">
        <v>0</v>
      </c>
      <c r="H20" s="143">
        <f t="shared" si="0"/>
        <v>0</v>
      </c>
      <c r="I20" s="143">
        <f t="shared" si="1"/>
        <v>0</v>
      </c>
      <c r="J20" s="143">
        <f t="shared" si="2"/>
        <v>0</v>
      </c>
      <c r="K20" s="143">
        <f t="shared" si="2"/>
        <v>0</v>
      </c>
      <c r="L20" s="143">
        <f t="shared" si="3"/>
        <v>0</v>
      </c>
      <c r="M20" s="143">
        <f t="shared" si="3"/>
        <v>0</v>
      </c>
      <c r="N20" s="143">
        <f t="shared" si="4"/>
        <v>0</v>
      </c>
      <c r="O20" s="143">
        <f t="shared" si="4"/>
        <v>0</v>
      </c>
      <c r="P20" s="143">
        <f t="shared" si="5"/>
        <v>0</v>
      </c>
      <c r="Q20" s="143">
        <f t="shared" si="5"/>
        <v>0</v>
      </c>
      <c r="R20" s="158"/>
      <c r="S20" s="167"/>
      <c r="T20" s="170">
        <f t="shared" ref="T20:U22" si="12">E20/(1+$E$3%)</f>
        <v>0</v>
      </c>
      <c r="U20" s="170">
        <f t="shared" si="12"/>
        <v>0</v>
      </c>
      <c r="W20" s="446"/>
      <c r="X20" t="s">
        <v>957</v>
      </c>
      <c r="Y20" s="89">
        <f>$K$23</f>
        <v>6488537.6792120337</v>
      </c>
      <c r="Z20" s="89">
        <f>$K$44+$K$55+$K$61+$K$65</f>
        <v>3466720.4377252162</v>
      </c>
      <c r="AA20" s="213">
        <f>$K$67</f>
        <v>9955258.1169372499</v>
      </c>
    </row>
    <row r="21" spans="1:27" x14ac:dyDescent="0.35">
      <c r="A21" s="55" t="s">
        <v>279</v>
      </c>
      <c r="B21" s="117" t="s">
        <v>280</v>
      </c>
      <c r="C21" s="201">
        <v>200000</v>
      </c>
      <c r="D21" s="122"/>
      <c r="E21" s="122">
        <f>Arriendo!$B$29*Arriendo!$A$15</f>
        <v>220000</v>
      </c>
      <c r="F21" s="122">
        <f>Arriendo!$B$29*Arriendo!$A$15</f>
        <v>220000</v>
      </c>
      <c r="H21" s="122">
        <f>Arriendo!$B$30*Arriendo!$A$15</f>
        <v>219118.27080000052</v>
      </c>
      <c r="I21" s="122">
        <f>Arriendo!$B$30*Arriendo!$A$15</f>
        <v>219118.27080000052</v>
      </c>
      <c r="J21" s="122">
        <f>Arriendo!$B$31*Arriendo!$A$15</f>
        <v>221007.75840000054</v>
      </c>
      <c r="K21" s="122">
        <f>Arriendo!$B$31*Arriendo!$A$15</f>
        <v>221007.75840000054</v>
      </c>
      <c r="L21" s="122">
        <f>Arriendo!$B$32*Arriendo!$A$15</f>
        <v>222897.24600000057</v>
      </c>
      <c r="M21" s="122">
        <f>Arriendo!$B$32*Arriendo!$A$15</f>
        <v>222897.24600000057</v>
      </c>
      <c r="N21" s="122">
        <f>Arriendo!$B$33*Arriendo!$A$15</f>
        <v>224786.73360000062</v>
      </c>
      <c r="O21" s="122">
        <f>Arriendo!$B$33*Arriendo!$A$15</f>
        <v>224786.73360000062</v>
      </c>
      <c r="P21" s="122">
        <f>Arriendo!$B$34*Arriendo!$A$15</f>
        <v>226676.22120000064</v>
      </c>
      <c r="Q21" s="122">
        <f>Arriendo!$B$34*Arriendo!$A$15</f>
        <v>226676.22120000064</v>
      </c>
      <c r="R21" s="158"/>
      <c r="S21" s="167"/>
      <c r="T21" s="164">
        <f t="shared" si="12"/>
        <v>202354.67255334757</v>
      </c>
      <c r="U21" s="164">
        <f t="shared" si="12"/>
        <v>202354.67255334757</v>
      </c>
      <c r="W21" s="446"/>
      <c r="X21" t="s">
        <v>951</v>
      </c>
      <c r="Y21" s="89">
        <f>$J$23</f>
        <v>18816760.091770288</v>
      </c>
      <c r="Z21" s="89">
        <f>$J$44+$J$55+$J$61+$J$65</f>
        <v>3466720.4377252162</v>
      </c>
      <c r="AA21" s="213">
        <f>$J$67</f>
        <v>22283480.529495504</v>
      </c>
    </row>
    <row r="22" spans="1:27" x14ac:dyDescent="0.35">
      <c r="A22" s="55" t="s">
        <v>281</v>
      </c>
      <c r="B22" s="117" t="s">
        <v>282</v>
      </c>
      <c r="C22" s="122">
        <v>0</v>
      </c>
      <c r="D22" s="122"/>
      <c r="E22" s="122">
        <f>(Arriendo!$D$17+Arriendo!$E$17)</f>
        <v>12132.677103999999</v>
      </c>
      <c r="F22" s="122">
        <f>(Arriendo!$D$17+Arriendo!$E$17)</f>
        <v>12132.677103999999</v>
      </c>
      <c r="H22" s="122">
        <f t="shared" si="0"/>
        <v>12518.797990495954</v>
      </c>
      <c r="I22" s="122">
        <f t="shared" si="1"/>
        <v>12518.797990495954</v>
      </c>
      <c r="J22" s="122">
        <f t="shared" si="2"/>
        <v>12904.918876991909</v>
      </c>
      <c r="K22" s="122">
        <f t="shared" si="2"/>
        <v>12904.918876991909</v>
      </c>
      <c r="L22" s="122">
        <f t="shared" si="3"/>
        <v>13291.039763487865</v>
      </c>
      <c r="M22" s="122">
        <f t="shared" si="3"/>
        <v>13291.039763487865</v>
      </c>
      <c r="N22" s="122">
        <f t="shared" si="4"/>
        <v>13677.160649983822</v>
      </c>
      <c r="O22" s="122">
        <f t="shared" si="4"/>
        <v>13677.160649983822</v>
      </c>
      <c r="P22" s="122">
        <f t="shared" si="5"/>
        <v>14063.281536479779</v>
      </c>
      <c r="Q22" s="122">
        <f t="shared" si="5"/>
        <v>14063.281536479779</v>
      </c>
      <c r="R22" s="158"/>
      <c r="S22" s="167"/>
      <c r="T22" s="164">
        <f t="shared" si="12"/>
        <v>11159.563193524622</v>
      </c>
      <c r="U22" s="164">
        <f t="shared" si="12"/>
        <v>11159.563193524622</v>
      </c>
      <c r="W22" s="446"/>
      <c r="X22" t="s">
        <v>950</v>
      </c>
      <c r="Y22" s="89">
        <f>$K$23</f>
        <v>6488537.6792120337</v>
      </c>
      <c r="Z22" s="89">
        <f>$K$44+$K$55+$K$61+$K$65</f>
        <v>3466720.4377252162</v>
      </c>
      <c r="AA22" s="213">
        <f>$K$67</f>
        <v>9955258.1169372499</v>
      </c>
    </row>
    <row r="23" spans="1:27" x14ac:dyDescent="0.35">
      <c r="A23" s="115"/>
      <c r="B23" s="141" t="s">
        <v>283</v>
      </c>
      <c r="C23" s="144">
        <f>SUM(C19,C13,C8,C21,C22,C7)</f>
        <v>21330456.995073434</v>
      </c>
      <c r="D23" s="144"/>
      <c r="E23" s="144">
        <f>SUM(E19,E13,E8,E21,E22,E7)</f>
        <v>17690748.50551077</v>
      </c>
      <c r="F23" s="144">
        <f>SUM(F19,F13,F8,F21,F22,F7)</f>
        <v>6100257.8388441019</v>
      </c>
      <c r="H23" s="144">
        <f t="shared" si="0"/>
        <v>18253754.298640527</v>
      </c>
      <c r="I23" s="144">
        <f t="shared" si="1"/>
        <v>6294397.7590280687</v>
      </c>
      <c r="J23" s="144">
        <f t="shared" si="2"/>
        <v>18816760.091770288</v>
      </c>
      <c r="K23" s="144">
        <f t="shared" si="2"/>
        <v>6488537.6792120337</v>
      </c>
      <c r="L23" s="144">
        <f t="shared" si="3"/>
        <v>19379765.884900052</v>
      </c>
      <c r="M23" s="144">
        <f t="shared" si="3"/>
        <v>6682677.5993959997</v>
      </c>
      <c r="N23" s="144">
        <f t="shared" si="4"/>
        <v>19942771.678029813</v>
      </c>
      <c r="O23" s="144">
        <f t="shared" si="4"/>
        <v>6876817.5195799656</v>
      </c>
      <c r="P23" s="144">
        <f t="shared" si="5"/>
        <v>20505777.471159577</v>
      </c>
      <c r="Q23" s="144">
        <f t="shared" si="5"/>
        <v>7070957.4397639316</v>
      </c>
      <c r="R23" s="166"/>
      <c r="S23" s="169"/>
      <c r="T23" s="165">
        <f t="shared" ref="T23" si="13">SUM(T19,T13,T8,T21,T22,T7)</f>
        <v>16271843.732073881</v>
      </c>
      <c r="U23" s="144">
        <f>SUM(U19,U13,U8,U21,U22,U7)</f>
        <v>5610980.352137682</v>
      </c>
      <c r="W23" s="446"/>
      <c r="X23" t="s">
        <v>952</v>
      </c>
      <c r="Y23" s="89">
        <f>$J$23</f>
        <v>18816760.091770288</v>
      </c>
      <c r="Z23" s="89">
        <f>$J$44+$J$55+$J$61+$J$65</f>
        <v>3466720.4377252162</v>
      </c>
      <c r="AA23" s="213">
        <f>$J$67</f>
        <v>22283480.529495504</v>
      </c>
    </row>
    <row r="24" spans="1:27" x14ac:dyDescent="0.35">
      <c r="A24" s="55"/>
      <c r="B24" s="92"/>
      <c r="C24" s="143"/>
      <c r="D24" s="143"/>
      <c r="E24" s="143"/>
      <c r="F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58"/>
      <c r="S24" s="167"/>
      <c r="T24" s="170"/>
      <c r="U24" s="170"/>
      <c r="W24" s="446"/>
      <c r="X24" t="s">
        <v>953</v>
      </c>
      <c r="Y24" s="89">
        <f>$K$23</f>
        <v>6488537.6792120337</v>
      </c>
      <c r="Z24" s="89">
        <f>$K$44+$K$55+$K$61+$K$65</f>
        <v>3466720.4377252162</v>
      </c>
      <c r="AA24" s="213">
        <f>$K$67</f>
        <v>9955258.1169372499</v>
      </c>
    </row>
    <row r="25" spans="1:27" x14ac:dyDescent="0.35">
      <c r="A25" s="150">
        <v>2</v>
      </c>
      <c r="B25" s="147" t="s">
        <v>284</v>
      </c>
      <c r="C25" s="148"/>
      <c r="D25" s="148"/>
      <c r="E25" s="148"/>
      <c r="F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58"/>
      <c r="S25" s="167"/>
      <c r="T25" s="170"/>
      <c r="U25" s="170"/>
      <c r="W25" s="446"/>
      <c r="X25" t="s">
        <v>954</v>
      </c>
      <c r="Y25" s="89">
        <f>$J$23</f>
        <v>18816760.091770288</v>
      </c>
      <c r="Z25" s="89">
        <f>$J$44+$J$55+$J$61+$J$65</f>
        <v>3466720.4377252162</v>
      </c>
      <c r="AA25" s="213">
        <f>$J$67</f>
        <v>22283480.529495504</v>
      </c>
    </row>
    <row r="26" spans="1:27" x14ac:dyDescent="0.35">
      <c r="A26" s="55"/>
      <c r="B26" s="147" t="s">
        <v>285</v>
      </c>
      <c r="C26" s="148"/>
      <c r="D26" s="148"/>
      <c r="E26" s="148"/>
      <c r="F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58"/>
      <c r="S26" s="167"/>
      <c r="T26" s="170"/>
      <c r="U26" s="170"/>
      <c r="W26" s="446"/>
      <c r="X26" t="s">
        <v>955</v>
      </c>
      <c r="Y26" s="89">
        <f>$K$23</f>
        <v>6488537.6792120337</v>
      </c>
      <c r="Z26" s="89">
        <f>$K$44+$K$55+$K$61+$K$65</f>
        <v>3466720.4377252162</v>
      </c>
      <c r="AA26" s="213">
        <f>$K$67</f>
        <v>9955258.1169372499</v>
      </c>
    </row>
    <row r="27" spans="1:27" x14ac:dyDescent="0.35">
      <c r="A27" s="55" t="s">
        <v>286</v>
      </c>
      <c r="B27" s="142" t="s">
        <v>287</v>
      </c>
      <c r="C27" s="122">
        <f>SUM(C28:C32)</f>
        <v>1851216.3284067686</v>
      </c>
      <c r="D27" s="122"/>
      <c r="E27" s="122">
        <f>SUM(E28:E32)</f>
        <v>1903363.1085114083</v>
      </c>
      <c r="F27" s="122">
        <f>SUM(F28:F32)</f>
        <v>1903363.1085114083</v>
      </c>
      <c r="H27" s="122">
        <f t="shared" si="0"/>
        <v>1963937.3943415179</v>
      </c>
      <c r="I27" s="122">
        <f t="shared" si="1"/>
        <v>1963937.3943415179</v>
      </c>
      <c r="J27" s="122">
        <f t="shared" si="2"/>
        <v>2024511.6801716273</v>
      </c>
      <c r="K27" s="122">
        <f t="shared" si="2"/>
        <v>2024511.6801716273</v>
      </c>
      <c r="L27" s="122">
        <f t="shared" si="3"/>
        <v>2085085.9660017372</v>
      </c>
      <c r="M27" s="122">
        <f t="shared" si="3"/>
        <v>2085085.9660017372</v>
      </c>
      <c r="N27" s="122">
        <f t="shared" si="4"/>
        <v>2145660.2518318468</v>
      </c>
      <c r="O27" s="122">
        <f t="shared" si="4"/>
        <v>2145660.2518318468</v>
      </c>
      <c r="P27" s="122">
        <f t="shared" si="5"/>
        <v>2206234.5376619566</v>
      </c>
      <c r="Q27" s="122">
        <f t="shared" si="5"/>
        <v>2206234.5376619566</v>
      </c>
      <c r="R27" s="159"/>
      <c r="S27" s="168"/>
      <c r="T27" s="164">
        <f t="shared" ref="T27:U27" si="14">SUM(T28:T32)</f>
        <v>1750701.902604308</v>
      </c>
      <c r="U27" s="164">
        <f t="shared" si="14"/>
        <v>1750701.902604308</v>
      </c>
      <c r="W27" s="446"/>
      <c r="X27" t="s">
        <v>958</v>
      </c>
      <c r="Y27" s="89">
        <f>$J$23</f>
        <v>18816760.091770288</v>
      </c>
      <c r="Z27" s="89">
        <f>$J$44+$J$55+$J$61+$J$65</f>
        <v>3466720.4377252162</v>
      </c>
      <c r="AA27" s="213">
        <f>$J$67</f>
        <v>22283480.529495504</v>
      </c>
    </row>
    <row r="28" spans="1:27" ht="15" thickBot="1" x14ac:dyDescent="0.4">
      <c r="A28" s="55" t="s">
        <v>288</v>
      </c>
      <c r="B28" s="92" t="s">
        <v>289</v>
      </c>
      <c r="C28" s="143">
        <f>Nomina!$Z$6</f>
        <v>1175422</v>
      </c>
      <c r="D28" s="143"/>
      <c r="E28" s="143">
        <f>Nomina!$Z$10</f>
        <v>1218766.5290642881</v>
      </c>
      <c r="F28" s="143">
        <f>Nomina!$Z$10</f>
        <v>1218766.5290642881</v>
      </c>
      <c r="H28" s="143">
        <f t="shared" si="0"/>
        <v>1257553.6169097854</v>
      </c>
      <c r="I28" s="143">
        <f t="shared" si="1"/>
        <v>1257553.6169097854</v>
      </c>
      <c r="J28" s="143">
        <f t="shared" si="2"/>
        <v>1296340.7047552827</v>
      </c>
      <c r="K28" s="143">
        <f t="shared" si="2"/>
        <v>1296340.7047552827</v>
      </c>
      <c r="L28" s="143">
        <f t="shared" si="3"/>
        <v>1335127.79260078</v>
      </c>
      <c r="M28" s="143">
        <f t="shared" si="3"/>
        <v>1335127.79260078</v>
      </c>
      <c r="N28" s="143">
        <f t="shared" si="4"/>
        <v>1373914.8804462773</v>
      </c>
      <c r="O28" s="143">
        <f t="shared" si="4"/>
        <v>1373914.8804462773</v>
      </c>
      <c r="P28" s="143">
        <f t="shared" si="5"/>
        <v>1412701.9682917749</v>
      </c>
      <c r="Q28" s="143">
        <f t="shared" si="5"/>
        <v>1412701.9682917749</v>
      </c>
      <c r="R28" s="158"/>
      <c r="S28" s="167"/>
      <c r="T28" s="170">
        <f>E28/(1+$E$3%)</f>
        <v>1121014.0995808362</v>
      </c>
      <c r="U28" s="170">
        <f>F28/(1+$E$3%)</f>
        <v>1121014.0995808362</v>
      </c>
      <c r="W28" s="447"/>
      <c r="X28" s="209" t="s">
        <v>959</v>
      </c>
      <c r="Y28" s="228">
        <f>$K$23</f>
        <v>6488537.6792120337</v>
      </c>
      <c r="Z28" s="228">
        <f>$K$44+$K$55+$K$61+$K$65</f>
        <v>3466720.4377252162</v>
      </c>
      <c r="AA28" s="214">
        <f>$K$67</f>
        <v>9955258.1169372499</v>
      </c>
    </row>
    <row r="29" spans="1:27" x14ac:dyDescent="0.35">
      <c r="A29" s="55" t="s">
        <v>290</v>
      </c>
      <c r="B29" s="92" t="s">
        <v>268</v>
      </c>
      <c r="C29" s="143">
        <f>Nomina!$AW$6</f>
        <v>228577.0367429826</v>
      </c>
      <c r="D29" s="143"/>
      <c r="E29" s="143">
        <f>Nomina!$AW$10</f>
        <v>228577.0367429826</v>
      </c>
      <c r="F29" s="143">
        <f>Nomina!$AW$10</f>
        <v>228577.0367429826</v>
      </c>
      <c r="H29" s="143">
        <f t="shared" si="0"/>
        <v>235851.47150319902</v>
      </c>
      <c r="I29" s="143">
        <f t="shared" si="1"/>
        <v>235851.47150319902</v>
      </c>
      <c r="J29" s="143">
        <f t="shared" si="2"/>
        <v>243125.90626341538</v>
      </c>
      <c r="K29" s="143">
        <f t="shared" si="2"/>
        <v>243125.90626341538</v>
      </c>
      <c r="L29" s="143">
        <f t="shared" si="3"/>
        <v>250400.34102363177</v>
      </c>
      <c r="M29" s="143">
        <f t="shared" si="3"/>
        <v>250400.34102363177</v>
      </c>
      <c r="N29" s="143">
        <f t="shared" si="4"/>
        <v>257674.77578384819</v>
      </c>
      <c r="O29" s="143">
        <f t="shared" si="4"/>
        <v>257674.77578384819</v>
      </c>
      <c r="P29" s="143">
        <f t="shared" si="5"/>
        <v>264949.21054406458</v>
      </c>
      <c r="Q29" s="143">
        <f t="shared" si="5"/>
        <v>264949.21054406458</v>
      </c>
      <c r="R29" s="158"/>
      <c r="S29" s="167"/>
      <c r="T29" s="170">
        <f t="shared" ref="T29:U32" si="15">E29/(1+$E$3%)</f>
        <v>210243.77919700337</v>
      </c>
      <c r="U29" s="170">
        <f t="shared" si="15"/>
        <v>210243.77919700337</v>
      </c>
      <c r="W29" s="445">
        <v>2025</v>
      </c>
      <c r="X29" s="208" t="s">
        <v>960</v>
      </c>
      <c r="Y29" s="227">
        <f>$L$23</f>
        <v>19379765.884900052</v>
      </c>
      <c r="Z29" s="227">
        <f>$L$44+$L$55+$L$61+$L$65</f>
        <v>3570446.2481241212</v>
      </c>
      <c r="AA29" s="212">
        <f>$L$67</f>
        <v>22950212.133024171</v>
      </c>
    </row>
    <row r="30" spans="1:27" x14ac:dyDescent="0.35">
      <c r="A30" s="55" t="s">
        <v>291</v>
      </c>
      <c r="B30" s="92" t="s">
        <v>270</v>
      </c>
      <c r="C30" s="143">
        <f>Nomina!$AR$6</f>
        <v>97859.068151785905</v>
      </c>
      <c r="D30" s="143"/>
      <c r="E30" s="143">
        <f>Nomina!$AR$10</f>
        <v>97859.068151785905</v>
      </c>
      <c r="F30" s="143">
        <f>Nomina!$AR$10</f>
        <v>97859.068151785905</v>
      </c>
      <c r="H30" s="143">
        <f t="shared" si="0"/>
        <v>100973.42039429127</v>
      </c>
      <c r="I30" s="143">
        <f t="shared" si="1"/>
        <v>100973.42039429127</v>
      </c>
      <c r="J30" s="143">
        <f t="shared" si="2"/>
        <v>104087.77263679661</v>
      </c>
      <c r="K30" s="143">
        <f t="shared" si="2"/>
        <v>104087.77263679661</v>
      </c>
      <c r="L30" s="143">
        <f t="shared" si="3"/>
        <v>107202.12487930196</v>
      </c>
      <c r="M30" s="143">
        <f t="shared" si="3"/>
        <v>107202.12487930196</v>
      </c>
      <c r="N30" s="143">
        <f t="shared" si="4"/>
        <v>110316.47712180731</v>
      </c>
      <c r="O30" s="143">
        <f t="shared" si="4"/>
        <v>110316.47712180731</v>
      </c>
      <c r="P30" s="143">
        <f t="shared" si="5"/>
        <v>113430.82936431268</v>
      </c>
      <c r="Q30" s="143">
        <f t="shared" si="5"/>
        <v>113430.82936431268</v>
      </c>
      <c r="R30" s="158"/>
      <c r="S30" s="167"/>
      <c r="T30" s="170">
        <f t="shared" si="15"/>
        <v>90010.180419228913</v>
      </c>
      <c r="U30" s="170">
        <f t="shared" si="15"/>
        <v>90010.180419228913</v>
      </c>
      <c r="W30" s="446"/>
      <c r="X30" t="s">
        <v>956</v>
      </c>
      <c r="Y30" s="89">
        <f>$M$23</f>
        <v>6682677.5993959997</v>
      </c>
      <c r="Z30" s="89">
        <f>$M$44+$M$55+$M$61+$M$65</f>
        <v>3570446.2481241212</v>
      </c>
      <c r="AA30" s="213">
        <f>$M$67</f>
        <v>10253123.84752012</v>
      </c>
    </row>
    <row r="31" spans="1:27" ht="30" customHeight="1" x14ac:dyDescent="0.35">
      <c r="A31" s="55" t="s">
        <v>292</v>
      </c>
      <c r="B31" s="93" t="s">
        <v>272</v>
      </c>
      <c r="C31" s="143">
        <f>Nomina!$AM$6</f>
        <v>249358.223512</v>
      </c>
      <c r="D31" s="143"/>
      <c r="E31" s="143">
        <f>Nomina!$AM$10</f>
        <v>258160.4745523514</v>
      </c>
      <c r="F31" s="143">
        <f>Nomina!$AM$10</f>
        <v>258160.4745523514</v>
      </c>
      <c r="H31" s="143">
        <f t="shared" si="0"/>
        <v>266376.39841135748</v>
      </c>
      <c r="I31" s="143">
        <f t="shared" si="1"/>
        <v>266376.39841135748</v>
      </c>
      <c r="J31" s="143">
        <f t="shared" si="2"/>
        <v>274592.32227036357</v>
      </c>
      <c r="K31" s="143">
        <f t="shared" si="2"/>
        <v>274592.32227036357</v>
      </c>
      <c r="L31" s="143">
        <f t="shared" si="3"/>
        <v>282808.24612936965</v>
      </c>
      <c r="M31" s="143">
        <f t="shared" si="3"/>
        <v>282808.24612936965</v>
      </c>
      <c r="N31" s="143">
        <f t="shared" si="4"/>
        <v>291024.1699883758</v>
      </c>
      <c r="O31" s="143">
        <f t="shared" si="4"/>
        <v>291024.1699883758</v>
      </c>
      <c r="P31" s="143">
        <f t="shared" si="5"/>
        <v>299240.09384738188</v>
      </c>
      <c r="Q31" s="143">
        <f t="shared" si="5"/>
        <v>299240.09384738188</v>
      </c>
      <c r="R31" s="158"/>
      <c r="S31" s="167"/>
      <c r="T31" s="170">
        <f t="shared" si="15"/>
        <v>237454.44679208129</v>
      </c>
      <c r="U31" s="170">
        <f t="shared" si="15"/>
        <v>237454.44679208129</v>
      </c>
      <c r="W31" s="446"/>
      <c r="X31" t="s">
        <v>949</v>
      </c>
      <c r="Y31" s="89">
        <f>$L$23</f>
        <v>19379765.884900052</v>
      </c>
      <c r="Z31" s="89">
        <f>$L$44+$L$55+$L$61+$L$65</f>
        <v>3570446.2481241212</v>
      </c>
      <c r="AA31" s="213">
        <f>$L$67</f>
        <v>22950212.133024171</v>
      </c>
    </row>
    <row r="32" spans="1:27" x14ac:dyDescent="0.35">
      <c r="A32" s="55" t="s">
        <v>293</v>
      </c>
      <c r="B32" s="93" t="s">
        <v>274</v>
      </c>
      <c r="C32" s="143">
        <f>Nomina!$AX$6</f>
        <v>100000</v>
      </c>
      <c r="D32" s="143"/>
      <c r="E32" s="143">
        <f>Nomina!$AX$10</f>
        <v>100000</v>
      </c>
      <c r="F32" s="143">
        <f>Nomina!$AX$10</f>
        <v>100000</v>
      </c>
      <c r="H32" s="143">
        <f t="shared" si="0"/>
        <v>103182.4871228845</v>
      </c>
      <c r="I32" s="143">
        <f t="shared" si="1"/>
        <v>103182.4871228845</v>
      </c>
      <c r="J32" s="143">
        <f t="shared" si="2"/>
        <v>106364.97424576899</v>
      </c>
      <c r="K32" s="143">
        <f t="shared" si="2"/>
        <v>106364.97424576899</v>
      </c>
      <c r="L32" s="143">
        <f t="shared" si="3"/>
        <v>109547.46136865349</v>
      </c>
      <c r="M32" s="143">
        <f t="shared" si="3"/>
        <v>109547.46136865349</v>
      </c>
      <c r="N32" s="143">
        <f t="shared" si="4"/>
        <v>112729.94849153799</v>
      </c>
      <c r="O32" s="143">
        <f t="shared" si="4"/>
        <v>112729.94849153799</v>
      </c>
      <c r="P32" s="143">
        <f t="shared" si="5"/>
        <v>115912.43561442249</v>
      </c>
      <c r="Q32" s="143">
        <f t="shared" si="5"/>
        <v>115912.43561442249</v>
      </c>
      <c r="R32" s="158"/>
      <c r="S32" s="167"/>
      <c r="T32" s="170">
        <f t="shared" si="15"/>
        <v>91979.396615157981</v>
      </c>
      <c r="U32" s="170">
        <f t="shared" si="15"/>
        <v>91979.396615157981</v>
      </c>
      <c r="W32" s="446"/>
      <c r="X32" t="s">
        <v>957</v>
      </c>
      <c r="Y32" s="89">
        <f>$M$23</f>
        <v>6682677.5993959997</v>
      </c>
      <c r="Z32" s="89">
        <f>$M$44+$M$55+$M$61+$M$65</f>
        <v>3570446.2481241212</v>
      </c>
      <c r="AA32" s="213">
        <f>$M$67</f>
        <v>10253123.84752012</v>
      </c>
    </row>
    <row r="33" spans="1:27" x14ac:dyDescent="0.35">
      <c r="A33" s="55" t="s">
        <v>294</v>
      </c>
      <c r="B33" s="142" t="s">
        <v>295</v>
      </c>
      <c r="C33" s="122">
        <v>0</v>
      </c>
      <c r="D33" s="122"/>
      <c r="E33" s="122">
        <f>Arriendo!$B$29*Arriendo!$A$19</f>
        <v>880000</v>
      </c>
      <c r="F33" s="122">
        <f>Arriendo!$B$29*Arriendo!$A$19</f>
        <v>880000</v>
      </c>
      <c r="H33" s="122">
        <f>Arriendo!$B$30*Arriendo!$A$19</f>
        <v>876473.08320000209</v>
      </c>
      <c r="I33" s="122">
        <f>Arriendo!$B$30*Arriendo!$A$19</f>
        <v>876473.08320000209</v>
      </c>
      <c r="J33" s="122">
        <f>Arriendo!$B$31*Arriendo!$A$19</f>
        <v>884031.03360000218</v>
      </c>
      <c r="K33" s="122">
        <f>Arriendo!$B$31*Arriendo!$A$19</f>
        <v>884031.03360000218</v>
      </c>
      <c r="L33" s="122">
        <f>Arriendo!$B$32*Arriendo!$A$19</f>
        <v>891588.98400000227</v>
      </c>
      <c r="M33" s="122">
        <f>Arriendo!$B$32*Arriendo!$A$19</f>
        <v>891588.98400000227</v>
      </c>
      <c r="N33" s="122">
        <f>Arriendo!$B$33*Arriendo!$A$19</f>
        <v>899146.93440000247</v>
      </c>
      <c r="O33" s="122">
        <f>Arriendo!$B$33*Arriendo!$A$19</f>
        <v>899146.93440000247</v>
      </c>
      <c r="P33" s="122">
        <f>Arriendo!$B$34*Arriendo!$A$19</f>
        <v>906704.88480000256</v>
      </c>
      <c r="Q33" s="122">
        <f>Arriendo!$B$34*Arriendo!$A$19</f>
        <v>906704.88480000256</v>
      </c>
      <c r="R33" s="158"/>
      <c r="S33" s="167"/>
      <c r="T33" s="164">
        <f>E33/(1+$E$3%)</f>
        <v>809418.69021339028</v>
      </c>
      <c r="U33" s="164">
        <f>F33/(1+$E$3%)</f>
        <v>809418.69021339028</v>
      </c>
      <c r="W33" s="446"/>
      <c r="X33" t="s">
        <v>951</v>
      </c>
      <c r="Y33" s="89">
        <f>$L$23</f>
        <v>19379765.884900052</v>
      </c>
      <c r="Z33" s="89">
        <f>$L$44+$L$55+$L$61+$L$65</f>
        <v>3570446.2481241212</v>
      </c>
      <c r="AA33" s="213">
        <f>$L$67</f>
        <v>22950212.133024171</v>
      </c>
    </row>
    <row r="34" spans="1:27" x14ac:dyDescent="0.35">
      <c r="A34" s="55" t="s">
        <v>296</v>
      </c>
      <c r="B34" s="142" t="s">
        <v>297</v>
      </c>
      <c r="C34" s="122">
        <v>0</v>
      </c>
      <c r="D34" s="122"/>
      <c r="E34" s="122">
        <f>(Arriendo!$D$21+Arriendo!$E$21)</f>
        <v>48530.708415999994</v>
      </c>
      <c r="F34" s="122">
        <f>(Arriendo!$D$21+Arriendo!$E$21)</f>
        <v>48530.708415999994</v>
      </c>
      <c r="H34" s="122">
        <f t="shared" si="0"/>
        <v>50075.191961983815</v>
      </c>
      <c r="I34" s="122">
        <f t="shared" si="1"/>
        <v>50075.191961983815</v>
      </c>
      <c r="J34" s="122">
        <f t="shared" si="2"/>
        <v>51619.675507967637</v>
      </c>
      <c r="K34" s="122">
        <f t="shared" si="2"/>
        <v>51619.675507967637</v>
      </c>
      <c r="L34" s="122">
        <f t="shared" si="3"/>
        <v>53164.159053951458</v>
      </c>
      <c r="M34" s="122">
        <f t="shared" si="3"/>
        <v>53164.159053951458</v>
      </c>
      <c r="N34" s="122">
        <f t="shared" si="4"/>
        <v>54708.642599935287</v>
      </c>
      <c r="O34" s="122">
        <f t="shared" si="4"/>
        <v>54708.642599935287</v>
      </c>
      <c r="P34" s="122">
        <f t="shared" si="5"/>
        <v>56253.126145919116</v>
      </c>
      <c r="Q34" s="122">
        <f t="shared" si="5"/>
        <v>56253.126145919116</v>
      </c>
      <c r="R34" s="158"/>
      <c r="S34" s="167"/>
      <c r="T34" s="164">
        <f t="shared" ref="T34:U43" si="16">E34/(1+$E$3%)</f>
        <v>44638.252774098488</v>
      </c>
      <c r="U34" s="164">
        <f t="shared" si="16"/>
        <v>44638.252774098488</v>
      </c>
      <c r="W34" s="446"/>
      <c r="X34" t="s">
        <v>950</v>
      </c>
      <c r="Y34" s="89">
        <f>$M$23</f>
        <v>6682677.5993959997</v>
      </c>
      <c r="Z34" s="89">
        <f>$M$44+$M$55+$M$61+$M$65</f>
        <v>3570446.2481241212</v>
      </c>
      <c r="AA34" s="213">
        <f>$M$67</f>
        <v>10253123.84752012</v>
      </c>
    </row>
    <row r="35" spans="1:27" x14ac:dyDescent="0.35">
      <c r="A35" s="55" t="s">
        <v>298</v>
      </c>
      <c r="B35" s="142" t="s">
        <v>299</v>
      </c>
      <c r="C35" s="122">
        <v>0</v>
      </c>
      <c r="D35" s="122"/>
      <c r="E35" s="122">
        <f>(500000/6)</f>
        <v>83333.333333333328</v>
      </c>
      <c r="F35" s="122">
        <f>(500000/6)</f>
        <v>83333.333333333328</v>
      </c>
      <c r="H35" s="122">
        <f t="shared" si="0"/>
        <v>85985.405935737072</v>
      </c>
      <c r="I35" s="122">
        <f t="shared" si="1"/>
        <v>85985.405935737072</v>
      </c>
      <c r="J35" s="122">
        <f t="shared" si="2"/>
        <v>88637.478538140815</v>
      </c>
      <c r="K35" s="122">
        <f t="shared" si="2"/>
        <v>88637.478538140815</v>
      </c>
      <c r="L35" s="122">
        <f t="shared" si="3"/>
        <v>91289.551140544572</v>
      </c>
      <c r="M35" s="122">
        <f t="shared" si="3"/>
        <v>91289.551140544572</v>
      </c>
      <c r="N35" s="122">
        <f t="shared" si="4"/>
        <v>93941.623742948315</v>
      </c>
      <c r="O35" s="122">
        <f t="shared" si="4"/>
        <v>93941.623742948315</v>
      </c>
      <c r="P35" s="122">
        <f t="shared" si="5"/>
        <v>96593.696345352073</v>
      </c>
      <c r="Q35" s="122">
        <f t="shared" si="5"/>
        <v>96593.696345352073</v>
      </c>
      <c r="R35" s="158"/>
      <c r="S35" s="167"/>
      <c r="T35" s="164">
        <f t="shared" si="16"/>
        <v>76649.497179298312</v>
      </c>
      <c r="U35" s="164">
        <f t="shared" si="16"/>
        <v>76649.497179298312</v>
      </c>
      <c r="W35" s="446"/>
      <c r="X35" t="s">
        <v>952</v>
      </c>
      <c r="Y35" s="89">
        <f>$L$23</f>
        <v>19379765.884900052</v>
      </c>
      <c r="Z35" s="89">
        <f>$L$44+$L$55+$L$61+$L$65</f>
        <v>3570446.2481241212</v>
      </c>
      <c r="AA35" s="213">
        <f>$L$67</f>
        <v>22950212.133024171</v>
      </c>
    </row>
    <row r="36" spans="1:27" x14ac:dyDescent="0.35">
      <c r="A36" s="55" t="s">
        <v>300</v>
      </c>
      <c r="B36" s="142" t="s">
        <v>301</v>
      </c>
      <c r="C36" s="122">
        <v>0</v>
      </c>
      <c r="D36" s="122"/>
      <c r="E36" s="122">
        <v>0</v>
      </c>
      <c r="F36" s="122">
        <v>0</v>
      </c>
      <c r="H36" s="122">
        <f t="shared" si="0"/>
        <v>0</v>
      </c>
      <c r="I36" s="122">
        <f t="shared" si="1"/>
        <v>0</v>
      </c>
      <c r="J36" s="122">
        <f t="shared" si="2"/>
        <v>0</v>
      </c>
      <c r="K36" s="122">
        <f t="shared" si="2"/>
        <v>0</v>
      </c>
      <c r="L36" s="122">
        <f t="shared" si="3"/>
        <v>0</v>
      </c>
      <c r="M36" s="122">
        <f t="shared" si="3"/>
        <v>0</v>
      </c>
      <c r="N36" s="122">
        <f t="shared" si="4"/>
        <v>0</v>
      </c>
      <c r="O36" s="122">
        <f t="shared" si="4"/>
        <v>0</v>
      </c>
      <c r="P36" s="122">
        <f t="shared" si="5"/>
        <v>0</v>
      </c>
      <c r="Q36" s="122">
        <f t="shared" si="5"/>
        <v>0</v>
      </c>
      <c r="R36" s="158"/>
      <c r="S36" s="167"/>
      <c r="T36" s="164">
        <f t="shared" si="16"/>
        <v>0</v>
      </c>
      <c r="U36" s="164">
        <f t="shared" si="16"/>
        <v>0</v>
      </c>
      <c r="W36" s="446"/>
      <c r="X36" t="s">
        <v>953</v>
      </c>
      <c r="Y36" s="89">
        <f>$M$23</f>
        <v>6682677.5993959997</v>
      </c>
      <c r="Z36" s="89">
        <f>$M$44+$M$55+$M$61+$M$65</f>
        <v>3570446.2481241212</v>
      </c>
      <c r="AA36" s="213">
        <f>$M$67</f>
        <v>10253123.84752012</v>
      </c>
    </row>
    <row r="37" spans="1:27" x14ac:dyDescent="0.35">
      <c r="A37" s="55" t="s">
        <v>302</v>
      </c>
      <c r="B37" s="142" t="s">
        <v>303</v>
      </c>
      <c r="C37" s="122">
        <f>'Costo.Herr.Serv.'!J25</f>
        <v>4370000</v>
      </c>
      <c r="D37" s="122"/>
      <c r="E37" s="122">
        <v>0</v>
      </c>
      <c r="F37" s="122">
        <v>0</v>
      </c>
      <c r="H37" s="122">
        <f t="shared" si="0"/>
        <v>0</v>
      </c>
      <c r="I37" s="122">
        <f t="shared" si="1"/>
        <v>0</v>
      </c>
      <c r="J37" s="122">
        <f t="shared" si="2"/>
        <v>0</v>
      </c>
      <c r="K37" s="122">
        <f t="shared" si="2"/>
        <v>0</v>
      </c>
      <c r="L37" s="122">
        <f t="shared" si="3"/>
        <v>0</v>
      </c>
      <c r="M37" s="122">
        <f t="shared" si="3"/>
        <v>0</v>
      </c>
      <c r="N37" s="122">
        <f t="shared" si="4"/>
        <v>0</v>
      </c>
      <c r="O37" s="122">
        <f t="shared" si="4"/>
        <v>0</v>
      </c>
      <c r="P37" s="122">
        <f t="shared" si="5"/>
        <v>0</v>
      </c>
      <c r="Q37" s="122">
        <f t="shared" si="5"/>
        <v>0</v>
      </c>
      <c r="R37" s="158"/>
      <c r="S37" s="167"/>
      <c r="T37" s="164">
        <f t="shared" si="16"/>
        <v>0</v>
      </c>
      <c r="U37" s="164">
        <f t="shared" si="16"/>
        <v>0</v>
      </c>
      <c r="W37" s="446"/>
      <c r="X37" t="s">
        <v>954</v>
      </c>
      <c r="Y37" s="89">
        <f>$L$23</f>
        <v>19379765.884900052</v>
      </c>
      <c r="Z37" s="89">
        <f>$L$44+$L$55+$L$61+$L$65</f>
        <v>3570446.2481241212</v>
      </c>
      <c r="AA37" s="213">
        <f>$L$67</f>
        <v>22950212.133024171</v>
      </c>
    </row>
    <row r="38" spans="1:27" x14ac:dyDescent="0.35">
      <c r="A38" s="55" t="s">
        <v>304</v>
      </c>
      <c r="B38" s="142" t="s">
        <v>305</v>
      </c>
      <c r="C38" s="122">
        <v>0</v>
      </c>
      <c r="D38" s="122"/>
      <c r="E38" s="122">
        <f>'Costo.Herr.Serv.'!$M$25</f>
        <v>18208.333333333336</v>
      </c>
      <c r="F38" s="122">
        <f>'Costo.Herr.Serv.'!$M$25</f>
        <v>18208.333333333336</v>
      </c>
      <c r="H38" s="122">
        <f t="shared" si="0"/>
        <v>18787.811196958555</v>
      </c>
      <c r="I38" s="122">
        <f t="shared" si="1"/>
        <v>18787.811196958555</v>
      </c>
      <c r="J38" s="122">
        <f t="shared" si="2"/>
        <v>19367.289060583771</v>
      </c>
      <c r="K38" s="122">
        <f t="shared" si="2"/>
        <v>19367.289060583771</v>
      </c>
      <c r="L38" s="122">
        <f t="shared" si="3"/>
        <v>19946.766924208991</v>
      </c>
      <c r="M38" s="122">
        <f t="shared" si="3"/>
        <v>19946.766924208991</v>
      </c>
      <c r="N38" s="122">
        <f t="shared" si="4"/>
        <v>20526.244787834214</v>
      </c>
      <c r="O38" s="122">
        <f t="shared" si="4"/>
        <v>20526.244787834214</v>
      </c>
      <c r="P38" s="122">
        <f t="shared" si="5"/>
        <v>21105.722651459433</v>
      </c>
      <c r="Q38" s="122">
        <f t="shared" si="5"/>
        <v>21105.722651459433</v>
      </c>
      <c r="R38" s="158"/>
      <c r="S38" s="167"/>
      <c r="T38" s="164">
        <f t="shared" si="16"/>
        <v>16747.915133676684</v>
      </c>
      <c r="U38" s="164">
        <f t="shared" si="16"/>
        <v>16747.915133676684</v>
      </c>
      <c r="W38" s="446"/>
      <c r="X38" t="s">
        <v>955</v>
      </c>
      <c r="Y38" s="89">
        <f>$M$23</f>
        <v>6682677.5993959997</v>
      </c>
      <c r="Z38" s="89">
        <f>$M$44+$M$55+$M$61+$M$65</f>
        <v>3570446.2481241212</v>
      </c>
      <c r="AA38" s="213">
        <f>$M$67</f>
        <v>10253123.84752012</v>
      </c>
    </row>
    <row r="39" spans="1:27" x14ac:dyDescent="0.35">
      <c r="A39" s="55" t="s">
        <v>306</v>
      </c>
      <c r="B39" s="142" t="s">
        <v>307</v>
      </c>
      <c r="C39" s="122">
        <v>0</v>
      </c>
      <c r="D39" s="122"/>
      <c r="E39" s="122">
        <f>30000</f>
        <v>30000</v>
      </c>
      <c r="F39" s="122">
        <f>30000</f>
        <v>30000</v>
      </c>
      <c r="H39" s="122">
        <f t="shared" si="0"/>
        <v>30954.746136865349</v>
      </c>
      <c r="I39" s="122">
        <f t="shared" si="1"/>
        <v>30954.746136865349</v>
      </c>
      <c r="J39" s="122">
        <f t="shared" si="2"/>
        <v>31909.492273730695</v>
      </c>
      <c r="K39" s="122">
        <f t="shared" si="2"/>
        <v>31909.492273730695</v>
      </c>
      <c r="L39" s="122">
        <f t="shared" si="3"/>
        <v>32864.238410596045</v>
      </c>
      <c r="M39" s="122">
        <f t="shared" si="3"/>
        <v>32864.238410596045</v>
      </c>
      <c r="N39" s="122">
        <f t="shared" si="4"/>
        <v>33818.984547461398</v>
      </c>
      <c r="O39" s="122">
        <f t="shared" si="4"/>
        <v>33818.984547461398</v>
      </c>
      <c r="P39" s="122">
        <f t="shared" si="5"/>
        <v>34773.730684326751</v>
      </c>
      <c r="Q39" s="122">
        <f t="shared" si="5"/>
        <v>34773.730684326751</v>
      </c>
      <c r="R39" s="158"/>
      <c r="S39" s="167"/>
      <c r="T39" s="164">
        <f t="shared" si="16"/>
        <v>27593.818984547393</v>
      </c>
      <c r="U39" s="164">
        <f t="shared" si="16"/>
        <v>27593.818984547393</v>
      </c>
      <c r="W39" s="446"/>
      <c r="X39" t="s">
        <v>958</v>
      </c>
      <c r="Y39" s="89">
        <f>$L$23</f>
        <v>19379765.884900052</v>
      </c>
      <c r="Z39" s="89">
        <f>$L$44+$L$55+$L$61+$L$65</f>
        <v>3570446.2481241212</v>
      </c>
      <c r="AA39" s="213">
        <f>$L$67</f>
        <v>22950212.133024171</v>
      </c>
    </row>
    <row r="40" spans="1:27" ht="15" thickBot="1" x14ac:dyDescent="0.4">
      <c r="A40" s="55" t="s">
        <v>308</v>
      </c>
      <c r="B40" s="142" t="s">
        <v>309</v>
      </c>
      <c r="C40" s="122">
        <f>'Costo.Herr.Serv.'!$D$15</f>
        <v>50000</v>
      </c>
      <c r="D40" s="122"/>
      <c r="E40" s="122">
        <f>'Costo.Herr.Serv.'!$D$15</f>
        <v>50000</v>
      </c>
      <c r="F40" s="122">
        <f>'Costo.Herr.Serv.'!$D$15</f>
        <v>50000</v>
      </c>
      <c r="H40" s="122">
        <f t="shared" si="0"/>
        <v>51591.24356144225</v>
      </c>
      <c r="I40" s="122">
        <f t="shared" si="1"/>
        <v>51591.24356144225</v>
      </c>
      <c r="J40" s="122">
        <f t="shared" si="2"/>
        <v>53182.487122884493</v>
      </c>
      <c r="K40" s="122">
        <f t="shared" si="2"/>
        <v>53182.487122884493</v>
      </c>
      <c r="L40" s="122">
        <f t="shared" si="3"/>
        <v>54773.730684326743</v>
      </c>
      <c r="M40" s="122">
        <f t="shared" si="3"/>
        <v>54773.730684326743</v>
      </c>
      <c r="N40" s="122">
        <f t="shared" si="4"/>
        <v>56364.974245768994</v>
      </c>
      <c r="O40" s="122">
        <f t="shared" si="4"/>
        <v>56364.974245768994</v>
      </c>
      <c r="P40" s="122">
        <f t="shared" si="5"/>
        <v>57956.217807211244</v>
      </c>
      <c r="Q40" s="122">
        <f t="shared" si="5"/>
        <v>57956.217807211244</v>
      </c>
      <c r="R40" s="158"/>
      <c r="S40" s="167"/>
      <c r="T40" s="164">
        <f t="shared" si="16"/>
        <v>45989.69830757899</v>
      </c>
      <c r="U40" s="164">
        <f t="shared" si="16"/>
        <v>45989.69830757899</v>
      </c>
      <c r="W40" s="447"/>
      <c r="X40" s="209" t="s">
        <v>959</v>
      </c>
      <c r="Y40" s="228">
        <f>$M$23</f>
        <v>6682677.5993959997</v>
      </c>
      <c r="Z40" s="228">
        <f>$M$44+$M$55+$M$61+$M$65</f>
        <v>3570446.2481241212</v>
      </c>
      <c r="AA40" s="214">
        <f>$M$67</f>
        <v>10253123.84752012</v>
      </c>
    </row>
    <row r="41" spans="1:27" x14ac:dyDescent="0.35">
      <c r="A41" s="55" t="s">
        <v>310</v>
      </c>
      <c r="B41" s="142" t="s">
        <v>311</v>
      </c>
      <c r="C41" s="122">
        <v>0</v>
      </c>
      <c r="D41" s="122"/>
      <c r="E41" s="122">
        <v>0</v>
      </c>
      <c r="F41" s="122">
        <v>0</v>
      </c>
      <c r="H41" s="122">
        <f t="shared" si="0"/>
        <v>0</v>
      </c>
      <c r="I41" s="122">
        <f t="shared" si="1"/>
        <v>0</v>
      </c>
      <c r="J41" s="122">
        <f t="shared" si="2"/>
        <v>0</v>
      </c>
      <c r="K41" s="122">
        <f t="shared" si="2"/>
        <v>0</v>
      </c>
      <c r="L41" s="122">
        <f t="shared" si="3"/>
        <v>0</v>
      </c>
      <c r="M41" s="122">
        <f t="shared" si="3"/>
        <v>0</v>
      </c>
      <c r="N41" s="122">
        <f t="shared" si="4"/>
        <v>0</v>
      </c>
      <c r="O41" s="122">
        <f t="shared" si="4"/>
        <v>0</v>
      </c>
      <c r="P41" s="122">
        <f t="shared" si="5"/>
        <v>0</v>
      </c>
      <c r="Q41" s="122">
        <f t="shared" si="5"/>
        <v>0</v>
      </c>
      <c r="R41" s="158"/>
      <c r="S41" s="167"/>
      <c r="T41" s="164">
        <f t="shared" si="16"/>
        <v>0</v>
      </c>
      <c r="U41" s="164">
        <f t="shared" si="16"/>
        <v>0</v>
      </c>
      <c r="W41" s="445">
        <v>2026</v>
      </c>
      <c r="X41" s="208" t="s">
        <v>960</v>
      </c>
      <c r="Y41" s="227">
        <f>$N$23</f>
        <v>19942771.678029813</v>
      </c>
      <c r="Z41" s="227">
        <f>$N$44+$N$55+$N$61+$N$65</f>
        <v>3674172.0585230258</v>
      </c>
      <c r="AA41" s="212">
        <f>$N$67</f>
        <v>23616943.736552842</v>
      </c>
    </row>
    <row r="42" spans="1:27" x14ac:dyDescent="0.35">
      <c r="A42" s="55" t="s">
        <v>312</v>
      </c>
      <c r="B42" s="142" t="s">
        <v>313</v>
      </c>
      <c r="C42" s="122">
        <v>0</v>
      </c>
      <c r="D42" s="122"/>
      <c r="E42" s="122">
        <f>(500000/6)</f>
        <v>83333.333333333328</v>
      </c>
      <c r="F42" s="122">
        <f>(500000/6)</f>
        <v>83333.333333333328</v>
      </c>
      <c r="H42" s="122">
        <f t="shared" si="0"/>
        <v>85985.405935737072</v>
      </c>
      <c r="I42" s="122">
        <f t="shared" si="1"/>
        <v>85985.405935737072</v>
      </c>
      <c r="J42" s="122">
        <f t="shared" si="2"/>
        <v>88637.478538140815</v>
      </c>
      <c r="K42" s="122">
        <f t="shared" si="2"/>
        <v>88637.478538140815</v>
      </c>
      <c r="L42" s="122">
        <f t="shared" si="3"/>
        <v>91289.551140544572</v>
      </c>
      <c r="M42" s="122">
        <f t="shared" si="3"/>
        <v>91289.551140544572</v>
      </c>
      <c r="N42" s="122">
        <f t="shared" si="4"/>
        <v>93941.623742948315</v>
      </c>
      <c r="O42" s="122">
        <f t="shared" si="4"/>
        <v>93941.623742948315</v>
      </c>
      <c r="P42" s="122">
        <f t="shared" si="5"/>
        <v>96593.696345352073</v>
      </c>
      <c r="Q42" s="122">
        <f t="shared" si="5"/>
        <v>96593.696345352073</v>
      </c>
      <c r="R42" s="158"/>
      <c r="S42" s="167"/>
      <c r="T42" s="164">
        <f t="shared" si="16"/>
        <v>76649.497179298312</v>
      </c>
      <c r="U42" s="164">
        <f t="shared" si="16"/>
        <v>76649.497179298312</v>
      </c>
      <c r="W42" s="446"/>
      <c r="X42" t="s">
        <v>956</v>
      </c>
      <c r="Y42" s="89">
        <f>$O$23</f>
        <v>6876817.5195799656</v>
      </c>
      <c r="Z42" s="89">
        <f>$O$44+$O$55+$O$61+$O$65</f>
        <v>3674172.0585230258</v>
      </c>
      <c r="AA42" s="213">
        <f>$O$67</f>
        <v>10550989.578102991</v>
      </c>
    </row>
    <row r="43" spans="1:27" x14ac:dyDescent="0.35">
      <c r="A43" s="55" t="s">
        <v>314</v>
      </c>
      <c r="B43" s="142" t="s">
        <v>315</v>
      </c>
      <c r="C43" s="122">
        <v>50000</v>
      </c>
      <c r="D43" s="122"/>
      <c r="E43" s="122">
        <v>50000</v>
      </c>
      <c r="F43" s="122">
        <v>50000</v>
      </c>
      <c r="H43" s="122">
        <f t="shared" si="0"/>
        <v>51591.24356144225</v>
      </c>
      <c r="I43" s="122">
        <f t="shared" si="1"/>
        <v>51591.24356144225</v>
      </c>
      <c r="J43" s="122">
        <f t="shared" si="2"/>
        <v>53182.487122884493</v>
      </c>
      <c r="K43" s="122">
        <f t="shared" si="2"/>
        <v>53182.487122884493</v>
      </c>
      <c r="L43" s="122">
        <f t="shared" si="3"/>
        <v>54773.730684326743</v>
      </c>
      <c r="M43" s="122">
        <f t="shared" si="3"/>
        <v>54773.730684326743</v>
      </c>
      <c r="N43" s="122">
        <f t="shared" si="4"/>
        <v>56364.974245768994</v>
      </c>
      <c r="O43" s="122">
        <f t="shared" si="4"/>
        <v>56364.974245768994</v>
      </c>
      <c r="P43" s="122">
        <f t="shared" si="5"/>
        <v>57956.217807211244</v>
      </c>
      <c r="Q43" s="122">
        <f t="shared" si="5"/>
        <v>57956.217807211244</v>
      </c>
      <c r="R43" s="158"/>
      <c r="S43" s="167"/>
      <c r="T43" s="164">
        <f t="shared" si="16"/>
        <v>45989.69830757899</v>
      </c>
      <c r="U43" s="164">
        <f t="shared" si="16"/>
        <v>45989.69830757899</v>
      </c>
      <c r="W43" s="446"/>
      <c r="X43" t="s">
        <v>949</v>
      </c>
      <c r="Y43" s="89">
        <f>$N$23</f>
        <v>19942771.678029813</v>
      </c>
      <c r="Z43" s="89">
        <f>$N$44+$N$55+$N$61+$N$65</f>
        <v>3674172.0585230258</v>
      </c>
      <c r="AA43" s="213">
        <f>$N$67</f>
        <v>23616943.736552842</v>
      </c>
    </row>
    <row r="44" spans="1:27" x14ac:dyDescent="0.35">
      <c r="A44" s="55"/>
      <c r="B44" s="142" t="s">
        <v>316</v>
      </c>
      <c r="C44" s="144">
        <f>SUM(C27,C33:C43)</f>
        <v>6321216.3284067689</v>
      </c>
      <c r="D44" s="144"/>
      <c r="E44" s="144">
        <f>SUM(E27,E33:E43)</f>
        <v>3146768.8169274088</v>
      </c>
      <c r="F44" s="144">
        <f>SUM(F27,F33:F43)</f>
        <v>3146768.8169274088</v>
      </c>
      <c r="H44" s="144">
        <f t="shared" si="0"/>
        <v>3246914.3293130668</v>
      </c>
      <c r="I44" s="144">
        <f t="shared" si="1"/>
        <v>3246914.3293130668</v>
      </c>
      <c r="J44" s="144">
        <f t="shared" si="2"/>
        <v>3347059.8416987262</v>
      </c>
      <c r="K44" s="144">
        <f t="shared" si="2"/>
        <v>3347059.8416987262</v>
      </c>
      <c r="L44" s="144">
        <f t="shared" si="3"/>
        <v>3447205.354084386</v>
      </c>
      <c r="M44" s="144">
        <f t="shared" si="3"/>
        <v>3447205.354084386</v>
      </c>
      <c r="N44" s="144">
        <f t="shared" si="4"/>
        <v>3547350.8664700454</v>
      </c>
      <c r="O44" s="144">
        <f t="shared" si="4"/>
        <v>3547350.8664700454</v>
      </c>
      <c r="P44" s="144">
        <f t="shared" si="5"/>
        <v>3647496.3788557053</v>
      </c>
      <c r="Q44" s="144">
        <f t="shared" si="5"/>
        <v>3647496.3788557053</v>
      </c>
      <c r="R44" s="166"/>
      <c r="S44" s="169"/>
      <c r="T44" s="165">
        <f t="shared" ref="T44" si="17">SUM(T27,T33:T43)</f>
        <v>2894378.9706837744</v>
      </c>
      <c r="U44" s="144">
        <f>SUM(U27,U33:U43)</f>
        <v>2894378.9706837744</v>
      </c>
      <c r="W44" s="446"/>
      <c r="X44" t="s">
        <v>957</v>
      </c>
      <c r="Y44" s="89">
        <f>$O$23</f>
        <v>6876817.5195799656</v>
      </c>
      <c r="Z44" s="89">
        <f>$O$44+$O$55+$O$61+$O$65</f>
        <v>3674172.0585230258</v>
      </c>
      <c r="AA44" s="213">
        <f>$O$67</f>
        <v>10550989.578102991</v>
      </c>
    </row>
    <row r="45" spans="1:27" x14ac:dyDescent="0.35">
      <c r="A45" s="116">
        <v>3</v>
      </c>
      <c r="B45" s="147" t="s">
        <v>317</v>
      </c>
      <c r="C45" s="148"/>
      <c r="D45" s="148"/>
      <c r="E45" s="148"/>
      <c r="F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58"/>
      <c r="S45" s="167"/>
      <c r="T45" s="170"/>
      <c r="U45" s="170"/>
      <c r="W45" s="446"/>
      <c r="X45" t="s">
        <v>951</v>
      </c>
      <c r="Y45" s="89">
        <f>$N$23</f>
        <v>19942771.678029813</v>
      </c>
      <c r="Z45" s="89">
        <f>$N$44+$N$55+$N$61+$N$65</f>
        <v>3674172.0585230258</v>
      </c>
      <c r="AA45" s="213">
        <f>$N$67</f>
        <v>23616943.736552842</v>
      </c>
    </row>
    <row r="46" spans="1:27" x14ac:dyDescent="0.35">
      <c r="A46" s="55" t="s">
        <v>318</v>
      </c>
      <c r="B46" s="142" t="s">
        <v>319</v>
      </c>
      <c r="C46" s="122">
        <v>0</v>
      </c>
      <c r="D46" s="122"/>
      <c r="E46" s="122">
        <v>0</v>
      </c>
      <c r="F46" s="122">
        <v>0</v>
      </c>
      <c r="H46" s="122">
        <f t="shared" si="0"/>
        <v>0</v>
      </c>
      <c r="I46" s="122">
        <f t="shared" si="1"/>
        <v>0</v>
      </c>
      <c r="J46" s="122">
        <f t="shared" si="2"/>
        <v>0</v>
      </c>
      <c r="K46" s="122">
        <f t="shared" si="2"/>
        <v>0</v>
      </c>
      <c r="L46" s="122">
        <f t="shared" si="3"/>
        <v>0</v>
      </c>
      <c r="M46" s="122">
        <f t="shared" si="3"/>
        <v>0</v>
      </c>
      <c r="N46" s="122">
        <f t="shared" si="4"/>
        <v>0</v>
      </c>
      <c r="O46" s="122">
        <f t="shared" si="4"/>
        <v>0</v>
      </c>
      <c r="P46" s="122">
        <f t="shared" si="5"/>
        <v>0</v>
      </c>
      <c r="Q46" s="122">
        <f t="shared" si="5"/>
        <v>0</v>
      </c>
      <c r="R46" s="158"/>
      <c r="S46" s="167"/>
      <c r="T46" s="164">
        <f>E46/(1+$E$3%)</f>
        <v>0</v>
      </c>
      <c r="U46" s="164">
        <f>F46/(1+$E$3%)</f>
        <v>0</v>
      </c>
      <c r="W46" s="446"/>
      <c r="X46" t="s">
        <v>950</v>
      </c>
      <c r="Y46" s="89">
        <f>$O$23</f>
        <v>6876817.5195799656</v>
      </c>
      <c r="Z46" s="89">
        <f>$O$44+$O$55+$O$61+$O$65</f>
        <v>3674172.0585230258</v>
      </c>
      <c r="AA46" s="213">
        <f>$O$67</f>
        <v>10550989.578102991</v>
      </c>
    </row>
    <row r="47" spans="1:27" x14ac:dyDescent="0.35">
      <c r="A47" s="55" t="s">
        <v>320</v>
      </c>
      <c r="B47" s="92" t="s">
        <v>321</v>
      </c>
      <c r="C47" s="143">
        <v>0</v>
      </c>
      <c r="D47" s="143"/>
      <c r="E47" s="143">
        <v>0</v>
      </c>
      <c r="F47" s="143">
        <v>0</v>
      </c>
      <c r="H47" s="143">
        <f t="shared" si="0"/>
        <v>0</v>
      </c>
      <c r="I47" s="143">
        <f t="shared" si="1"/>
        <v>0</v>
      </c>
      <c r="J47" s="143">
        <f t="shared" si="2"/>
        <v>0</v>
      </c>
      <c r="K47" s="143">
        <f t="shared" si="2"/>
        <v>0</v>
      </c>
      <c r="L47" s="143">
        <f t="shared" si="3"/>
        <v>0</v>
      </c>
      <c r="M47" s="143">
        <f t="shared" si="3"/>
        <v>0</v>
      </c>
      <c r="N47" s="143">
        <f t="shared" si="4"/>
        <v>0</v>
      </c>
      <c r="O47" s="143">
        <f t="shared" si="4"/>
        <v>0</v>
      </c>
      <c r="P47" s="143">
        <f t="shared" si="5"/>
        <v>0</v>
      </c>
      <c r="Q47" s="143">
        <f t="shared" si="5"/>
        <v>0</v>
      </c>
      <c r="R47" s="158"/>
      <c r="S47" s="167"/>
      <c r="T47" s="170">
        <f>E47/(1+$E$3%)</f>
        <v>0</v>
      </c>
      <c r="U47" s="170">
        <f>F47/(1+$E$3%)</f>
        <v>0</v>
      </c>
      <c r="W47" s="446"/>
      <c r="X47" t="s">
        <v>952</v>
      </c>
      <c r="Y47" s="89">
        <f>$N$23</f>
        <v>19942771.678029813</v>
      </c>
      <c r="Z47" s="89">
        <f>$N$44+$N$55+$N$61+$N$65</f>
        <v>3674172.0585230258</v>
      </c>
      <c r="AA47" s="213">
        <f>$N$67</f>
        <v>23616943.736552842</v>
      </c>
    </row>
    <row r="48" spans="1:27" x14ac:dyDescent="0.35">
      <c r="A48" s="55" t="s">
        <v>322</v>
      </c>
      <c r="B48" s="92" t="s">
        <v>268</v>
      </c>
      <c r="C48" s="143">
        <v>0</v>
      </c>
      <c r="D48" s="143"/>
      <c r="E48" s="143">
        <v>0</v>
      </c>
      <c r="F48" s="143">
        <v>0</v>
      </c>
      <c r="H48" s="143">
        <f t="shared" si="0"/>
        <v>0</v>
      </c>
      <c r="I48" s="143">
        <f t="shared" si="1"/>
        <v>0</v>
      </c>
      <c r="J48" s="143">
        <f t="shared" si="2"/>
        <v>0</v>
      </c>
      <c r="K48" s="143">
        <f t="shared" si="2"/>
        <v>0</v>
      </c>
      <c r="L48" s="143">
        <f t="shared" si="3"/>
        <v>0</v>
      </c>
      <c r="M48" s="143">
        <f t="shared" si="3"/>
        <v>0</v>
      </c>
      <c r="N48" s="143">
        <f t="shared" si="4"/>
        <v>0</v>
      </c>
      <c r="O48" s="143">
        <f t="shared" si="4"/>
        <v>0</v>
      </c>
      <c r="P48" s="143">
        <f t="shared" si="5"/>
        <v>0</v>
      </c>
      <c r="Q48" s="143">
        <f t="shared" si="5"/>
        <v>0</v>
      </c>
      <c r="R48" s="158"/>
      <c r="S48" s="167"/>
      <c r="T48" s="170">
        <f t="shared" ref="T48:U50" si="18">E48/(1+$E$3%)</f>
        <v>0</v>
      </c>
      <c r="U48" s="170">
        <f t="shared" si="18"/>
        <v>0</v>
      </c>
      <c r="W48" s="446"/>
      <c r="X48" t="s">
        <v>953</v>
      </c>
      <c r="Y48" s="89">
        <f>$O$23</f>
        <v>6876817.5195799656</v>
      </c>
      <c r="Z48" s="89">
        <f>$O$44+$O$55+$O$61+$O$65</f>
        <v>3674172.0585230258</v>
      </c>
      <c r="AA48" s="213">
        <f>$O$67</f>
        <v>10550989.578102991</v>
      </c>
    </row>
    <row r="49" spans="1:27" x14ac:dyDescent="0.35">
      <c r="A49" s="55" t="s">
        <v>323</v>
      </c>
      <c r="B49" s="92" t="s">
        <v>270</v>
      </c>
      <c r="C49" s="143">
        <v>0</v>
      </c>
      <c r="D49" s="143"/>
      <c r="E49" s="143">
        <v>0</v>
      </c>
      <c r="F49" s="143">
        <v>0</v>
      </c>
      <c r="H49" s="143">
        <f t="shared" si="0"/>
        <v>0</v>
      </c>
      <c r="I49" s="143">
        <f t="shared" si="1"/>
        <v>0</v>
      </c>
      <c r="J49" s="143">
        <f t="shared" si="2"/>
        <v>0</v>
      </c>
      <c r="K49" s="143">
        <f t="shared" si="2"/>
        <v>0</v>
      </c>
      <c r="L49" s="143">
        <f t="shared" si="3"/>
        <v>0</v>
      </c>
      <c r="M49" s="143">
        <f t="shared" si="3"/>
        <v>0</v>
      </c>
      <c r="N49" s="143">
        <f t="shared" si="4"/>
        <v>0</v>
      </c>
      <c r="O49" s="143">
        <f t="shared" si="4"/>
        <v>0</v>
      </c>
      <c r="P49" s="143">
        <f t="shared" si="5"/>
        <v>0</v>
      </c>
      <c r="Q49" s="143">
        <f t="shared" si="5"/>
        <v>0</v>
      </c>
      <c r="R49" s="158"/>
      <c r="S49" s="167"/>
      <c r="T49" s="170">
        <f t="shared" si="18"/>
        <v>0</v>
      </c>
      <c r="U49" s="170">
        <f t="shared" si="18"/>
        <v>0</v>
      </c>
      <c r="W49" s="446"/>
      <c r="X49" t="s">
        <v>954</v>
      </c>
      <c r="Y49" s="89">
        <f>$N$23</f>
        <v>19942771.678029813</v>
      </c>
      <c r="Z49" s="89">
        <f>$N$44+$N$55+$N$61+$N$65</f>
        <v>3674172.0585230258</v>
      </c>
      <c r="AA49" s="213">
        <f>$N$67</f>
        <v>23616943.736552842</v>
      </c>
    </row>
    <row r="50" spans="1:27" ht="29" x14ac:dyDescent="0.35">
      <c r="A50" s="55" t="s">
        <v>324</v>
      </c>
      <c r="B50" s="93" t="s">
        <v>272</v>
      </c>
      <c r="C50" s="143">
        <v>0</v>
      </c>
      <c r="D50" s="143"/>
      <c r="E50" s="143">
        <v>0</v>
      </c>
      <c r="F50" s="143">
        <v>0</v>
      </c>
      <c r="H50" s="143">
        <f t="shared" si="0"/>
        <v>0</v>
      </c>
      <c r="I50" s="143">
        <f t="shared" si="1"/>
        <v>0</v>
      </c>
      <c r="J50" s="143">
        <f t="shared" si="2"/>
        <v>0</v>
      </c>
      <c r="K50" s="143">
        <f t="shared" si="2"/>
        <v>0</v>
      </c>
      <c r="L50" s="143">
        <f t="shared" si="3"/>
        <v>0</v>
      </c>
      <c r="M50" s="143">
        <f t="shared" si="3"/>
        <v>0</v>
      </c>
      <c r="N50" s="143">
        <f t="shared" si="4"/>
        <v>0</v>
      </c>
      <c r="O50" s="143">
        <f t="shared" si="4"/>
        <v>0</v>
      </c>
      <c r="P50" s="143">
        <f t="shared" si="5"/>
        <v>0</v>
      </c>
      <c r="Q50" s="143">
        <f t="shared" si="5"/>
        <v>0</v>
      </c>
      <c r="R50" s="158"/>
      <c r="S50" s="167"/>
      <c r="T50" s="170">
        <f t="shared" si="18"/>
        <v>0</v>
      </c>
      <c r="U50" s="170">
        <f t="shared" si="18"/>
        <v>0</v>
      </c>
      <c r="W50" s="446"/>
      <c r="X50" t="s">
        <v>955</v>
      </c>
      <c r="Y50" s="89">
        <f>$O$23</f>
        <v>6876817.5195799656</v>
      </c>
      <c r="Z50" s="89">
        <f>$O$44+$O$55+$O$61+$O$65</f>
        <v>3674172.0585230258</v>
      </c>
      <c r="AA50" s="213">
        <f>$O$67</f>
        <v>10550989.578102991</v>
      </c>
    </row>
    <row r="51" spans="1:27" x14ac:dyDescent="0.35">
      <c r="A51" s="55" t="s">
        <v>325</v>
      </c>
      <c r="B51" s="142" t="s">
        <v>326</v>
      </c>
      <c r="C51" s="122">
        <v>0</v>
      </c>
      <c r="D51" s="122"/>
      <c r="E51" s="122">
        <v>0</v>
      </c>
      <c r="F51" s="122">
        <v>0</v>
      </c>
      <c r="H51" s="122">
        <f t="shared" si="0"/>
        <v>0</v>
      </c>
      <c r="I51" s="122">
        <f t="shared" si="1"/>
        <v>0</v>
      </c>
      <c r="J51" s="122">
        <f t="shared" si="2"/>
        <v>0</v>
      </c>
      <c r="K51" s="122">
        <f t="shared" si="2"/>
        <v>0</v>
      </c>
      <c r="L51" s="122">
        <f t="shared" si="3"/>
        <v>0</v>
      </c>
      <c r="M51" s="122">
        <f t="shared" si="3"/>
        <v>0</v>
      </c>
      <c r="N51" s="122">
        <f t="shared" si="4"/>
        <v>0</v>
      </c>
      <c r="O51" s="122">
        <f t="shared" si="4"/>
        <v>0</v>
      </c>
      <c r="P51" s="122">
        <f t="shared" si="5"/>
        <v>0</v>
      </c>
      <c r="Q51" s="122">
        <f t="shared" si="5"/>
        <v>0</v>
      </c>
      <c r="R51" s="158"/>
      <c r="S51" s="167"/>
      <c r="T51" s="164">
        <f>E51/(1+$E$3%)</f>
        <v>0</v>
      </c>
      <c r="U51" s="164">
        <f>F51/(1+$E$3%)</f>
        <v>0</v>
      </c>
      <c r="W51" s="446"/>
      <c r="X51" t="s">
        <v>958</v>
      </c>
      <c r="Y51" s="89">
        <f>$N$23</f>
        <v>19942771.678029813</v>
      </c>
      <c r="Z51" s="89">
        <f>$N$44+$N$55+$N$61+$N$65</f>
        <v>3674172.0585230258</v>
      </c>
      <c r="AA51" s="213">
        <f>$N$67</f>
        <v>23616943.736552842</v>
      </c>
    </row>
    <row r="52" spans="1:27" ht="15" thickBot="1" x14ac:dyDescent="0.4">
      <c r="A52" s="55" t="s">
        <v>327</v>
      </c>
      <c r="B52" s="142" t="s">
        <v>328</v>
      </c>
      <c r="C52" s="122">
        <f>100000</f>
        <v>100000</v>
      </c>
      <c r="D52" s="122"/>
      <c r="E52" s="122">
        <f>100000</f>
        <v>100000</v>
      </c>
      <c r="F52" s="122">
        <f>100000</f>
        <v>100000</v>
      </c>
      <c r="H52" s="122">
        <f t="shared" si="0"/>
        <v>103182.4871228845</v>
      </c>
      <c r="I52" s="122">
        <f t="shared" si="1"/>
        <v>103182.4871228845</v>
      </c>
      <c r="J52" s="122">
        <f t="shared" si="2"/>
        <v>106364.97424576899</v>
      </c>
      <c r="K52" s="122">
        <f t="shared" si="2"/>
        <v>106364.97424576899</v>
      </c>
      <c r="L52" s="122">
        <f t="shared" si="3"/>
        <v>109547.46136865349</v>
      </c>
      <c r="M52" s="122">
        <f t="shared" si="3"/>
        <v>109547.46136865349</v>
      </c>
      <c r="N52" s="122">
        <f t="shared" si="4"/>
        <v>112729.94849153799</v>
      </c>
      <c r="O52" s="122">
        <f t="shared" si="4"/>
        <v>112729.94849153799</v>
      </c>
      <c r="P52" s="122">
        <f t="shared" si="5"/>
        <v>115912.43561442249</v>
      </c>
      <c r="Q52" s="122">
        <f t="shared" si="5"/>
        <v>115912.43561442249</v>
      </c>
      <c r="R52" s="158"/>
      <c r="S52" s="167"/>
      <c r="T52" s="164">
        <f t="shared" ref="T52:U54" si="19">E52/(1+$E$3%)</f>
        <v>91979.396615157981</v>
      </c>
      <c r="U52" s="164">
        <f t="shared" si="19"/>
        <v>91979.396615157981</v>
      </c>
      <c r="W52" s="446"/>
      <c r="X52" t="s">
        <v>959</v>
      </c>
      <c r="Y52" s="89">
        <f>$O$23</f>
        <v>6876817.5195799656</v>
      </c>
      <c r="Z52" s="89">
        <f>$O$44+$O$55+$O$61+$O$65</f>
        <v>3674172.0585230258</v>
      </c>
      <c r="AA52" s="213">
        <f>$O$67</f>
        <v>10550989.578102991</v>
      </c>
    </row>
    <row r="53" spans="1:27" x14ac:dyDescent="0.35">
      <c r="A53" s="55" t="s">
        <v>329</v>
      </c>
      <c r="B53" s="142" t="s">
        <v>330</v>
      </c>
      <c r="C53" s="122">
        <f>12500</f>
        <v>12500</v>
      </c>
      <c r="D53" s="122"/>
      <c r="E53" s="122">
        <f>12500</f>
        <v>12500</v>
      </c>
      <c r="F53" s="122">
        <f>12500</f>
        <v>12500</v>
      </c>
      <c r="H53" s="122">
        <f t="shared" si="0"/>
        <v>12897.810890360563</v>
      </c>
      <c r="I53" s="122">
        <f t="shared" si="1"/>
        <v>12897.810890360563</v>
      </c>
      <c r="J53" s="122">
        <f t="shared" si="2"/>
        <v>13295.621780721123</v>
      </c>
      <c r="K53" s="122">
        <f t="shared" si="2"/>
        <v>13295.621780721123</v>
      </c>
      <c r="L53" s="122">
        <f t="shared" si="3"/>
        <v>13693.432671081686</v>
      </c>
      <c r="M53" s="122">
        <f t="shared" si="3"/>
        <v>13693.432671081686</v>
      </c>
      <c r="N53" s="122">
        <f t="shared" si="4"/>
        <v>14091.243561442248</v>
      </c>
      <c r="O53" s="122">
        <f t="shared" si="4"/>
        <v>14091.243561442248</v>
      </c>
      <c r="P53" s="122">
        <f t="shared" si="5"/>
        <v>14489.054451802811</v>
      </c>
      <c r="Q53" s="122">
        <f t="shared" si="5"/>
        <v>14489.054451802811</v>
      </c>
      <c r="R53" s="158"/>
      <c r="S53" s="167"/>
      <c r="T53" s="164">
        <f t="shared" si="19"/>
        <v>11497.424576894748</v>
      </c>
      <c r="U53" s="164">
        <f t="shared" si="19"/>
        <v>11497.424576894748</v>
      </c>
      <c r="W53" s="445">
        <v>2027</v>
      </c>
      <c r="X53" s="208" t="s">
        <v>960</v>
      </c>
      <c r="Y53" s="227">
        <f>$P$23</f>
        <v>20505777.471159577</v>
      </c>
      <c r="Z53" s="227">
        <f>$P$44+$P$55+$P$61+$P$65</f>
        <v>3777897.8689219304</v>
      </c>
      <c r="AA53" s="212">
        <f>$P$67</f>
        <v>24283675.340081509</v>
      </c>
    </row>
    <row r="54" spans="1:27" x14ac:dyDescent="0.35">
      <c r="A54" s="55" t="s">
        <v>331</v>
      </c>
      <c r="B54" s="142" t="s">
        <v>332</v>
      </c>
      <c r="C54" s="122">
        <v>0</v>
      </c>
      <c r="D54" s="122"/>
      <c r="E54" s="122">
        <v>0</v>
      </c>
      <c r="F54" s="122">
        <v>0</v>
      </c>
      <c r="H54" s="122">
        <f t="shared" si="0"/>
        <v>0</v>
      </c>
      <c r="I54" s="122">
        <f t="shared" si="1"/>
        <v>0</v>
      </c>
      <c r="J54" s="122">
        <f t="shared" si="2"/>
        <v>0</v>
      </c>
      <c r="K54" s="122">
        <f t="shared" si="2"/>
        <v>0</v>
      </c>
      <c r="L54" s="122">
        <f t="shared" si="3"/>
        <v>0</v>
      </c>
      <c r="M54" s="122">
        <f t="shared" si="3"/>
        <v>0</v>
      </c>
      <c r="N54" s="122">
        <f t="shared" si="4"/>
        <v>0</v>
      </c>
      <c r="O54" s="122">
        <f t="shared" si="4"/>
        <v>0</v>
      </c>
      <c r="P54" s="122">
        <f t="shared" si="5"/>
        <v>0</v>
      </c>
      <c r="Q54" s="122">
        <f t="shared" si="5"/>
        <v>0</v>
      </c>
      <c r="R54" s="158"/>
      <c r="S54" s="167"/>
      <c r="T54" s="164">
        <f t="shared" si="19"/>
        <v>0</v>
      </c>
      <c r="U54" s="164">
        <f t="shared" si="19"/>
        <v>0</v>
      </c>
      <c r="W54" s="446"/>
      <c r="X54" t="s">
        <v>956</v>
      </c>
      <c r="Y54" s="89">
        <f>$Q$23</f>
        <v>7070957.4397639316</v>
      </c>
      <c r="Z54" s="89">
        <f>$Q$44+$Q$55+$Q$61+$Q$65</f>
        <v>3777897.8689219304</v>
      </c>
      <c r="AA54" s="213">
        <f>$Q$67</f>
        <v>10848855.308685862</v>
      </c>
    </row>
    <row r="55" spans="1:27" x14ac:dyDescent="0.35">
      <c r="A55" s="55" t="s">
        <v>333</v>
      </c>
      <c r="B55" s="142" t="s">
        <v>334</v>
      </c>
      <c r="C55" s="144">
        <f>SUM(C46,C51:C54)</f>
        <v>112500</v>
      </c>
      <c r="D55" s="144"/>
      <c r="E55" s="144">
        <f>SUM(E46,E51:E54)</f>
        <v>112500</v>
      </c>
      <c r="F55" s="144">
        <f>SUM(F46,F51:F54)</f>
        <v>112500</v>
      </c>
      <c r="H55" s="144">
        <f t="shared" si="0"/>
        <v>116080.29801324506</v>
      </c>
      <c r="I55" s="144">
        <f t="shared" si="1"/>
        <v>116080.29801324506</v>
      </c>
      <c r="J55" s="144">
        <f t="shared" si="2"/>
        <v>119660.59602649011</v>
      </c>
      <c r="K55" s="144">
        <f t="shared" si="2"/>
        <v>119660.59602649011</v>
      </c>
      <c r="L55" s="144">
        <f t="shared" si="3"/>
        <v>123240.89403973517</v>
      </c>
      <c r="M55" s="144">
        <f t="shared" si="3"/>
        <v>123240.89403973517</v>
      </c>
      <c r="N55" s="144">
        <f t="shared" si="4"/>
        <v>126821.19205298023</v>
      </c>
      <c r="O55" s="144">
        <f t="shared" si="4"/>
        <v>126821.19205298023</v>
      </c>
      <c r="P55" s="144">
        <f t="shared" si="5"/>
        <v>130401.49006622531</v>
      </c>
      <c r="Q55" s="144">
        <f t="shared" si="5"/>
        <v>130401.49006622531</v>
      </c>
      <c r="R55" s="166"/>
      <c r="S55" s="169"/>
      <c r="T55" s="165">
        <f t="shared" ref="T55" si="20">SUM(T46,T51:T54)</f>
        <v>103476.82119205272</v>
      </c>
      <c r="U55" s="144">
        <f>SUM(U46,U51:U54)</f>
        <v>103476.82119205272</v>
      </c>
      <c r="W55" s="446"/>
      <c r="X55" t="s">
        <v>949</v>
      </c>
      <c r="Y55" s="89">
        <f>$P$23</f>
        <v>20505777.471159577</v>
      </c>
      <c r="Z55" s="89">
        <f>$P$44+$P$55+$P$61+$P$65</f>
        <v>3777897.8689219304</v>
      </c>
      <c r="AA55" s="213">
        <f>$P$67</f>
        <v>24283675.340081509</v>
      </c>
    </row>
    <row r="56" spans="1:27" x14ac:dyDescent="0.35">
      <c r="A56" s="150">
        <v>4</v>
      </c>
      <c r="B56" s="147" t="s">
        <v>335</v>
      </c>
      <c r="C56" s="148"/>
      <c r="D56" s="148"/>
      <c r="E56" s="148"/>
      <c r="F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58"/>
      <c r="S56" s="167"/>
      <c r="T56" s="170"/>
      <c r="U56" s="170"/>
      <c r="W56" s="446"/>
      <c r="X56" t="s">
        <v>957</v>
      </c>
      <c r="Y56" s="89">
        <f>$Q$23</f>
        <v>7070957.4397639316</v>
      </c>
      <c r="Z56" s="89">
        <f>$Q$44+$Q$55+$Q$61+$Q$65</f>
        <v>3777897.8689219304</v>
      </c>
      <c r="AA56" s="213">
        <f>$Q$67</f>
        <v>10848855.308685862</v>
      </c>
    </row>
    <row r="57" spans="1:27" x14ac:dyDescent="0.35">
      <c r="A57" s="55" t="s">
        <v>336</v>
      </c>
      <c r="B57" s="92" t="s">
        <v>337</v>
      </c>
      <c r="C57" s="143">
        <v>0</v>
      </c>
      <c r="D57" s="143"/>
      <c r="E57" s="143">
        <v>0</v>
      </c>
      <c r="F57" s="143">
        <v>0</v>
      </c>
      <c r="H57" s="143">
        <f t="shared" si="0"/>
        <v>0</v>
      </c>
      <c r="I57" s="143">
        <f t="shared" si="1"/>
        <v>0</v>
      </c>
      <c r="J57" s="143">
        <f t="shared" si="2"/>
        <v>0</v>
      </c>
      <c r="K57" s="143">
        <f t="shared" si="2"/>
        <v>0</v>
      </c>
      <c r="L57" s="143">
        <f t="shared" si="3"/>
        <v>0</v>
      </c>
      <c r="M57" s="143">
        <f t="shared" si="3"/>
        <v>0</v>
      </c>
      <c r="N57" s="143">
        <f t="shared" si="4"/>
        <v>0</v>
      </c>
      <c r="O57" s="143">
        <f t="shared" si="4"/>
        <v>0</v>
      </c>
      <c r="P57" s="143">
        <f t="shared" si="5"/>
        <v>0</v>
      </c>
      <c r="Q57" s="143">
        <f t="shared" si="5"/>
        <v>0</v>
      </c>
      <c r="R57" s="158"/>
      <c r="S57" s="167"/>
      <c r="T57" s="170">
        <f>E57/(1+$E$3%)</f>
        <v>0</v>
      </c>
      <c r="U57" s="170">
        <f>F57/(1+$E$3%)</f>
        <v>0</v>
      </c>
      <c r="W57" s="446"/>
      <c r="X57" t="s">
        <v>951</v>
      </c>
      <c r="Y57" s="89">
        <f>$P$23</f>
        <v>20505777.471159577</v>
      </c>
      <c r="Z57" s="89">
        <f>$P$44+$P$55+$P$61+$P$65</f>
        <v>3777897.8689219304</v>
      </c>
      <c r="AA57" s="213">
        <f>$P$67</f>
        <v>24283675.340081509</v>
      </c>
    </row>
    <row r="58" spans="1:27" x14ac:dyDescent="0.35">
      <c r="A58" s="55" t="s">
        <v>338</v>
      </c>
      <c r="B58" s="92" t="s">
        <v>339</v>
      </c>
      <c r="C58" s="143">
        <v>0</v>
      </c>
      <c r="D58" s="143"/>
      <c r="E58" s="143">
        <v>0</v>
      </c>
      <c r="F58" s="143">
        <v>0</v>
      </c>
      <c r="H58" s="143">
        <f t="shared" si="0"/>
        <v>0</v>
      </c>
      <c r="I58" s="143">
        <f t="shared" si="1"/>
        <v>0</v>
      </c>
      <c r="J58" s="143">
        <f t="shared" si="2"/>
        <v>0</v>
      </c>
      <c r="K58" s="143">
        <f t="shared" si="2"/>
        <v>0</v>
      </c>
      <c r="L58" s="143">
        <f t="shared" si="3"/>
        <v>0</v>
      </c>
      <c r="M58" s="143">
        <f t="shared" si="3"/>
        <v>0</v>
      </c>
      <c r="N58" s="143">
        <f t="shared" si="4"/>
        <v>0</v>
      </c>
      <c r="O58" s="143">
        <f t="shared" si="4"/>
        <v>0</v>
      </c>
      <c r="P58" s="143">
        <f t="shared" si="5"/>
        <v>0</v>
      </c>
      <c r="Q58" s="143">
        <f t="shared" si="5"/>
        <v>0</v>
      </c>
      <c r="R58" s="158"/>
      <c r="S58" s="167"/>
      <c r="T58" s="170">
        <f t="shared" ref="T58:U60" si="21">E58/(1+$E$3%)</f>
        <v>0</v>
      </c>
      <c r="U58" s="170">
        <f t="shared" si="21"/>
        <v>0</v>
      </c>
      <c r="W58" s="446"/>
      <c r="X58" t="s">
        <v>950</v>
      </c>
      <c r="Y58" s="89">
        <f>$Q$23</f>
        <v>7070957.4397639316</v>
      </c>
      <c r="Z58" s="89">
        <f>$Q$44+$Q$55+$Q$61+$Q$65</f>
        <v>3777897.8689219304</v>
      </c>
      <c r="AA58" s="213">
        <f>$Q$67</f>
        <v>10848855.308685862</v>
      </c>
    </row>
    <row r="59" spans="1:27" x14ac:dyDescent="0.35">
      <c r="A59" s="55" t="s">
        <v>340</v>
      </c>
      <c r="B59" s="92" t="s">
        <v>341</v>
      </c>
      <c r="C59" s="143">
        <v>0</v>
      </c>
      <c r="D59" s="143"/>
      <c r="E59" s="143">
        <v>0</v>
      </c>
      <c r="F59" s="143">
        <v>0</v>
      </c>
      <c r="H59" s="143">
        <f t="shared" si="0"/>
        <v>0</v>
      </c>
      <c r="I59" s="143">
        <f t="shared" si="1"/>
        <v>0</v>
      </c>
      <c r="J59" s="143">
        <f t="shared" si="2"/>
        <v>0</v>
      </c>
      <c r="K59" s="143">
        <f t="shared" si="2"/>
        <v>0</v>
      </c>
      <c r="L59" s="143">
        <f t="shared" si="3"/>
        <v>0</v>
      </c>
      <c r="M59" s="143">
        <f t="shared" si="3"/>
        <v>0</v>
      </c>
      <c r="N59" s="143">
        <f t="shared" si="4"/>
        <v>0</v>
      </c>
      <c r="O59" s="143">
        <f t="shared" si="4"/>
        <v>0</v>
      </c>
      <c r="P59" s="143">
        <f t="shared" si="5"/>
        <v>0</v>
      </c>
      <c r="Q59" s="143">
        <f t="shared" si="5"/>
        <v>0</v>
      </c>
      <c r="R59" s="158"/>
      <c r="S59" s="167"/>
      <c r="T59" s="170">
        <f t="shared" si="21"/>
        <v>0</v>
      </c>
      <c r="U59" s="170">
        <f t="shared" si="21"/>
        <v>0</v>
      </c>
      <c r="W59" s="446"/>
      <c r="X59" t="s">
        <v>952</v>
      </c>
      <c r="Y59" s="89">
        <f>$P$23</f>
        <v>20505777.471159577</v>
      </c>
      <c r="Z59" s="89">
        <f>$P$44+$P$55+$P$61+$P$65</f>
        <v>3777897.8689219304</v>
      </c>
      <c r="AA59" s="213">
        <f>$P$67</f>
        <v>24283675.340081509</v>
      </c>
    </row>
    <row r="60" spans="1:27" x14ac:dyDescent="0.35">
      <c r="A60" s="55" t="s">
        <v>342</v>
      </c>
      <c r="B60" s="92" t="s">
        <v>343</v>
      </c>
      <c r="C60" s="143">
        <v>0</v>
      </c>
      <c r="D60" s="143"/>
      <c r="E60" s="143">
        <v>0</v>
      </c>
      <c r="F60" s="143">
        <v>0</v>
      </c>
      <c r="H60" s="143">
        <f t="shared" si="0"/>
        <v>0</v>
      </c>
      <c r="I60" s="143">
        <f t="shared" si="1"/>
        <v>0</v>
      </c>
      <c r="J60" s="143">
        <f t="shared" si="2"/>
        <v>0</v>
      </c>
      <c r="K60" s="143">
        <f t="shared" si="2"/>
        <v>0</v>
      </c>
      <c r="L60" s="143">
        <f t="shared" si="3"/>
        <v>0</v>
      </c>
      <c r="M60" s="143">
        <f t="shared" si="3"/>
        <v>0</v>
      </c>
      <c r="N60" s="143">
        <f t="shared" si="4"/>
        <v>0</v>
      </c>
      <c r="O60" s="143">
        <f t="shared" si="4"/>
        <v>0</v>
      </c>
      <c r="P60" s="143">
        <f t="shared" si="5"/>
        <v>0</v>
      </c>
      <c r="Q60" s="143">
        <f t="shared" si="5"/>
        <v>0</v>
      </c>
      <c r="R60" s="158"/>
      <c r="S60" s="167"/>
      <c r="T60" s="170">
        <f t="shared" si="21"/>
        <v>0</v>
      </c>
      <c r="U60" s="170">
        <f t="shared" si="21"/>
        <v>0</v>
      </c>
      <c r="W60" s="446"/>
      <c r="X60" t="s">
        <v>953</v>
      </c>
      <c r="Y60" s="89">
        <f>$Q$23</f>
        <v>7070957.4397639316</v>
      </c>
      <c r="Z60" s="89">
        <f>$Q$44+$Q$55+$Q$61+$Q$65</f>
        <v>3777897.8689219304</v>
      </c>
      <c r="AA60" s="213">
        <f>$Q$67</f>
        <v>10848855.308685862</v>
      </c>
    </row>
    <row r="61" spans="1:27" x14ac:dyDescent="0.35">
      <c r="A61" s="55"/>
      <c r="B61" s="142" t="s">
        <v>344</v>
      </c>
      <c r="C61" s="144">
        <v>0</v>
      </c>
      <c r="D61" s="144"/>
      <c r="E61" s="144">
        <v>0</v>
      </c>
      <c r="F61" s="144">
        <v>0</v>
      </c>
      <c r="H61" s="144">
        <f t="shared" si="0"/>
        <v>0</v>
      </c>
      <c r="I61" s="144">
        <f t="shared" si="1"/>
        <v>0</v>
      </c>
      <c r="J61" s="144">
        <f t="shared" si="2"/>
        <v>0</v>
      </c>
      <c r="K61" s="144">
        <f t="shared" si="2"/>
        <v>0</v>
      </c>
      <c r="L61" s="144">
        <f t="shared" si="3"/>
        <v>0</v>
      </c>
      <c r="M61" s="144">
        <f t="shared" si="3"/>
        <v>0</v>
      </c>
      <c r="N61" s="144">
        <f t="shared" si="4"/>
        <v>0</v>
      </c>
      <c r="O61" s="144">
        <f t="shared" si="4"/>
        <v>0</v>
      </c>
      <c r="P61" s="144">
        <f t="shared" si="5"/>
        <v>0</v>
      </c>
      <c r="Q61" s="144">
        <f t="shared" si="5"/>
        <v>0</v>
      </c>
      <c r="R61" s="166"/>
      <c r="S61" s="169"/>
      <c r="T61" s="165">
        <v>0</v>
      </c>
      <c r="U61" s="144">
        <v>0</v>
      </c>
      <c r="W61" s="446"/>
      <c r="X61" t="s">
        <v>954</v>
      </c>
      <c r="Y61" s="89">
        <f>$P$23</f>
        <v>20505777.471159577</v>
      </c>
      <c r="Z61" s="89">
        <f>$P$44+$P$55+$P$61+$P$65</f>
        <v>3777897.8689219304</v>
      </c>
      <c r="AA61" s="213">
        <f>$P$67</f>
        <v>24283675.340081509</v>
      </c>
    </row>
    <row r="62" spans="1:27" x14ac:dyDescent="0.35">
      <c r="A62" s="150">
        <v>5</v>
      </c>
      <c r="B62" s="147" t="s">
        <v>345</v>
      </c>
      <c r="C62" s="148"/>
      <c r="D62" s="148"/>
      <c r="E62" s="148"/>
      <c r="F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58"/>
      <c r="S62" s="167"/>
      <c r="T62" s="148"/>
      <c r="U62" s="148"/>
      <c r="W62" s="446"/>
      <c r="X62" t="s">
        <v>955</v>
      </c>
      <c r="Y62" s="89">
        <f>$Q$23</f>
        <v>7070957.4397639316</v>
      </c>
      <c r="Z62" s="89">
        <f>$Q$44+$Q$55+$Q$61+$Q$65</f>
        <v>3777897.8689219304</v>
      </c>
      <c r="AA62" s="213">
        <f>$Q$67</f>
        <v>10848855.308685862</v>
      </c>
    </row>
    <row r="63" spans="1:27" x14ac:dyDescent="0.35">
      <c r="A63" s="55" t="s">
        <v>346</v>
      </c>
      <c r="B63" s="92" t="s">
        <v>347</v>
      </c>
      <c r="C63" s="143">
        <v>0</v>
      </c>
      <c r="D63" s="143"/>
      <c r="E63" s="143">
        <v>0</v>
      </c>
      <c r="F63" s="143">
        <v>0</v>
      </c>
      <c r="H63" s="143">
        <f t="shared" si="0"/>
        <v>0</v>
      </c>
      <c r="I63" s="143">
        <f t="shared" si="1"/>
        <v>0</v>
      </c>
      <c r="J63" s="143">
        <f t="shared" si="2"/>
        <v>0</v>
      </c>
      <c r="K63" s="143">
        <f t="shared" si="2"/>
        <v>0</v>
      </c>
      <c r="L63" s="143">
        <f t="shared" si="3"/>
        <v>0</v>
      </c>
      <c r="M63" s="143">
        <f t="shared" si="3"/>
        <v>0</v>
      </c>
      <c r="N63" s="143">
        <f t="shared" si="4"/>
        <v>0</v>
      </c>
      <c r="O63" s="143">
        <f t="shared" si="4"/>
        <v>0</v>
      </c>
      <c r="P63" s="143">
        <f t="shared" si="5"/>
        <v>0</v>
      </c>
      <c r="Q63" s="143">
        <f t="shared" si="5"/>
        <v>0</v>
      </c>
      <c r="R63" s="158"/>
      <c r="S63" s="167"/>
      <c r="T63" s="170">
        <f>E63/(1+$E$3%)</f>
        <v>0</v>
      </c>
      <c r="U63" s="170">
        <f>F63/(1+$E$3%)</f>
        <v>0</v>
      </c>
      <c r="W63" s="446"/>
      <c r="X63" t="s">
        <v>958</v>
      </c>
      <c r="Y63" s="89">
        <f>$P$23</f>
        <v>20505777.471159577</v>
      </c>
      <c r="Z63" s="89">
        <f>$P$44+$P$55+$P$61+$P$65</f>
        <v>3777897.8689219304</v>
      </c>
      <c r="AA63" s="213">
        <f>$P$67</f>
        <v>24283675.340081509</v>
      </c>
    </row>
    <row r="64" spans="1:27" ht="15" thickBot="1" x14ac:dyDescent="0.4">
      <c r="A64" s="117" t="s">
        <v>348</v>
      </c>
      <c r="B64" s="92" t="s">
        <v>349</v>
      </c>
      <c r="C64" s="143">
        <v>0</v>
      </c>
      <c r="D64" s="143"/>
      <c r="E64" s="143">
        <v>0</v>
      </c>
      <c r="F64" s="143">
        <v>0</v>
      </c>
      <c r="H64" s="143">
        <f t="shared" si="0"/>
        <v>0</v>
      </c>
      <c r="I64" s="143">
        <f t="shared" si="1"/>
        <v>0</v>
      </c>
      <c r="J64" s="143">
        <f t="shared" si="2"/>
        <v>0</v>
      </c>
      <c r="K64" s="143">
        <f t="shared" si="2"/>
        <v>0</v>
      </c>
      <c r="L64" s="143">
        <f t="shared" si="3"/>
        <v>0</v>
      </c>
      <c r="M64" s="143">
        <f t="shared" si="3"/>
        <v>0</v>
      </c>
      <c r="N64" s="143">
        <f t="shared" si="4"/>
        <v>0</v>
      </c>
      <c r="O64" s="143">
        <f t="shared" si="4"/>
        <v>0</v>
      </c>
      <c r="P64" s="143">
        <f t="shared" si="5"/>
        <v>0</v>
      </c>
      <c r="Q64" s="143">
        <f t="shared" si="5"/>
        <v>0</v>
      </c>
      <c r="R64" s="158"/>
      <c r="S64" s="167"/>
      <c r="T64" s="170">
        <f>E64/(1+$E$3%)</f>
        <v>0</v>
      </c>
      <c r="U64" s="170">
        <f>F64/(1+$E$3%)</f>
        <v>0</v>
      </c>
      <c r="W64" s="447"/>
      <c r="X64" s="209" t="s">
        <v>959</v>
      </c>
      <c r="Y64" s="228">
        <f>$Q$23</f>
        <v>7070957.4397639316</v>
      </c>
      <c r="Z64" s="228">
        <f>$Q$44+$Q$55+$Q$61+$Q$65</f>
        <v>3777897.8689219304</v>
      </c>
      <c r="AA64" s="214">
        <f>$Q$67</f>
        <v>10848855.308685862</v>
      </c>
    </row>
    <row r="65" spans="1:27" x14ac:dyDescent="0.35">
      <c r="A65" s="55"/>
      <c r="B65" s="142" t="s">
        <v>350</v>
      </c>
      <c r="C65" s="144">
        <v>0</v>
      </c>
      <c r="D65" s="144"/>
      <c r="E65" s="144">
        <v>0</v>
      </c>
      <c r="F65" s="144">
        <v>0</v>
      </c>
      <c r="H65" s="144">
        <f t="shared" si="0"/>
        <v>0</v>
      </c>
      <c r="I65" s="144">
        <f t="shared" si="1"/>
        <v>0</v>
      </c>
      <c r="J65" s="144">
        <f t="shared" si="2"/>
        <v>0</v>
      </c>
      <c r="K65" s="144">
        <f t="shared" si="2"/>
        <v>0</v>
      </c>
      <c r="L65" s="144">
        <f t="shared" si="3"/>
        <v>0</v>
      </c>
      <c r="M65" s="144">
        <f t="shared" si="3"/>
        <v>0</v>
      </c>
      <c r="N65" s="144">
        <f t="shared" si="4"/>
        <v>0</v>
      </c>
      <c r="O65" s="144">
        <f t="shared" si="4"/>
        <v>0</v>
      </c>
      <c r="P65" s="144">
        <f t="shared" si="5"/>
        <v>0</v>
      </c>
      <c r="Q65" s="144">
        <f t="shared" si="5"/>
        <v>0</v>
      </c>
      <c r="R65" s="166"/>
      <c r="S65" s="169"/>
      <c r="T65" s="165">
        <v>0</v>
      </c>
      <c r="U65" s="144">
        <v>0</v>
      </c>
      <c r="AA65" s="89"/>
    </row>
    <row r="66" spans="1:27" x14ac:dyDescent="0.35">
      <c r="A66" s="55"/>
      <c r="B66" s="92"/>
      <c r="C66" s="143"/>
      <c r="D66" s="143"/>
      <c r="E66" s="143"/>
      <c r="F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58"/>
      <c r="S66" s="167"/>
      <c r="T66" s="170"/>
      <c r="U66" s="170"/>
    </row>
    <row r="67" spans="1:27" x14ac:dyDescent="0.35">
      <c r="A67" s="118"/>
      <c r="B67" s="149" t="s">
        <v>351</v>
      </c>
      <c r="C67" s="144">
        <f>SUM(C23,C44,C55,C61,C65)</f>
        <v>27764173.323480204</v>
      </c>
      <c r="D67" s="144"/>
      <c r="E67" s="144">
        <f>SUM(E23,E44,E55,E61,E65)</f>
        <v>20950017.32243818</v>
      </c>
      <c r="F67" s="144">
        <f>SUM(F23,F44,F55,F61,F65)</f>
        <v>9359526.6557715107</v>
      </c>
      <c r="H67" s="144">
        <f t="shared" si="0"/>
        <v>21616748.92596684</v>
      </c>
      <c r="I67" s="144">
        <f t="shared" si="1"/>
        <v>9657392.3863543812</v>
      </c>
      <c r="J67" s="144">
        <f t="shared" si="2"/>
        <v>22283480.529495504</v>
      </c>
      <c r="K67" s="144">
        <f t="shared" si="2"/>
        <v>9955258.1169372499</v>
      </c>
      <c r="L67" s="144">
        <f t="shared" si="3"/>
        <v>22950212.133024171</v>
      </c>
      <c r="M67" s="144">
        <f t="shared" si="3"/>
        <v>10253123.84752012</v>
      </c>
      <c r="N67" s="144">
        <f t="shared" si="4"/>
        <v>23616943.736552842</v>
      </c>
      <c r="O67" s="144">
        <f t="shared" si="4"/>
        <v>10550989.578102991</v>
      </c>
      <c r="P67" s="144">
        <f t="shared" si="5"/>
        <v>24283675.340081509</v>
      </c>
      <c r="Q67" s="144">
        <f t="shared" si="5"/>
        <v>10848855.308685862</v>
      </c>
      <c r="R67" s="166"/>
      <c r="S67" s="169"/>
      <c r="T67" s="165">
        <f t="shared" ref="T67" si="22">SUM(T23,T44,T55,T61,T65)</f>
        <v>19269699.523949709</v>
      </c>
      <c r="U67" s="144">
        <f>SUM(U23,U44,U55,U61,U65)</f>
        <v>8608836.1440135092</v>
      </c>
    </row>
    <row r="69" spans="1:27" x14ac:dyDescent="0.35">
      <c r="E69" s="146">
        <f>SUM(E67:F67)</f>
        <v>30309543.978209689</v>
      </c>
      <c r="H69" s="146">
        <f>SUM(H67:I67)</f>
        <v>31274141.312321223</v>
      </c>
      <c r="J69" s="146">
        <f>SUM(J67:K67)</f>
        <v>32238738.646432754</v>
      </c>
      <c r="L69" s="146">
        <f>SUM(L67:M67)</f>
        <v>33203335.980544291</v>
      </c>
      <c r="N69" s="146">
        <f>SUM(N67:O67)</f>
        <v>34167933.314655833</v>
      </c>
      <c r="P69" s="146">
        <f>SUM(P67:Q67)</f>
        <v>35132530.648767367</v>
      </c>
      <c r="T69" s="146"/>
    </row>
  </sheetData>
  <mergeCells count="41">
    <mergeCell ref="W53:W64"/>
    <mergeCell ref="W2:AA2"/>
    <mergeCell ref="P1:Q1"/>
    <mergeCell ref="W5:W16"/>
    <mergeCell ref="W17:W28"/>
    <mergeCell ref="W29:W40"/>
    <mergeCell ref="W41:W52"/>
    <mergeCell ref="T2:U2"/>
    <mergeCell ref="T4:T5"/>
    <mergeCell ref="U4:U5"/>
    <mergeCell ref="C1:F1"/>
    <mergeCell ref="H1:I1"/>
    <mergeCell ref="J1:K1"/>
    <mergeCell ref="L1:M1"/>
    <mergeCell ref="N1:O1"/>
    <mergeCell ref="N4:N5"/>
    <mergeCell ref="O4:O5"/>
    <mergeCell ref="P4:P5"/>
    <mergeCell ref="Q4:Q5"/>
    <mergeCell ref="P2:Q2"/>
    <mergeCell ref="P3:Q3"/>
    <mergeCell ref="C2:F2"/>
    <mergeCell ref="H2:I2"/>
    <mergeCell ref="J2:K2"/>
    <mergeCell ref="L2:M2"/>
    <mergeCell ref="N2:O2"/>
    <mergeCell ref="E3:F3"/>
    <mergeCell ref="H3:I3"/>
    <mergeCell ref="J3:K3"/>
    <mergeCell ref="L3:M3"/>
    <mergeCell ref="N3:O3"/>
    <mergeCell ref="I4:I5"/>
    <mergeCell ref="J4:J5"/>
    <mergeCell ref="K4:K5"/>
    <mergeCell ref="L4:L5"/>
    <mergeCell ref="M4:M5"/>
    <mergeCell ref="C4:C5"/>
    <mergeCell ref="D4:D5"/>
    <mergeCell ref="E4:E5"/>
    <mergeCell ref="F4:F5"/>
    <mergeCell ref="H4:H5"/>
  </mergeCells>
  <phoneticPr fontId="7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85E73-B8F0-4E2C-A2B5-873FE282DF8A}">
  <dimension ref="A2:M64"/>
  <sheetViews>
    <sheetView topLeftCell="A3" workbookViewId="0"/>
  </sheetViews>
  <sheetFormatPr baseColWidth="10" defaultRowHeight="14.5" x14ac:dyDescent="0.35"/>
  <cols>
    <col min="2" max="2" width="10.81640625" style="218"/>
    <col min="3" max="3" width="13" bestFit="1" customWidth="1"/>
    <col min="4" max="4" width="14.453125" bestFit="1" customWidth="1"/>
    <col min="5" max="5" width="13" style="8" bestFit="1" customWidth="1"/>
    <col min="6" max="6" width="15.26953125" customWidth="1"/>
    <col min="7" max="7" width="13" bestFit="1" customWidth="1"/>
    <col min="8" max="8" width="14" bestFit="1" customWidth="1"/>
  </cols>
  <sheetData>
    <row r="2" spans="1:13" s="203" customFormat="1" ht="43.5" x14ac:dyDescent="0.35">
      <c r="A2" s="216"/>
      <c r="C2" s="217" t="s">
        <v>962</v>
      </c>
      <c r="D2" s="203" t="s">
        <v>970</v>
      </c>
      <c r="E2" s="215" t="s">
        <v>971</v>
      </c>
      <c r="F2" s="203" t="s">
        <v>972</v>
      </c>
      <c r="G2" s="203" t="s">
        <v>974</v>
      </c>
      <c r="H2" s="203" t="s">
        <v>969</v>
      </c>
    </row>
    <row r="3" spans="1:13" s="4" customFormat="1" ht="15" thickBot="1" x14ac:dyDescent="0.4">
      <c r="B3" s="203" t="s">
        <v>963</v>
      </c>
      <c r="C3" s="220">
        <f>(E4+E5+E6)</f>
        <v>47078958.096188962</v>
      </c>
      <c r="D3" s="2"/>
      <c r="E3" s="221"/>
      <c r="F3" s="2"/>
      <c r="G3" s="222">
        <f>C3</f>
        <v>47078958.096188962</v>
      </c>
      <c r="H3" s="220">
        <f>G3</f>
        <v>47078958.096188962</v>
      </c>
    </row>
    <row r="4" spans="1:13" ht="15" thickBot="1" x14ac:dyDescent="0.4">
      <c r="A4" s="210">
        <v>2022</v>
      </c>
      <c r="B4" s="218" t="s">
        <v>959</v>
      </c>
      <c r="C4" s="2">
        <f>C3-E4</f>
        <v>19314784.772708759</v>
      </c>
      <c r="D4" s="2">
        <f>ProyeccionEstadoVentas!M5</f>
        <v>0</v>
      </c>
      <c r="E4" s="8">
        <f>'Estado.Gen.Costos.Gastos'!AA4</f>
        <v>27764173.323480204</v>
      </c>
      <c r="F4" s="2">
        <f>D4*SUM(Distribución.Gastos!$A$72:$A$76)</f>
        <v>0</v>
      </c>
      <c r="G4" s="2">
        <f t="shared" ref="G4:G35" si="0">D4-E4-F4</f>
        <v>-27764173.323480204</v>
      </c>
      <c r="H4" s="2">
        <f t="shared" ref="H4:H35" si="1">H3+G4</f>
        <v>19314784.772708759</v>
      </c>
    </row>
    <row r="5" spans="1:13" x14ac:dyDescent="0.35">
      <c r="A5" s="445">
        <v>2023</v>
      </c>
      <c r="B5" s="218" t="s">
        <v>960</v>
      </c>
      <c r="C5" s="2">
        <f>C4-E5</f>
        <v>9657392.3863543775</v>
      </c>
      <c r="D5" s="2">
        <f>ProyeccionEstadoVentas!M6</f>
        <v>0</v>
      </c>
      <c r="E5" s="8">
        <f>'Estado.Gen.Costos.Gastos'!AA5</f>
        <v>9657392.3863543812</v>
      </c>
      <c r="F5" s="2">
        <f>D5*SUM(Distribución.Gastos!$A$72:$A$76)</f>
        <v>0</v>
      </c>
      <c r="G5" s="2">
        <f t="shared" si="0"/>
        <v>-9657392.3863543812</v>
      </c>
      <c r="H5" s="2">
        <f t="shared" si="1"/>
        <v>9657392.3863543775</v>
      </c>
    </row>
    <row r="6" spans="1:13" x14ac:dyDescent="0.35">
      <c r="A6" s="446"/>
      <c r="B6" s="218" t="s">
        <v>956</v>
      </c>
      <c r="C6" s="2">
        <f>C5-E6</f>
        <v>0</v>
      </c>
      <c r="D6" s="2">
        <f>ProyeccionEstadoVentas!M7</f>
        <v>0</v>
      </c>
      <c r="E6" s="8">
        <f>'Estado.Gen.Costos.Gastos'!AA6</f>
        <v>9657392.3863543812</v>
      </c>
      <c r="F6" s="2">
        <f>D6*SUM(Distribución.Gastos!$A$72:$A$76)</f>
        <v>0</v>
      </c>
      <c r="G6" s="2">
        <f t="shared" si="0"/>
        <v>-9657392.3863543812</v>
      </c>
      <c r="H6" s="2">
        <f t="shared" si="1"/>
        <v>0</v>
      </c>
    </row>
    <row r="7" spans="1:13" x14ac:dyDescent="0.35">
      <c r="A7" s="446"/>
      <c r="B7" s="218" t="s">
        <v>949</v>
      </c>
      <c r="C7" t="s">
        <v>973</v>
      </c>
      <c r="D7" s="2">
        <f>ProyeccionEstadoVentas!M8</f>
        <v>32190486.746128447</v>
      </c>
      <c r="E7" s="8">
        <f>'Estado.Gen.Costos.Gastos'!AA7</f>
        <v>21616748.92596684</v>
      </c>
      <c r="F7" s="2">
        <f>D7*SUM(Distribución.Gastos!$A$72:$A$76)</f>
        <v>13231577.672128636</v>
      </c>
      <c r="G7" s="2">
        <f t="shared" si="0"/>
        <v>-2657839.8519670293</v>
      </c>
      <c r="H7" s="2">
        <f t="shared" si="1"/>
        <v>-2657839.8519670293</v>
      </c>
      <c r="J7" s="451"/>
      <c r="K7" s="451"/>
      <c r="L7" s="451"/>
      <c r="M7" s="452"/>
    </row>
    <row r="8" spans="1:13" x14ac:dyDescent="0.35">
      <c r="A8" s="446"/>
      <c r="B8" s="218" t="s">
        <v>957</v>
      </c>
      <c r="C8" t="s">
        <v>973</v>
      </c>
      <c r="D8" s="2">
        <f>ProyeccionEstadoVentas!M9</f>
        <v>32190486.746128447</v>
      </c>
      <c r="E8" s="8">
        <f>'Estado.Gen.Costos.Gastos'!AA8</f>
        <v>9657392.3863543812</v>
      </c>
      <c r="F8" s="2">
        <f>D8*SUM(Distribución.Gastos!$A$72:$A$76)</f>
        <v>13231577.672128636</v>
      </c>
      <c r="G8" s="2">
        <f t="shared" si="0"/>
        <v>9301516.6876454316</v>
      </c>
      <c r="H8" s="2">
        <f t="shared" si="1"/>
        <v>6643676.8356784023</v>
      </c>
      <c r="J8" s="409"/>
      <c r="K8" s="409"/>
      <c r="L8" s="409"/>
      <c r="M8" s="452"/>
    </row>
    <row r="9" spans="1:13" x14ac:dyDescent="0.35">
      <c r="A9" s="446"/>
      <c r="B9" s="218" t="s">
        <v>951</v>
      </c>
      <c r="C9" t="s">
        <v>973</v>
      </c>
      <c r="D9" s="2">
        <f>ProyeccionEstadoVentas!M10</f>
        <v>32190486.746128447</v>
      </c>
      <c r="E9" s="8">
        <f>'Estado.Gen.Costos.Gastos'!AA9</f>
        <v>21616748.92596684</v>
      </c>
      <c r="F9" s="2">
        <f>D9*SUM(Distribución.Gastos!$A$72:$A$76)</f>
        <v>13231577.672128636</v>
      </c>
      <c r="G9" s="2">
        <f t="shared" si="0"/>
        <v>-2657839.8519670293</v>
      </c>
      <c r="H9" s="2">
        <f t="shared" si="1"/>
        <v>3985836.9837113731</v>
      </c>
      <c r="J9" s="2"/>
      <c r="L9" s="225"/>
    </row>
    <row r="10" spans="1:13" x14ac:dyDescent="0.35">
      <c r="A10" s="446"/>
      <c r="B10" s="218" t="s">
        <v>950</v>
      </c>
      <c r="C10" t="s">
        <v>973</v>
      </c>
      <c r="D10" s="2">
        <f>ProyeccionEstadoVentas!M11</f>
        <v>32190486.746128447</v>
      </c>
      <c r="E10" s="8">
        <f>'Estado.Gen.Costos.Gastos'!AA10</f>
        <v>9657392.3863543812</v>
      </c>
      <c r="F10" s="2">
        <f>D10*SUM(Distribución.Gastos!$A$72:$A$76)</f>
        <v>13231577.672128636</v>
      </c>
      <c r="G10" s="2">
        <f t="shared" si="0"/>
        <v>9301516.6876454316</v>
      </c>
      <c r="H10" s="2">
        <f t="shared" si="1"/>
        <v>13287353.671356805</v>
      </c>
    </row>
    <row r="11" spans="1:13" x14ac:dyDescent="0.35">
      <c r="A11" s="446"/>
      <c r="B11" s="218" t="s">
        <v>952</v>
      </c>
      <c r="C11" t="s">
        <v>973</v>
      </c>
      <c r="D11" s="2">
        <f>ProyeccionEstadoVentas!M12</f>
        <v>32190486.746128447</v>
      </c>
      <c r="E11" s="8">
        <f>'Estado.Gen.Costos.Gastos'!AA11</f>
        <v>21616748.92596684</v>
      </c>
      <c r="F11" s="2">
        <f>D11*SUM(Distribución.Gastos!$A$72:$A$76)</f>
        <v>13231577.672128636</v>
      </c>
      <c r="G11" s="2">
        <f t="shared" si="0"/>
        <v>-2657839.8519670293</v>
      </c>
      <c r="H11" s="2">
        <f t="shared" si="1"/>
        <v>10629513.819389775</v>
      </c>
    </row>
    <row r="12" spans="1:13" x14ac:dyDescent="0.35">
      <c r="A12" s="446"/>
      <c r="B12" s="218" t="s">
        <v>953</v>
      </c>
      <c r="C12" t="s">
        <v>973</v>
      </c>
      <c r="D12" s="2">
        <f>ProyeccionEstadoVentas!M13</f>
        <v>32190486.746128447</v>
      </c>
      <c r="E12" s="8">
        <f>'Estado.Gen.Costos.Gastos'!AA12</f>
        <v>9657392.3863543812</v>
      </c>
      <c r="F12" s="2">
        <f>D12*SUM(Distribución.Gastos!$A$72:$A$76)</f>
        <v>13231577.672128636</v>
      </c>
      <c r="G12" s="2">
        <f t="shared" si="0"/>
        <v>9301516.6876454316</v>
      </c>
      <c r="H12" s="2">
        <f t="shared" si="1"/>
        <v>19931030.507035207</v>
      </c>
    </row>
    <row r="13" spans="1:13" x14ac:dyDescent="0.35">
      <c r="A13" s="446"/>
      <c r="B13" s="218" t="s">
        <v>954</v>
      </c>
      <c r="C13" t="s">
        <v>973</v>
      </c>
      <c r="D13" s="2">
        <f>ProyeccionEstadoVentas!M14</f>
        <v>32190486.746128447</v>
      </c>
      <c r="E13" s="8">
        <f>'Estado.Gen.Costos.Gastos'!AA13</f>
        <v>21616748.92596684</v>
      </c>
      <c r="F13" s="2">
        <f>D13*SUM(Distribución.Gastos!$A$72:$A$76)</f>
        <v>13231577.672128636</v>
      </c>
      <c r="G13" s="2">
        <f t="shared" si="0"/>
        <v>-2657839.8519670293</v>
      </c>
      <c r="H13" s="2">
        <f t="shared" si="1"/>
        <v>17273190.655068178</v>
      </c>
    </row>
    <row r="14" spans="1:13" x14ac:dyDescent="0.35">
      <c r="A14" s="446"/>
      <c r="B14" s="218" t="s">
        <v>955</v>
      </c>
      <c r="C14" t="s">
        <v>973</v>
      </c>
      <c r="D14" s="2">
        <f>ProyeccionEstadoVentas!M15</f>
        <v>32190486.746128447</v>
      </c>
      <c r="E14" s="8">
        <f>'Estado.Gen.Costos.Gastos'!AA14</f>
        <v>9657392.3863543812</v>
      </c>
      <c r="F14" s="2">
        <f>D14*SUM(Distribución.Gastos!$A$72:$A$76)</f>
        <v>13231577.672128636</v>
      </c>
      <c r="G14" s="2">
        <f t="shared" si="0"/>
        <v>9301516.6876454316</v>
      </c>
      <c r="H14" s="2">
        <f t="shared" si="1"/>
        <v>26574707.342713609</v>
      </c>
    </row>
    <row r="15" spans="1:13" x14ac:dyDescent="0.35">
      <c r="A15" s="446"/>
      <c r="B15" s="218" t="s">
        <v>958</v>
      </c>
      <c r="C15" t="s">
        <v>973</v>
      </c>
      <c r="D15" s="2">
        <f>ProyeccionEstadoVentas!M16</f>
        <v>32190486.746128447</v>
      </c>
      <c r="E15" s="8">
        <f>'Estado.Gen.Costos.Gastos'!AA15</f>
        <v>21616748.92596684</v>
      </c>
      <c r="F15" s="2">
        <f>D15*SUM(Distribución.Gastos!$A$72:$A$76)</f>
        <v>13231577.672128636</v>
      </c>
      <c r="G15" s="2">
        <f t="shared" si="0"/>
        <v>-2657839.8519670293</v>
      </c>
      <c r="H15" s="2">
        <f t="shared" si="1"/>
        <v>23916867.49074658</v>
      </c>
    </row>
    <row r="16" spans="1:13" ht="15" thickBot="1" x14ac:dyDescent="0.4">
      <c r="A16" s="447"/>
      <c r="B16" s="218" t="s">
        <v>959</v>
      </c>
      <c r="C16" t="s">
        <v>973</v>
      </c>
      <c r="D16" s="2">
        <f>ProyeccionEstadoVentas!M17</f>
        <v>32190486.746128447</v>
      </c>
      <c r="E16" s="8">
        <f>'Estado.Gen.Costos.Gastos'!AA16</f>
        <v>9657392.3863543812</v>
      </c>
      <c r="F16" s="2">
        <f>D16*SUM(Distribución.Gastos!$A$72:$A$76)</f>
        <v>13231577.672128636</v>
      </c>
      <c r="G16" s="2">
        <f t="shared" si="0"/>
        <v>9301516.6876454316</v>
      </c>
      <c r="H16" s="2">
        <f t="shared" si="1"/>
        <v>33218384.178392012</v>
      </c>
    </row>
    <row r="17" spans="1:8" x14ac:dyDescent="0.35">
      <c r="A17" s="445">
        <v>2024</v>
      </c>
      <c r="B17" s="218" t="s">
        <v>960</v>
      </c>
      <c r="C17" t="s">
        <v>973</v>
      </c>
      <c r="D17" s="2">
        <f>ProyeccionEstadoVentas!M18</f>
        <v>33183347.185971603</v>
      </c>
      <c r="E17" s="8">
        <f>'Estado.Gen.Costos.Gastos'!AA17</f>
        <v>22283480.529495504</v>
      </c>
      <c r="F17" s="2">
        <f>D17*SUM(Distribución.Gastos!$A$72:$A$76)</f>
        <v>13639683.027321767</v>
      </c>
      <c r="G17" s="2">
        <f t="shared" si="0"/>
        <v>-2739816.370845668</v>
      </c>
      <c r="H17" s="2">
        <f t="shared" si="1"/>
        <v>30478567.807546344</v>
      </c>
    </row>
    <row r="18" spans="1:8" x14ac:dyDescent="0.35">
      <c r="A18" s="446"/>
      <c r="B18" s="218" t="s">
        <v>956</v>
      </c>
      <c r="C18" t="s">
        <v>973</v>
      </c>
      <c r="D18" s="2">
        <f>ProyeccionEstadoVentas!M19</f>
        <v>33183347.185971603</v>
      </c>
      <c r="E18" s="8">
        <f>'Estado.Gen.Costos.Gastos'!AA18</f>
        <v>9955258.1169372499</v>
      </c>
      <c r="F18" s="2">
        <f>D18*SUM(Distribución.Gastos!$A$72:$A$76)</f>
        <v>13639683.027321767</v>
      </c>
      <c r="G18" s="2">
        <f t="shared" si="0"/>
        <v>9588406.0417125858</v>
      </c>
      <c r="H18" s="2">
        <f t="shared" si="1"/>
        <v>40066973.849258929</v>
      </c>
    </row>
    <row r="19" spans="1:8" x14ac:dyDescent="0.35">
      <c r="A19" s="446"/>
      <c r="B19" s="218" t="s">
        <v>949</v>
      </c>
      <c r="C19" t="s">
        <v>973</v>
      </c>
      <c r="D19" s="2">
        <f>ProyeccionEstadoVentas!M20</f>
        <v>33183347.185971603</v>
      </c>
      <c r="E19" s="8">
        <f>'Estado.Gen.Costos.Gastos'!AA19</f>
        <v>22283480.529495504</v>
      </c>
      <c r="F19" s="2">
        <f>D19*SUM(Distribución.Gastos!$A$72:$A$76)</f>
        <v>13639683.027321767</v>
      </c>
      <c r="G19" s="2">
        <f t="shared" si="0"/>
        <v>-2739816.370845668</v>
      </c>
      <c r="H19" s="2">
        <f t="shared" si="1"/>
        <v>37327157.478413261</v>
      </c>
    </row>
    <row r="20" spans="1:8" x14ac:dyDescent="0.35">
      <c r="A20" s="446"/>
      <c r="B20" s="218" t="s">
        <v>957</v>
      </c>
      <c r="C20" t="s">
        <v>973</v>
      </c>
      <c r="D20" s="2">
        <f>ProyeccionEstadoVentas!M21</f>
        <v>33183347.185971603</v>
      </c>
      <c r="E20" s="8">
        <f>'Estado.Gen.Costos.Gastos'!AA20</f>
        <v>9955258.1169372499</v>
      </c>
      <c r="F20" s="2">
        <f>D20*SUM(Distribución.Gastos!$A$72:$A$76)</f>
        <v>13639683.027321767</v>
      </c>
      <c r="G20" s="2">
        <f t="shared" si="0"/>
        <v>9588406.0417125858</v>
      </c>
      <c r="H20" s="2">
        <f t="shared" si="1"/>
        <v>46915563.520125851</v>
      </c>
    </row>
    <row r="21" spans="1:8" x14ac:dyDescent="0.35">
      <c r="A21" s="446"/>
      <c r="B21" s="218" t="s">
        <v>951</v>
      </c>
      <c r="C21" t="s">
        <v>973</v>
      </c>
      <c r="D21" s="2">
        <f>ProyeccionEstadoVentas!M22</f>
        <v>33183347.185971603</v>
      </c>
      <c r="E21" s="8">
        <f>'Estado.Gen.Costos.Gastos'!AA21</f>
        <v>22283480.529495504</v>
      </c>
      <c r="F21" s="2">
        <f>D21*SUM(Distribución.Gastos!$A$72:$A$76)</f>
        <v>13639683.027321767</v>
      </c>
      <c r="G21" s="2">
        <f t="shared" si="0"/>
        <v>-2739816.370845668</v>
      </c>
      <c r="H21" s="2">
        <f t="shared" si="1"/>
        <v>44175747.149280183</v>
      </c>
    </row>
    <row r="22" spans="1:8" x14ac:dyDescent="0.35">
      <c r="A22" s="446"/>
      <c r="B22" s="218" t="s">
        <v>950</v>
      </c>
      <c r="C22" t="s">
        <v>973</v>
      </c>
      <c r="D22" s="2">
        <f>ProyeccionEstadoVentas!M23</f>
        <v>33183347.185971603</v>
      </c>
      <c r="E22" s="8">
        <f>'Estado.Gen.Costos.Gastos'!AA22</f>
        <v>9955258.1169372499</v>
      </c>
      <c r="F22" s="2">
        <f>D22*SUM(Distribución.Gastos!$A$72:$A$76)</f>
        <v>13639683.027321767</v>
      </c>
      <c r="G22" s="2">
        <f t="shared" si="0"/>
        <v>9588406.0417125858</v>
      </c>
      <c r="H22" s="2">
        <f t="shared" si="1"/>
        <v>53764153.190992773</v>
      </c>
    </row>
    <row r="23" spans="1:8" x14ac:dyDescent="0.35">
      <c r="A23" s="446"/>
      <c r="B23" s="218" t="s">
        <v>952</v>
      </c>
      <c r="C23" t="s">
        <v>973</v>
      </c>
      <c r="D23" s="2">
        <f>ProyeccionEstadoVentas!M24</f>
        <v>33183347.185971603</v>
      </c>
      <c r="E23" s="8">
        <f>'Estado.Gen.Costos.Gastos'!AA23</f>
        <v>22283480.529495504</v>
      </c>
      <c r="F23" s="2">
        <f>D23*SUM(Distribución.Gastos!$A$72:$A$76)</f>
        <v>13639683.027321767</v>
      </c>
      <c r="G23" s="2">
        <f t="shared" si="0"/>
        <v>-2739816.370845668</v>
      </c>
      <c r="H23" s="2">
        <f t="shared" si="1"/>
        <v>51024336.820147105</v>
      </c>
    </row>
    <row r="24" spans="1:8" x14ac:dyDescent="0.35">
      <c r="A24" s="446"/>
      <c r="B24" s="218" t="s">
        <v>953</v>
      </c>
      <c r="C24" t="s">
        <v>973</v>
      </c>
      <c r="D24" s="2">
        <f>ProyeccionEstadoVentas!M25</f>
        <v>33183347.185971603</v>
      </c>
      <c r="E24" s="8">
        <f>'Estado.Gen.Costos.Gastos'!AA24</f>
        <v>9955258.1169372499</v>
      </c>
      <c r="F24" s="2">
        <f>D24*SUM(Distribución.Gastos!$A$72:$A$76)</f>
        <v>13639683.027321767</v>
      </c>
      <c r="G24" s="2">
        <f t="shared" si="0"/>
        <v>9588406.0417125858</v>
      </c>
      <c r="H24" s="2">
        <f t="shared" si="1"/>
        <v>60612742.861859694</v>
      </c>
    </row>
    <row r="25" spans="1:8" x14ac:dyDescent="0.35">
      <c r="A25" s="446"/>
      <c r="B25" s="218" t="s">
        <v>954</v>
      </c>
      <c r="C25" t="s">
        <v>973</v>
      </c>
      <c r="D25" s="2">
        <f>ProyeccionEstadoVentas!M26</f>
        <v>33183347.185971603</v>
      </c>
      <c r="E25" s="8">
        <f>'Estado.Gen.Costos.Gastos'!AA25</f>
        <v>22283480.529495504</v>
      </c>
      <c r="F25" s="2">
        <f>D25*SUM(Distribución.Gastos!$A$72:$A$76)</f>
        <v>13639683.027321767</v>
      </c>
      <c r="G25" s="2">
        <f t="shared" si="0"/>
        <v>-2739816.370845668</v>
      </c>
      <c r="H25" s="2">
        <f t="shared" si="1"/>
        <v>57872926.491014026</v>
      </c>
    </row>
    <row r="26" spans="1:8" x14ac:dyDescent="0.35">
      <c r="A26" s="446"/>
      <c r="B26" s="218" t="s">
        <v>955</v>
      </c>
      <c r="C26" t="s">
        <v>973</v>
      </c>
      <c r="D26" s="2">
        <f>ProyeccionEstadoVentas!M27</f>
        <v>33183347.185971603</v>
      </c>
      <c r="E26" s="8">
        <f>'Estado.Gen.Costos.Gastos'!AA26</f>
        <v>9955258.1169372499</v>
      </c>
      <c r="F26" s="2">
        <f>D26*SUM(Distribución.Gastos!$A$72:$A$76)</f>
        <v>13639683.027321767</v>
      </c>
      <c r="G26" s="2">
        <f t="shared" si="0"/>
        <v>9588406.0417125858</v>
      </c>
      <c r="H26" s="2">
        <f t="shared" si="1"/>
        <v>67461332.532726616</v>
      </c>
    </row>
    <row r="27" spans="1:8" x14ac:dyDescent="0.35">
      <c r="A27" s="446"/>
      <c r="B27" s="218" t="s">
        <v>958</v>
      </c>
      <c r="C27" t="s">
        <v>973</v>
      </c>
      <c r="D27" s="2">
        <f>ProyeccionEstadoVentas!M28</f>
        <v>33183347.185971603</v>
      </c>
      <c r="E27" s="8">
        <f>'Estado.Gen.Costos.Gastos'!AA27</f>
        <v>22283480.529495504</v>
      </c>
      <c r="F27" s="2">
        <f>D27*SUM(Distribución.Gastos!$A$72:$A$76)</f>
        <v>13639683.027321767</v>
      </c>
      <c r="G27" s="2">
        <f t="shared" si="0"/>
        <v>-2739816.370845668</v>
      </c>
      <c r="H27" s="2">
        <f t="shared" si="1"/>
        <v>64721516.161880948</v>
      </c>
    </row>
    <row r="28" spans="1:8" ht="15" thickBot="1" x14ac:dyDescent="0.4">
      <c r="A28" s="446"/>
      <c r="B28" s="218" t="s">
        <v>959</v>
      </c>
      <c r="C28" t="s">
        <v>973</v>
      </c>
      <c r="D28" s="2">
        <f>ProyeccionEstadoVentas!M29</f>
        <v>33183347.185971603</v>
      </c>
      <c r="E28" s="8">
        <f>'Estado.Gen.Costos.Gastos'!AA28</f>
        <v>9955258.1169372499</v>
      </c>
      <c r="F28" s="2">
        <f>D28*SUM(Distribución.Gastos!$A$72:$A$76)</f>
        <v>13639683.027321767</v>
      </c>
      <c r="G28" s="2">
        <f t="shared" si="0"/>
        <v>9588406.0417125858</v>
      </c>
      <c r="H28" s="2">
        <f t="shared" si="1"/>
        <v>74309922.203593537</v>
      </c>
    </row>
    <row r="29" spans="1:8" x14ac:dyDescent="0.35">
      <c r="A29" s="445">
        <v>2025</v>
      </c>
      <c r="B29" s="218" t="s">
        <v>960</v>
      </c>
      <c r="C29" t="s">
        <v>973</v>
      </c>
      <c r="D29" s="2">
        <f>ProyeccionEstadoVentas!M30</f>
        <v>34176207.625814758</v>
      </c>
      <c r="E29" s="8">
        <f>'Estado.Gen.Costos.Gastos'!AA29</f>
        <v>22950212.133024171</v>
      </c>
      <c r="F29" s="2">
        <f>D29*SUM(Distribución.Gastos!$A$72:$A$76)</f>
        <v>14047788.382514898</v>
      </c>
      <c r="G29" s="2">
        <f t="shared" si="0"/>
        <v>-2821792.8897243105</v>
      </c>
      <c r="H29" s="2">
        <f t="shared" si="1"/>
        <v>71488129.313869223</v>
      </c>
    </row>
    <row r="30" spans="1:8" x14ac:dyDescent="0.35">
      <c r="A30" s="446"/>
      <c r="B30" s="218" t="s">
        <v>956</v>
      </c>
      <c r="C30" t="s">
        <v>973</v>
      </c>
      <c r="D30" s="2">
        <f>ProyeccionEstadoVentas!M31</f>
        <v>34176207.625814758</v>
      </c>
      <c r="E30" s="8">
        <f>'Estado.Gen.Costos.Gastos'!AA30</f>
        <v>10253123.84752012</v>
      </c>
      <c r="F30" s="2">
        <f>D30*SUM(Distribución.Gastos!$A$72:$A$76)</f>
        <v>14047788.382514898</v>
      </c>
      <c r="G30" s="2">
        <f t="shared" si="0"/>
        <v>9875295.3957797401</v>
      </c>
      <c r="H30" s="2">
        <f t="shared" si="1"/>
        <v>81363424.709648967</v>
      </c>
    </row>
    <row r="31" spans="1:8" x14ac:dyDescent="0.35">
      <c r="A31" s="446"/>
      <c r="B31" s="218" t="s">
        <v>949</v>
      </c>
      <c r="C31" t="s">
        <v>973</v>
      </c>
      <c r="D31" s="2">
        <f>ProyeccionEstadoVentas!M32</f>
        <v>34176207.625814758</v>
      </c>
      <c r="E31" s="8">
        <f>'Estado.Gen.Costos.Gastos'!AA31</f>
        <v>22950212.133024171</v>
      </c>
      <c r="F31" s="2">
        <f>D31*SUM(Distribución.Gastos!$A$72:$A$76)</f>
        <v>14047788.382514898</v>
      </c>
      <c r="G31" s="2">
        <f t="shared" si="0"/>
        <v>-2821792.8897243105</v>
      </c>
      <c r="H31" s="2">
        <f t="shared" si="1"/>
        <v>78541631.819924653</v>
      </c>
    </row>
    <row r="32" spans="1:8" x14ac:dyDescent="0.35">
      <c r="A32" s="446"/>
      <c r="B32" s="218" t="s">
        <v>957</v>
      </c>
      <c r="C32" t="s">
        <v>973</v>
      </c>
      <c r="D32" s="2">
        <f>ProyeccionEstadoVentas!M33</f>
        <v>34176207.625814758</v>
      </c>
      <c r="E32" s="8">
        <f>'Estado.Gen.Costos.Gastos'!AA32</f>
        <v>10253123.84752012</v>
      </c>
      <c r="F32" s="2">
        <f>D32*SUM(Distribución.Gastos!$A$72:$A$76)</f>
        <v>14047788.382514898</v>
      </c>
      <c r="G32" s="2">
        <f t="shared" si="0"/>
        <v>9875295.3957797401</v>
      </c>
      <c r="H32" s="2">
        <f t="shared" si="1"/>
        <v>88416927.215704396</v>
      </c>
    </row>
    <row r="33" spans="1:8" x14ac:dyDescent="0.35">
      <c r="A33" s="446"/>
      <c r="B33" s="218" t="s">
        <v>951</v>
      </c>
      <c r="C33" t="s">
        <v>973</v>
      </c>
      <c r="D33" s="2">
        <f>ProyeccionEstadoVentas!M34</f>
        <v>34176207.625814758</v>
      </c>
      <c r="E33" s="8">
        <f>'Estado.Gen.Costos.Gastos'!AA33</f>
        <v>22950212.133024171</v>
      </c>
      <c r="F33" s="2">
        <f>D33*SUM(Distribución.Gastos!$A$72:$A$76)</f>
        <v>14047788.382514898</v>
      </c>
      <c r="G33" s="2">
        <f t="shared" si="0"/>
        <v>-2821792.8897243105</v>
      </c>
      <c r="H33" s="2">
        <f t="shared" si="1"/>
        <v>85595134.325980082</v>
      </c>
    </row>
    <row r="34" spans="1:8" x14ac:dyDescent="0.35">
      <c r="A34" s="446"/>
      <c r="B34" s="218" t="s">
        <v>950</v>
      </c>
      <c r="C34" t="s">
        <v>973</v>
      </c>
      <c r="D34" s="2">
        <f>ProyeccionEstadoVentas!M35</f>
        <v>34176207.625814758</v>
      </c>
      <c r="E34" s="8">
        <f>'Estado.Gen.Costos.Gastos'!AA34</f>
        <v>10253123.84752012</v>
      </c>
      <c r="F34" s="2">
        <f>D34*SUM(Distribución.Gastos!$A$72:$A$76)</f>
        <v>14047788.382514898</v>
      </c>
      <c r="G34" s="2">
        <f t="shared" si="0"/>
        <v>9875295.3957797401</v>
      </c>
      <c r="H34" s="2">
        <f t="shared" si="1"/>
        <v>95470429.721759826</v>
      </c>
    </row>
    <row r="35" spans="1:8" x14ac:dyDescent="0.35">
      <c r="A35" s="446"/>
      <c r="B35" s="218" t="s">
        <v>952</v>
      </c>
      <c r="C35" t="s">
        <v>973</v>
      </c>
      <c r="D35" s="2">
        <f>ProyeccionEstadoVentas!M36</f>
        <v>34176207.625814758</v>
      </c>
      <c r="E35" s="8">
        <f>'Estado.Gen.Costos.Gastos'!AA35</f>
        <v>22950212.133024171</v>
      </c>
      <c r="F35" s="2">
        <f>D35*SUM(Distribución.Gastos!$A$72:$A$76)</f>
        <v>14047788.382514898</v>
      </c>
      <c r="G35" s="2">
        <f t="shared" si="0"/>
        <v>-2821792.8897243105</v>
      </c>
      <c r="H35" s="2">
        <f t="shared" si="1"/>
        <v>92648636.832035512</v>
      </c>
    </row>
    <row r="36" spans="1:8" x14ac:dyDescent="0.35">
      <c r="A36" s="446"/>
      <c r="B36" s="218" t="s">
        <v>953</v>
      </c>
      <c r="C36" t="s">
        <v>973</v>
      </c>
      <c r="D36" s="2">
        <f>ProyeccionEstadoVentas!M37</f>
        <v>34176207.625814758</v>
      </c>
      <c r="E36" s="8">
        <f>'Estado.Gen.Costos.Gastos'!AA36</f>
        <v>10253123.84752012</v>
      </c>
      <c r="F36" s="2">
        <f>D36*SUM(Distribución.Gastos!$A$72:$A$76)</f>
        <v>14047788.382514898</v>
      </c>
      <c r="G36" s="2">
        <f t="shared" ref="G36:G64" si="2">D36-E36-F36</f>
        <v>9875295.3957797401</v>
      </c>
      <c r="H36" s="2">
        <f t="shared" ref="H36:H64" si="3">H35+G36</f>
        <v>102523932.22781526</v>
      </c>
    </row>
    <row r="37" spans="1:8" x14ac:dyDescent="0.35">
      <c r="A37" s="446"/>
      <c r="B37" s="218" t="s">
        <v>954</v>
      </c>
      <c r="C37" t="s">
        <v>973</v>
      </c>
      <c r="D37" s="2">
        <f>ProyeccionEstadoVentas!M38</f>
        <v>34176207.625814758</v>
      </c>
      <c r="E37" s="8">
        <f>'Estado.Gen.Costos.Gastos'!AA37</f>
        <v>22950212.133024171</v>
      </c>
      <c r="F37" s="2">
        <f>D37*SUM(Distribución.Gastos!$A$72:$A$76)</f>
        <v>14047788.382514898</v>
      </c>
      <c r="G37" s="2">
        <f t="shared" si="2"/>
        <v>-2821792.8897243105</v>
      </c>
      <c r="H37" s="2">
        <f t="shared" si="3"/>
        <v>99702139.338090941</v>
      </c>
    </row>
    <row r="38" spans="1:8" x14ac:dyDescent="0.35">
      <c r="A38" s="446"/>
      <c r="B38" s="218" t="s">
        <v>955</v>
      </c>
      <c r="C38" t="s">
        <v>973</v>
      </c>
      <c r="D38" s="2">
        <f>ProyeccionEstadoVentas!M39</f>
        <v>34176207.625814758</v>
      </c>
      <c r="E38" s="8">
        <f>'Estado.Gen.Costos.Gastos'!AA38</f>
        <v>10253123.84752012</v>
      </c>
      <c r="F38" s="2">
        <f>D38*SUM(Distribución.Gastos!$A$72:$A$76)</f>
        <v>14047788.382514898</v>
      </c>
      <c r="G38" s="2">
        <f t="shared" si="2"/>
        <v>9875295.3957797401</v>
      </c>
      <c r="H38" s="2">
        <f t="shared" si="3"/>
        <v>109577434.73387069</v>
      </c>
    </row>
    <row r="39" spans="1:8" x14ac:dyDescent="0.35">
      <c r="A39" s="446"/>
      <c r="B39" s="218" t="s">
        <v>958</v>
      </c>
      <c r="C39" t="s">
        <v>973</v>
      </c>
      <c r="D39" s="2">
        <f>ProyeccionEstadoVentas!M40</f>
        <v>34176207.625814758</v>
      </c>
      <c r="E39" s="8">
        <f>'Estado.Gen.Costos.Gastos'!AA39</f>
        <v>22950212.133024171</v>
      </c>
      <c r="F39" s="2">
        <f>D39*SUM(Distribución.Gastos!$A$72:$A$76)</f>
        <v>14047788.382514898</v>
      </c>
      <c r="G39" s="2">
        <f t="shared" si="2"/>
        <v>-2821792.8897243105</v>
      </c>
      <c r="H39" s="2">
        <f t="shared" si="3"/>
        <v>106755641.84414637</v>
      </c>
    </row>
    <row r="40" spans="1:8" ht="15" thickBot="1" x14ac:dyDescent="0.4">
      <c r="A40" s="447"/>
      <c r="B40" s="218" t="s">
        <v>959</v>
      </c>
      <c r="C40" t="s">
        <v>973</v>
      </c>
      <c r="D40" s="2">
        <f>ProyeccionEstadoVentas!M41</f>
        <v>34176207.625814758</v>
      </c>
      <c r="E40" s="8">
        <f>'Estado.Gen.Costos.Gastos'!AA40</f>
        <v>10253123.84752012</v>
      </c>
      <c r="F40" s="2">
        <f>D40*SUM(Distribución.Gastos!$A$72:$A$76)</f>
        <v>14047788.382514898</v>
      </c>
      <c r="G40" s="2">
        <f t="shared" si="2"/>
        <v>9875295.3957797401</v>
      </c>
      <c r="H40" s="2">
        <f t="shared" si="3"/>
        <v>116630937.23992611</v>
      </c>
    </row>
    <row r="41" spans="1:8" x14ac:dyDescent="0.35">
      <c r="A41" s="446">
        <v>2026</v>
      </c>
      <c r="B41" s="218" t="s">
        <v>960</v>
      </c>
      <c r="C41" t="s">
        <v>973</v>
      </c>
      <c r="D41" s="2">
        <f>ProyeccionEstadoVentas!M42</f>
        <v>35169068.065657914</v>
      </c>
      <c r="E41" s="8">
        <f>'Estado.Gen.Costos.Gastos'!AA41</f>
        <v>23616943.736552842</v>
      </c>
      <c r="F41" s="2">
        <f>D41*SUM(Distribución.Gastos!$A$72:$A$76)</f>
        <v>14455893.737708027</v>
      </c>
      <c r="G41" s="2">
        <f t="shared" si="2"/>
        <v>-2903769.4086029548</v>
      </c>
      <c r="H41" s="2">
        <f t="shared" si="3"/>
        <v>113727167.83132316</v>
      </c>
    </row>
    <row r="42" spans="1:8" x14ac:dyDescent="0.35">
      <c r="A42" s="446"/>
      <c r="B42" s="218" t="s">
        <v>956</v>
      </c>
      <c r="C42" t="s">
        <v>973</v>
      </c>
      <c r="D42" s="2">
        <f>ProyeccionEstadoVentas!M43</f>
        <v>35169068.065657914</v>
      </c>
      <c r="E42" s="8">
        <f>'Estado.Gen.Costos.Gastos'!AA42</f>
        <v>10550989.578102991</v>
      </c>
      <c r="F42" s="2">
        <f>D42*SUM(Distribución.Gastos!$A$72:$A$76)</f>
        <v>14455893.737708027</v>
      </c>
      <c r="G42" s="2">
        <f t="shared" si="2"/>
        <v>10162184.749846896</v>
      </c>
      <c r="H42" s="2">
        <f t="shared" si="3"/>
        <v>123889352.58117005</v>
      </c>
    </row>
    <row r="43" spans="1:8" x14ac:dyDescent="0.35">
      <c r="A43" s="446"/>
      <c r="B43" s="218" t="s">
        <v>949</v>
      </c>
      <c r="C43" t="s">
        <v>973</v>
      </c>
      <c r="D43" s="2">
        <f>ProyeccionEstadoVentas!M44</f>
        <v>35169068.065657914</v>
      </c>
      <c r="E43" s="8">
        <f>'Estado.Gen.Costos.Gastos'!AA43</f>
        <v>23616943.736552842</v>
      </c>
      <c r="F43" s="2">
        <f>D43*SUM(Distribución.Gastos!$A$72:$A$76)</f>
        <v>14455893.737708027</v>
      </c>
      <c r="G43" s="2">
        <f t="shared" si="2"/>
        <v>-2903769.4086029548</v>
      </c>
      <c r="H43" s="2">
        <f t="shared" si="3"/>
        <v>120985583.1725671</v>
      </c>
    </row>
    <row r="44" spans="1:8" x14ac:dyDescent="0.35">
      <c r="A44" s="446"/>
      <c r="B44" s="218" t="s">
        <v>957</v>
      </c>
      <c r="C44" t="s">
        <v>973</v>
      </c>
      <c r="D44" s="2">
        <f>ProyeccionEstadoVentas!M45</f>
        <v>35169068.065657914</v>
      </c>
      <c r="E44" s="8">
        <f>'Estado.Gen.Costos.Gastos'!AA44</f>
        <v>10550989.578102991</v>
      </c>
      <c r="F44" s="2">
        <f>D44*SUM(Distribución.Gastos!$A$72:$A$76)</f>
        <v>14455893.737708027</v>
      </c>
      <c r="G44" s="2">
        <f t="shared" si="2"/>
        <v>10162184.749846896</v>
      </c>
      <c r="H44" s="2">
        <f t="shared" si="3"/>
        <v>131147767.92241399</v>
      </c>
    </row>
    <row r="45" spans="1:8" x14ac:dyDescent="0.35">
      <c r="A45" s="446"/>
      <c r="B45" s="218" t="s">
        <v>951</v>
      </c>
      <c r="C45" t="s">
        <v>973</v>
      </c>
      <c r="D45" s="2">
        <f>ProyeccionEstadoVentas!M46</f>
        <v>35169068.065657914</v>
      </c>
      <c r="E45" s="8">
        <f>'Estado.Gen.Costos.Gastos'!AA45</f>
        <v>23616943.736552842</v>
      </c>
      <c r="F45" s="2">
        <f>D45*SUM(Distribución.Gastos!$A$72:$A$76)</f>
        <v>14455893.737708027</v>
      </c>
      <c r="G45" s="2">
        <f t="shared" si="2"/>
        <v>-2903769.4086029548</v>
      </c>
      <c r="H45" s="2">
        <f t="shared" si="3"/>
        <v>128243998.51381104</v>
      </c>
    </row>
    <row r="46" spans="1:8" x14ac:dyDescent="0.35">
      <c r="A46" s="446"/>
      <c r="B46" s="218" t="s">
        <v>950</v>
      </c>
      <c r="C46" t="s">
        <v>973</v>
      </c>
      <c r="D46" s="2">
        <f>ProyeccionEstadoVentas!M47</f>
        <v>35169068.065657914</v>
      </c>
      <c r="E46" s="8">
        <f>'Estado.Gen.Costos.Gastos'!AA46</f>
        <v>10550989.578102991</v>
      </c>
      <c r="F46" s="2">
        <f>D46*SUM(Distribución.Gastos!$A$72:$A$76)</f>
        <v>14455893.737708027</v>
      </c>
      <c r="G46" s="2">
        <f t="shared" si="2"/>
        <v>10162184.749846896</v>
      </c>
      <c r="H46" s="2">
        <f t="shared" si="3"/>
        <v>138406183.26365793</v>
      </c>
    </row>
    <row r="47" spans="1:8" x14ac:dyDescent="0.35">
      <c r="A47" s="446"/>
      <c r="B47" s="218" t="s">
        <v>952</v>
      </c>
      <c r="C47" t="s">
        <v>973</v>
      </c>
      <c r="D47" s="2">
        <f>ProyeccionEstadoVentas!M48</f>
        <v>35169068.065657914</v>
      </c>
      <c r="E47" s="8">
        <f>'Estado.Gen.Costos.Gastos'!AA47</f>
        <v>23616943.736552842</v>
      </c>
      <c r="F47" s="2">
        <f>D47*SUM(Distribución.Gastos!$A$72:$A$76)</f>
        <v>14455893.737708027</v>
      </c>
      <c r="G47" s="2">
        <f t="shared" si="2"/>
        <v>-2903769.4086029548</v>
      </c>
      <c r="H47" s="2">
        <f t="shared" si="3"/>
        <v>135502413.85505497</v>
      </c>
    </row>
    <row r="48" spans="1:8" x14ac:dyDescent="0.35">
      <c r="A48" s="446"/>
      <c r="B48" s="218" t="s">
        <v>953</v>
      </c>
      <c r="C48" t="s">
        <v>973</v>
      </c>
      <c r="D48" s="2">
        <f>ProyeccionEstadoVentas!M49</f>
        <v>35169068.065657914</v>
      </c>
      <c r="E48" s="8">
        <f>'Estado.Gen.Costos.Gastos'!AA48</f>
        <v>10550989.578102991</v>
      </c>
      <c r="F48" s="2">
        <f>D48*SUM(Distribución.Gastos!$A$72:$A$76)</f>
        <v>14455893.737708027</v>
      </c>
      <c r="G48" s="2">
        <f t="shared" si="2"/>
        <v>10162184.749846896</v>
      </c>
      <c r="H48" s="2">
        <f t="shared" si="3"/>
        <v>145664598.60490188</v>
      </c>
    </row>
    <row r="49" spans="1:8" x14ac:dyDescent="0.35">
      <c r="A49" s="446"/>
      <c r="B49" s="218" t="s">
        <v>954</v>
      </c>
      <c r="C49" t="s">
        <v>973</v>
      </c>
      <c r="D49" s="2">
        <f>ProyeccionEstadoVentas!M50</f>
        <v>35169068.065657914</v>
      </c>
      <c r="E49" s="8">
        <f>'Estado.Gen.Costos.Gastos'!AA49</f>
        <v>23616943.736552842</v>
      </c>
      <c r="F49" s="2">
        <f>D49*SUM(Distribución.Gastos!$A$72:$A$76)</f>
        <v>14455893.737708027</v>
      </c>
      <c r="G49" s="2">
        <f t="shared" si="2"/>
        <v>-2903769.4086029548</v>
      </c>
      <c r="H49" s="2">
        <f t="shared" si="3"/>
        <v>142760829.19629893</v>
      </c>
    </row>
    <row r="50" spans="1:8" x14ac:dyDescent="0.35">
      <c r="A50" s="446"/>
      <c r="B50" s="218" t="s">
        <v>955</v>
      </c>
      <c r="C50" t="s">
        <v>973</v>
      </c>
      <c r="D50" s="2">
        <f>ProyeccionEstadoVentas!M51</f>
        <v>35169068.065657914</v>
      </c>
      <c r="E50" s="8">
        <f>'Estado.Gen.Costos.Gastos'!AA50</f>
        <v>10550989.578102991</v>
      </c>
      <c r="F50" s="2">
        <f>D50*SUM(Distribución.Gastos!$A$72:$A$76)</f>
        <v>14455893.737708027</v>
      </c>
      <c r="G50" s="2">
        <f t="shared" si="2"/>
        <v>10162184.749846896</v>
      </c>
      <c r="H50" s="2">
        <f t="shared" si="3"/>
        <v>152923013.94614583</v>
      </c>
    </row>
    <row r="51" spans="1:8" x14ac:dyDescent="0.35">
      <c r="A51" s="446"/>
      <c r="B51" s="218" t="s">
        <v>958</v>
      </c>
      <c r="C51" t="s">
        <v>973</v>
      </c>
      <c r="D51" s="2">
        <f>ProyeccionEstadoVentas!M52</f>
        <v>35169068.065657914</v>
      </c>
      <c r="E51" s="8">
        <f>'Estado.Gen.Costos.Gastos'!AA51</f>
        <v>23616943.736552842</v>
      </c>
      <c r="F51" s="2">
        <f>D51*SUM(Distribución.Gastos!$A$72:$A$76)</f>
        <v>14455893.737708027</v>
      </c>
      <c r="G51" s="2">
        <f t="shared" si="2"/>
        <v>-2903769.4086029548</v>
      </c>
      <c r="H51" s="2">
        <f t="shared" si="3"/>
        <v>150019244.53754288</v>
      </c>
    </row>
    <row r="52" spans="1:8" ht="15" thickBot="1" x14ac:dyDescent="0.4">
      <c r="A52" s="446"/>
      <c r="B52" s="218" t="s">
        <v>959</v>
      </c>
      <c r="C52" t="s">
        <v>973</v>
      </c>
      <c r="D52" s="2">
        <f>ProyeccionEstadoVentas!M53</f>
        <v>35169068.065657914</v>
      </c>
      <c r="E52" s="8">
        <f>'Estado.Gen.Costos.Gastos'!AA52</f>
        <v>10550989.578102991</v>
      </c>
      <c r="F52" s="2">
        <f>D52*SUM(Distribución.Gastos!$A$72:$A$76)</f>
        <v>14455893.737708027</v>
      </c>
      <c r="G52" s="2">
        <f t="shared" si="2"/>
        <v>10162184.749846896</v>
      </c>
      <c r="H52" s="2">
        <f t="shared" si="3"/>
        <v>160181429.28738979</v>
      </c>
    </row>
    <row r="53" spans="1:8" x14ac:dyDescent="0.35">
      <c r="A53" s="445">
        <v>2027</v>
      </c>
      <c r="B53" s="218" t="s">
        <v>960</v>
      </c>
      <c r="C53" t="s">
        <v>973</v>
      </c>
      <c r="D53" s="2">
        <f>ProyeccionEstadoVentas!M54</f>
        <v>36161928.505501077</v>
      </c>
      <c r="E53" s="8">
        <f>'Estado.Gen.Costos.Gastos'!AA53</f>
        <v>24283675.340081509</v>
      </c>
      <c r="F53" s="2">
        <f>D53*SUM(Distribución.Gastos!$A$72:$A$76)</f>
        <v>14863999.092901161</v>
      </c>
      <c r="G53" s="2">
        <f t="shared" si="2"/>
        <v>-2985745.9274815936</v>
      </c>
      <c r="H53" s="2">
        <f t="shared" si="3"/>
        <v>157195683.35990819</v>
      </c>
    </row>
    <row r="54" spans="1:8" x14ac:dyDescent="0.35">
      <c r="A54" s="446"/>
      <c r="B54" s="218" t="s">
        <v>956</v>
      </c>
      <c r="C54" t="s">
        <v>973</v>
      </c>
      <c r="D54" s="2">
        <f>ProyeccionEstadoVentas!M55</f>
        <v>36161928.505501077</v>
      </c>
      <c r="E54" s="8">
        <f>'Estado.Gen.Costos.Gastos'!AA54</f>
        <v>10848855.308685862</v>
      </c>
      <c r="F54" s="2">
        <f>D54*SUM(Distribución.Gastos!$A$72:$A$76)</f>
        <v>14863999.092901161</v>
      </c>
      <c r="G54" s="2">
        <f t="shared" si="2"/>
        <v>10449074.103914054</v>
      </c>
      <c r="H54" s="2">
        <f t="shared" si="3"/>
        <v>167644757.46382225</v>
      </c>
    </row>
    <row r="55" spans="1:8" x14ac:dyDescent="0.35">
      <c r="A55" s="446"/>
      <c r="B55" s="218" t="s">
        <v>949</v>
      </c>
      <c r="C55" t="s">
        <v>973</v>
      </c>
      <c r="D55" s="2">
        <f>ProyeccionEstadoVentas!M56</f>
        <v>36161928.505501077</v>
      </c>
      <c r="E55" s="8">
        <f>'Estado.Gen.Costos.Gastos'!AA55</f>
        <v>24283675.340081509</v>
      </c>
      <c r="F55" s="2">
        <f>D55*SUM(Distribución.Gastos!$A$72:$A$76)</f>
        <v>14863999.092901161</v>
      </c>
      <c r="G55" s="2">
        <f t="shared" si="2"/>
        <v>-2985745.9274815936</v>
      </c>
      <c r="H55" s="2">
        <f t="shared" si="3"/>
        <v>164659011.53634065</v>
      </c>
    </row>
    <row r="56" spans="1:8" x14ac:dyDescent="0.35">
      <c r="A56" s="446"/>
      <c r="B56" s="218" t="s">
        <v>957</v>
      </c>
      <c r="C56" t="s">
        <v>973</v>
      </c>
      <c r="D56" s="2">
        <f>ProyeccionEstadoVentas!M57</f>
        <v>36161928.505501077</v>
      </c>
      <c r="E56" s="8">
        <f>'Estado.Gen.Costos.Gastos'!AA56</f>
        <v>10848855.308685862</v>
      </c>
      <c r="F56" s="2">
        <f>D56*SUM(Distribución.Gastos!$A$72:$A$76)</f>
        <v>14863999.092901161</v>
      </c>
      <c r="G56" s="2">
        <f t="shared" si="2"/>
        <v>10449074.103914054</v>
      </c>
      <c r="H56" s="2">
        <f t="shared" si="3"/>
        <v>175108085.64025471</v>
      </c>
    </row>
    <row r="57" spans="1:8" x14ac:dyDescent="0.35">
      <c r="A57" s="446"/>
      <c r="B57" s="218" t="s">
        <v>951</v>
      </c>
      <c r="C57" t="s">
        <v>973</v>
      </c>
      <c r="D57" s="2">
        <f>ProyeccionEstadoVentas!M58</f>
        <v>36161928.505501077</v>
      </c>
      <c r="E57" s="8">
        <f>'Estado.Gen.Costos.Gastos'!AA57</f>
        <v>24283675.340081509</v>
      </c>
      <c r="F57" s="2">
        <f>D57*SUM(Distribución.Gastos!$A$72:$A$76)</f>
        <v>14863999.092901161</v>
      </c>
      <c r="G57" s="2">
        <f t="shared" si="2"/>
        <v>-2985745.9274815936</v>
      </c>
      <c r="H57" s="2">
        <f t="shared" si="3"/>
        <v>172122339.71277311</v>
      </c>
    </row>
    <row r="58" spans="1:8" x14ac:dyDescent="0.35">
      <c r="A58" s="446"/>
      <c r="B58" s="218" t="s">
        <v>950</v>
      </c>
      <c r="C58" t="s">
        <v>973</v>
      </c>
      <c r="D58" s="2">
        <f>ProyeccionEstadoVentas!M59</f>
        <v>36161928.505501077</v>
      </c>
      <c r="E58" s="8">
        <f>'Estado.Gen.Costos.Gastos'!AA58</f>
        <v>10848855.308685862</v>
      </c>
      <c r="F58" s="2">
        <f>D58*SUM(Distribución.Gastos!$A$72:$A$76)</f>
        <v>14863999.092901161</v>
      </c>
      <c r="G58" s="2">
        <f t="shared" si="2"/>
        <v>10449074.103914054</v>
      </c>
      <c r="H58" s="2">
        <f t="shared" si="3"/>
        <v>182571413.81668717</v>
      </c>
    </row>
    <row r="59" spans="1:8" x14ac:dyDescent="0.35">
      <c r="A59" s="446"/>
      <c r="B59" s="218" t="s">
        <v>952</v>
      </c>
      <c r="C59" t="s">
        <v>973</v>
      </c>
      <c r="D59" s="2">
        <f>ProyeccionEstadoVentas!M60</f>
        <v>36161928.505501077</v>
      </c>
      <c r="E59" s="8">
        <f>'Estado.Gen.Costos.Gastos'!AA59</f>
        <v>24283675.340081509</v>
      </c>
      <c r="F59" s="2">
        <f>D59*SUM(Distribución.Gastos!$A$72:$A$76)</f>
        <v>14863999.092901161</v>
      </c>
      <c r="G59" s="2">
        <f t="shared" si="2"/>
        <v>-2985745.9274815936</v>
      </c>
      <c r="H59" s="2">
        <f t="shared" si="3"/>
        <v>179585667.88920557</v>
      </c>
    </row>
    <row r="60" spans="1:8" x14ac:dyDescent="0.35">
      <c r="A60" s="446"/>
      <c r="B60" s="218" t="s">
        <v>953</v>
      </c>
      <c r="C60" t="s">
        <v>973</v>
      </c>
      <c r="D60" s="2">
        <f>ProyeccionEstadoVentas!M61</f>
        <v>36161928.505501077</v>
      </c>
      <c r="E60" s="8">
        <f>'Estado.Gen.Costos.Gastos'!AA60</f>
        <v>10848855.308685862</v>
      </c>
      <c r="F60" s="2">
        <f>D60*SUM(Distribución.Gastos!$A$72:$A$76)</f>
        <v>14863999.092901161</v>
      </c>
      <c r="G60" s="2">
        <f t="shared" si="2"/>
        <v>10449074.103914054</v>
      </c>
      <c r="H60" s="2">
        <f t="shared" si="3"/>
        <v>190034741.99311963</v>
      </c>
    </row>
    <row r="61" spans="1:8" x14ac:dyDescent="0.35">
      <c r="A61" s="446"/>
      <c r="B61" s="218" t="s">
        <v>954</v>
      </c>
      <c r="C61" t="s">
        <v>973</v>
      </c>
      <c r="D61" s="2">
        <f>ProyeccionEstadoVentas!M62</f>
        <v>36161928.505501077</v>
      </c>
      <c r="E61" s="8">
        <f>'Estado.Gen.Costos.Gastos'!AA61</f>
        <v>24283675.340081509</v>
      </c>
      <c r="F61" s="2">
        <f>D61*SUM(Distribución.Gastos!$A$72:$A$76)</f>
        <v>14863999.092901161</v>
      </c>
      <c r="G61" s="2">
        <f t="shared" si="2"/>
        <v>-2985745.9274815936</v>
      </c>
      <c r="H61" s="2">
        <f t="shared" si="3"/>
        <v>187048996.06563804</v>
      </c>
    </row>
    <row r="62" spans="1:8" x14ac:dyDescent="0.35">
      <c r="A62" s="446"/>
      <c r="B62" s="218" t="s">
        <v>955</v>
      </c>
      <c r="C62" t="s">
        <v>973</v>
      </c>
      <c r="D62" s="2">
        <f>ProyeccionEstadoVentas!M63</f>
        <v>36161928.505501077</v>
      </c>
      <c r="E62" s="8">
        <f>'Estado.Gen.Costos.Gastos'!AA62</f>
        <v>10848855.308685862</v>
      </c>
      <c r="F62" s="2">
        <f>D62*SUM(Distribución.Gastos!$A$72:$A$76)</f>
        <v>14863999.092901161</v>
      </c>
      <c r="G62" s="2">
        <f t="shared" si="2"/>
        <v>10449074.103914054</v>
      </c>
      <c r="H62" s="2">
        <f t="shared" si="3"/>
        <v>197498070.16955209</v>
      </c>
    </row>
    <row r="63" spans="1:8" x14ac:dyDescent="0.35">
      <c r="A63" s="446"/>
      <c r="B63" s="218" t="s">
        <v>958</v>
      </c>
      <c r="C63" t="s">
        <v>973</v>
      </c>
      <c r="D63" s="2">
        <f>ProyeccionEstadoVentas!M64</f>
        <v>36161928.505501077</v>
      </c>
      <c r="E63" s="8">
        <f>'Estado.Gen.Costos.Gastos'!AA63</f>
        <v>24283675.340081509</v>
      </c>
      <c r="F63" s="2">
        <f>D63*SUM(Distribución.Gastos!$A$72:$A$76)</f>
        <v>14863999.092901161</v>
      </c>
      <c r="G63" s="2">
        <f t="shared" si="2"/>
        <v>-2985745.9274815936</v>
      </c>
      <c r="H63" s="2">
        <f t="shared" si="3"/>
        <v>194512324.2420705</v>
      </c>
    </row>
    <row r="64" spans="1:8" ht="15" thickBot="1" x14ac:dyDescent="0.4">
      <c r="A64" s="447"/>
      <c r="B64" s="218" t="s">
        <v>959</v>
      </c>
      <c r="C64" t="s">
        <v>973</v>
      </c>
      <c r="D64" s="2">
        <f>ProyeccionEstadoVentas!M65</f>
        <v>36161928.505501077</v>
      </c>
      <c r="E64" s="8">
        <f>'Estado.Gen.Costos.Gastos'!AA64</f>
        <v>10848855.308685862</v>
      </c>
      <c r="F64" s="2">
        <f>D64*SUM(Distribución.Gastos!$A$72:$A$76)</f>
        <v>14863999.092901161</v>
      </c>
      <c r="G64" s="2">
        <f t="shared" si="2"/>
        <v>10449074.103914054</v>
      </c>
      <c r="H64" s="2">
        <f t="shared" si="3"/>
        <v>204961398.34598455</v>
      </c>
    </row>
  </sheetData>
  <mergeCells count="9">
    <mergeCell ref="M7:M8"/>
    <mergeCell ref="A5:A16"/>
    <mergeCell ref="A17:A28"/>
    <mergeCell ref="A29:A40"/>
    <mergeCell ref="A41:A52"/>
    <mergeCell ref="A53:A64"/>
    <mergeCell ref="J7:J8"/>
    <mergeCell ref="K7:K8"/>
    <mergeCell ref="L7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General</vt:lpstr>
      <vt:lpstr>ListaDeProveedores</vt:lpstr>
      <vt:lpstr>Costo.Herr.Serv.</vt:lpstr>
      <vt:lpstr>Nomina</vt:lpstr>
      <vt:lpstr>CostoMateriaPrimaDelProducto</vt:lpstr>
      <vt:lpstr>Distribución.Gastos</vt:lpstr>
      <vt:lpstr>ProyeccionEstadoVentas</vt:lpstr>
      <vt:lpstr>Estado.Gen.Costos.Gastos</vt:lpstr>
      <vt:lpstr>ejercicio</vt:lpstr>
      <vt:lpstr>PYG</vt:lpstr>
      <vt:lpstr>Arriendo</vt:lpstr>
      <vt:lpstr>Indices Financieros</vt:lpstr>
      <vt:lpstr>Notas</vt:lpstr>
      <vt:lpstr>Encuestas</vt:lpstr>
      <vt:lpstr>Otros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bastidas</dc:creator>
  <cp:keywords/>
  <dc:description/>
  <cp:lastModifiedBy>Acer</cp:lastModifiedBy>
  <cp:revision/>
  <dcterms:created xsi:type="dcterms:W3CDTF">2022-04-07T02:18:50Z</dcterms:created>
  <dcterms:modified xsi:type="dcterms:W3CDTF">2022-12-12T16:54:08Z</dcterms:modified>
  <cp:category/>
  <cp:contentStatus/>
</cp:coreProperties>
</file>