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jo\Dropbox\Archivos\Especialización en Gestión para el Desarrollo Empresarial\MÓDULOS SEMESTRE II\1 INNOVACIÓN, INVESTIGACIÓN, MODELO DE DESARROLLO EMPRESARIAL\PROYECTO TPI\Análisis Finanaciero\"/>
    </mc:Choice>
  </mc:AlternateContent>
  <bookViews>
    <workbookView xWindow="0" yWindow="0" windowWidth="15345" windowHeight="4455"/>
  </bookViews>
  <sheets>
    <sheet name="Ingresos" sheetId="6" r:id="rId1"/>
    <sheet name="Gastos" sheetId="4" r:id="rId2"/>
    <sheet name="Finanaciamiento" sheetId="7" r:id="rId3"/>
    <sheet name="Pérdidas y Ganancias" sheetId="8" r:id="rId4"/>
    <sheet name="Valoración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9" l="1"/>
  <c r="G7" i="8" l="1"/>
  <c r="G4" i="8"/>
  <c r="F7" i="8"/>
  <c r="F4" i="8"/>
  <c r="E7" i="8"/>
  <c r="E4" i="8"/>
  <c r="D7" i="8"/>
  <c r="C6" i="8"/>
  <c r="D4" i="8"/>
  <c r="C7" i="8"/>
  <c r="C4" i="8"/>
  <c r="C24" i="7"/>
  <c r="C22" i="7"/>
  <c r="C23" i="7" s="1"/>
  <c r="H28" i="4"/>
  <c r="H27" i="4"/>
  <c r="H26" i="4"/>
  <c r="H25" i="4"/>
  <c r="H24" i="4"/>
  <c r="Q8" i="4"/>
  <c r="P7" i="4"/>
  <c r="Q7" i="4" s="1"/>
  <c r="P6" i="4"/>
  <c r="Q6" i="4" s="1"/>
  <c r="P5" i="4"/>
  <c r="L15" i="4" s="1"/>
  <c r="P15" i="4" s="1"/>
  <c r="P4" i="4"/>
  <c r="L14" i="4" s="1"/>
  <c r="P14" i="4" s="1"/>
  <c r="P3" i="4"/>
  <c r="Q3" i="4" s="1"/>
  <c r="G3" i="7"/>
  <c r="G13" i="7"/>
  <c r="D15" i="7" l="1"/>
  <c r="C15" i="7"/>
  <c r="G15" i="7" s="1"/>
  <c r="C5" i="8"/>
  <c r="E21" i="7"/>
  <c r="L16" i="4"/>
  <c r="P16" i="4" s="1"/>
  <c r="L23" i="4"/>
  <c r="P23" i="4" s="1"/>
  <c r="Q14" i="4"/>
  <c r="L24" i="4"/>
  <c r="P24" i="4" s="1"/>
  <c r="Q15" i="4"/>
  <c r="Q16" i="4"/>
  <c r="L25" i="4"/>
  <c r="P25" i="4" s="1"/>
  <c r="L13" i="4"/>
  <c r="P13" i="4" s="1"/>
  <c r="L17" i="4"/>
  <c r="P17" i="4" s="1"/>
  <c r="Q5" i="4"/>
  <c r="Q4" i="4"/>
  <c r="Q9" i="4" s="1"/>
  <c r="F18" i="6"/>
  <c r="E18" i="6"/>
  <c r="D18" i="6"/>
  <c r="C18" i="6"/>
  <c r="G16" i="6"/>
  <c r="F16" i="6"/>
  <c r="E16" i="6"/>
  <c r="D16" i="6"/>
  <c r="H15" i="6"/>
  <c r="I15" i="6" s="1"/>
  <c r="G15" i="6"/>
  <c r="F15" i="6"/>
  <c r="E15" i="6"/>
  <c r="D15" i="6"/>
  <c r="G14" i="6"/>
  <c r="F14" i="6"/>
  <c r="E14" i="6"/>
  <c r="D14" i="6"/>
  <c r="H13" i="6"/>
  <c r="I13" i="6" s="1"/>
  <c r="G13" i="6"/>
  <c r="F13" i="6"/>
  <c r="E13" i="6"/>
  <c r="D13" i="6"/>
  <c r="G12" i="6"/>
  <c r="F12" i="6"/>
  <c r="E12" i="6"/>
  <c r="D12" i="6"/>
  <c r="H11" i="6"/>
  <c r="I11" i="6" s="1"/>
  <c r="G11" i="6"/>
  <c r="F11" i="6"/>
  <c r="E11" i="6"/>
  <c r="D11" i="6"/>
  <c r="G10" i="6"/>
  <c r="F10" i="6"/>
  <c r="E10" i="6"/>
  <c r="D10" i="6"/>
  <c r="H9" i="6"/>
  <c r="I9" i="6" s="1"/>
  <c r="G9" i="6"/>
  <c r="F9" i="6"/>
  <c r="E9" i="6"/>
  <c r="D9" i="6"/>
  <c r="G8" i="6"/>
  <c r="F8" i="6"/>
  <c r="E8" i="6"/>
  <c r="D8" i="6"/>
  <c r="H7" i="6"/>
  <c r="I7" i="6" s="1"/>
  <c r="G7" i="6"/>
  <c r="F7" i="6"/>
  <c r="E7" i="6"/>
  <c r="D7" i="6"/>
  <c r="G6" i="6"/>
  <c r="F6" i="6"/>
  <c r="E6" i="6"/>
  <c r="D6" i="6"/>
  <c r="I20" i="6"/>
  <c r="D16" i="7" l="1"/>
  <c r="G16" i="7"/>
  <c r="C16" i="7"/>
  <c r="E15" i="7"/>
  <c r="Q13" i="4"/>
  <c r="L22" i="4"/>
  <c r="P22" i="4" s="1"/>
  <c r="L33" i="4"/>
  <c r="P33" i="4" s="1"/>
  <c r="Q33" i="4" s="1"/>
  <c r="Q24" i="4"/>
  <c r="Q25" i="4"/>
  <c r="L34" i="4"/>
  <c r="P34" i="4" s="1"/>
  <c r="Q34" i="4" s="1"/>
  <c r="Q17" i="4"/>
  <c r="L26" i="4"/>
  <c r="P26" i="4" s="1"/>
  <c r="L32" i="4"/>
  <c r="P32" i="4" s="1"/>
  <c r="Q32" i="4" s="1"/>
  <c r="Q23" i="4"/>
  <c r="I10" i="6"/>
  <c r="G18" i="6"/>
  <c r="H6" i="6"/>
  <c r="H8" i="6"/>
  <c r="I8" i="6" s="1"/>
  <c r="H10" i="6"/>
  <c r="H12" i="6"/>
  <c r="I12" i="6" s="1"/>
  <c r="H14" i="6"/>
  <c r="I14" i="6" s="1"/>
  <c r="H16" i="6"/>
  <c r="I16" i="6" s="1"/>
  <c r="F15" i="7" l="1"/>
  <c r="C8" i="8"/>
  <c r="C9" i="8" s="1"/>
  <c r="C3" i="9" s="1"/>
  <c r="C7" i="9" s="1"/>
  <c r="C17" i="7"/>
  <c r="D17" i="7"/>
  <c r="E16" i="7"/>
  <c r="Q26" i="4"/>
  <c r="L35" i="4"/>
  <c r="P35" i="4" s="1"/>
  <c r="Q35" i="4" s="1"/>
  <c r="Q22" i="4"/>
  <c r="L31" i="4"/>
  <c r="P31" i="4" s="1"/>
  <c r="Q31" i="4" s="1"/>
  <c r="Q36" i="4" s="1"/>
  <c r="Q18" i="4"/>
  <c r="H18" i="6"/>
  <c r="I6" i="6"/>
  <c r="I18" i="6" s="1"/>
  <c r="I19" i="6" s="1"/>
  <c r="F16" i="7" l="1"/>
  <c r="D8" i="8"/>
  <c r="D9" i="8" s="1"/>
  <c r="D3" i="9" s="1"/>
  <c r="C8" i="9" s="1"/>
  <c r="J4" i="9"/>
  <c r="C16" i="9"/>
  <c r="G17" i="7"/>
  <c r="E17" i="7"/>
  <c r="Q27" i="4"/>
  <c r="M18" i="6"/>
  <c r="P16" i="6"/>
  <c r="O16" i="6"/>
  <c r="N16" i="6"/>
  <c r="P15" i="6"/>
  <c r="O15" i="6"/>
  <c r="N15" i="6"/>
  <c r="P14" i="6"/>
  <c r="O14" i="6"/>
  <c r="N14" i="6"/>
  <c r="P13" i="6"/>
  <c r="O13" i="6"/>
  <c r="N13" i="6"/>
  <c r="Q13" i="6" s="1"/>
  <c r="P12" i="6"/>
  <c r="O12" i="6"/>
  <c r="N12" i="6"/>
  <c r="P11" i="6"/>
  <c r="O11" i="6"/>
  <c r="N11" i="6"/>
  <c r="P10" i="6"/>
  <c r="O10" i="6"/>
  <c r="N10" i="6"/>
  <c r="P9" i="6"/>
  <c r="O9" i="6"/>
  <c r="N9" i="6"/>
  <c r="P8" i="6"/>
  <c r="O8" i="6"/>
  <c r="N8" i="6"/>
  <c r="P7" i="6"/>
  <c r="O7" i="6"/>
  <c r="N7" i="6"/>
  <c r="P6" i="6"/>
  <c r="O6" i="6"/>
  <c r="N6" i="6"/>
  <c r="Z7" i="4"/>
  <c r="Z8" i="4"/>
  <c r="Z10" i="4"/>
  <c r="Z11" i="4"/>
  <c r="Z12" i="4"/>
  <c r="Z13" i="4"/>
  <c r="Z14" i="4"/>
  <c r="Z15" i="4"/>
  <c r="Z16" i="4"/>
  <c r="Z17" i="4"/>
  <c r="Y4" i="4"/>
  <c r="Z4" i="4" s="1"/>
  <c r="Y5" i="4"/>
  <c r="Z5" i="4" s="1"/>
  <c r="Y6" i="4"/>
  <c r="Z6" i="4" s="1"/>
  <c r="Y9" i="4"/>
  <c r="Z9" i="4" s="1"/>
  <c r="Y3" i="4"/>
  <c r="Z3" i="4" s="1"/>
  <c r="H8" i="4"/>
  <c r="H4" i="4"/>
  <c r="H5" i="4"/>
  <c r="H6" i="4"/>
  <c r="H3" i="4"/>
  <c r="G4" i="4"/>
  <c r="G5" i="4"/>
  <c r="G6" i="4"/>
  <c r="G7" i="4"/>
  <c r="G8" i="4"/>
  <c r="G9" i="4"/>
  <c r="G10" i="4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3" i="4"/>
  <c r="F17" i="7" l="1"/>
  <c r="E8" i="8"/>
  <c r="E9" i="8" s="1"/>
  <c r="E3" i="9" s="1"/>
  <c r="C9" i="9" s="1"/>
  <c r="C18" i="7"/>
  <c r="G18" i="7" s="1"/>
  <c r="D18" i="7"/>
  <c r="N4" i="9"/>
  <c r="O4" i="9" s="1"/>
  <c r="P4" i="9" s="1"/>
  <c r="K4" i="9"/>
  <c r="K10" i="9" s="1"/>
  <c r="J5" i="9"/>
  <c r="C17" i="9"/>
  <c r="H20" i="4"/>
  <c r="H19" i="4"/>
  <c r="H21" i="4"/>
  <c r="Q11" i="6"/>
  <c r="Q6" i="6"/>
  <c r="R6" i="6" s="1"/>
  <c r="S6" i="6" s="1"/>
  <c r="Q10" i="6"/>
  <c r="R10" i="6" s="1"/>
  <c r="S10" i="6" s="1"/>
  <c r="Q9" i="6"/>
  <c r="R9" i="6" s="1"/>
  <c r="S9" i="6" s="1"/>
  <c r="Q8" i="6"/>
  <c r="Q7" i="6"/>
  <c r="R7" i="6" s="1"/>
  <c r="S7" i="6" s="1"/>
  <c r="O18" i="6"/>
  <c r="Q15" i="6"/>
  <c r="R15" i="6" s="1"/>
  <c r="Q14" i="6"/>
  <c r="Q12" i="6"/>
  <c r="R12" i="6" s="1"/>
  <c r="S12" i="6" s="1"/>
  <c r="P18" i="6"/>
  <c r="Q16" i="6"/>
  <c r="R16" i="6" s="1"/>
  <c r="S16" i="6" s="1"/>
  <c r="W5" i="6"/>
  <c r="R14" i="6"/>
  <c r="S14" i="6" s="1"/>
  <c r="R8" i="6"/>
  <c r="S8" i="6" s="1"/>
  <c r="R11" i="6"/>
  <c r="S11" i="6" s="1"/>
  <c r="R13" i="6"/>
  <c r="S13" i="6" s="1"/>
  <c r="N18" i="6"/>
  <c r="H23" i="4"/>
  <c r="H22" i="4"/>
  <c r="D19" i="7" l="1"/>
  <c r="E19" i="7" s="1"/>
  <c r="C19" i="7"/>
  <c r="G19" i="7"/>
  <c r="R5" i="9"/>
  <c r="R8" i="9" s="1"/>
  <c r="E18" i="7"/>
  <c r="J6" i="9"/>
  <c r="C18" i="9"/>
  <c r="K5" i="9"/>
  <c r="N5" i="9"/>
  <c r="O5" i="9" s="1"/>
  <c r="R6" i="9" s="1"/>
  <c r="S15" i="6"/>
  <c r="S18" i="6" s="1"/>
  <c r="Q18" i="6"/>
  <c r="Y5" i="6"/>
  <c r="AF5" i="6"/>
  <c r="Z5" i="6"/>
  <c r="X5" i="6"/>
  <c r="X7" i="6" s="1"/>
  <c r="W6" i="6"/>
  <c r="R18" i="6"/>
  <c r="F19" i="7" l="1"/>
  <c r="G8" i="8"/>
  <c r="G9" i="8" s="1"/>
  <c r="G3" i="9" s="1"/>
  <c r="C11" i="9" s="1"/>
  <c r="F18" i="7"/>
  <c r="F8" i="8"/>
  <c r="F9" i="8" s="1"/>
  <c r="F3" i="9" s="1"/>
  <c r="C10" i="9" s="1"/>
  <c r="N6" i="9"/>
  <c r="O6" i="9" s="1"/>
  <c r="K6" i="9"/>
  <c r="P5" i="9"/>
  <c r="P6" i="9" s="1"/>
  <c r="AF6" i="6"/>
  <c r="AH6" i="6" s="1"/>
  <c r="AG5" i="6"/>
  <c r="AO5" i="6"/>
  <c r="AH5" i="6"/>
  <c r="AI5" i="6"/>
  <c r="S19" i="6"/>
  <c r="S20" i="6"/>
  <c r="Y6" i="6"/>
  <c r="Z6" i="6"/>
  <c r="Z7" i="6" s="1"/>
  <c r="AA5" i="6"/>
  <c r="J7" i="9" l="1"/>
  <c r="C19" i="9"/>
  <c r="C21" i="9" s="1"/>
  <c r="D21" i="9" s="1"/>
  <c r="C12" i="9"/>
  <c r="D12" i="9" s="1"/>
  <c r="J8" i="9"/>
  <c r="C20" i="9"/>
  <c r="AH7" i="6"/>
  <c r="AI6" i="6"/>
  <c r="AJ6" i="6" s="1"/>
  <c r="AK6" i="6" s="1"/>
  <c r="AL6" i="6" s="1"/>
  <c r="AO6" i="6"/>
  <c r="AX5" i="6"/>
  <c r="AR5" i="6"/>
  <c r="AP5" i="6"/>
  <c r="AQ5" i="6"/>
  <c r="AG7" i="6"/>
  <c r="AJ5" i="6"/>
  <c r="AI7" i="6"/>
  <c r="AA6" i="6"/>
  <c r="AB6" i="6" s="1"/>
  <c r="AC6" i="6" s="1"/>
  <c r="Y7" i="6"/>
  <c r="AB5" i="6"/>
  <c r="N8" i="9" l="1"/>
  <c r="O8" i="9" s="1"/>
  <c r="K8" i="9"/>
  <c r="K7" i="9"/>
  <c r="K9" i="9" s="1"/>
  <c r="K11" i="9" s="1"/>
  <c r="N7" i="9"/>
  <c r="O7" i="9" s="1"/>
  <c r="P7" i="9" s="1"/>
  <c r="AB7" i="6"/>
  <c r="AR6" i="6"/>
  <c r="AR7" i="6" s="1"/>
  <c r="AQ6" i="6"/>
  <c r="AP7" i="6"/>
  <c r="AS5" i="6"/>
  <c r="AJ7" i="6"/>
  <c r="AK5" i="6"/>
  <c r="AK7" i="6" s="1"/>
  <c r="AX6" i="6"/>
  <c r="AY5" i="6"/>
  <c r="AZ5" i="6"/>
  <c r="BA5" i="6"/>
  <c r="AC5" i="6"/>
  <c r="AC7" i="6" s="1"/>
  <c r="AC8" i="6" s="1"/>
  <c r="AA7" i="6"/>
  <c r="P8" i="9" l="1"/>
  <c r="AS6" i="6"/>
  <c r="AT6" i="6" s="1"/>
  <c r="AU6" i="6" s="1"/>
  <c r="AC9" i="6"/>
  <c r="I21" i="6" s="1"/>
  <c r="AQ7" i="6"/>
  <c r="AL5" i="6"/>
  <c r="AL7" i="6" s="1"/>
  <c r="AY7" i="6"/>
  <c r="BB5" i="6"/>
  <c r="BA6" i="6"/>
  <c r="BA7" i="6" s="1"/>
  <c r="AZ6" i="6"/>
  <c r="AT5" i="6"/>
  <c r="AT7" i="6" l="1"/>
  <c r="AS7" i="6"/>
  <c r="BB6" i="6"/>
  <c r="BC6" i="6" s="1"/>
  <c r="BD6" i="6" s="1"/>
  <c r="AU5" i="6"/>
  <c r="AU7" i="6" s="1"/>
  <c r="AU8" i="6" s="1"/>
  <c r="BC5" i="6"/>
  <c r="AL9" i="6"/>
  <c r="I22" i="6" s="1"/>
  <c r="AL8" i="6"/>
  <c r="AZ7" i="6"/>
  <c r="BB7" i="6" l="1"/>
  <c r="BC7" i="6"/>
  <c r="AU9" i="6"/>
  <c r="I23" i="6" s="1"/>
  <c r="BD5" i="6"/>
  <c r="BD7" i="6" s="1"/>
  <c r="BD9" i="6" l="1"/>
  <c r="I24" i="6" s="1"/>
  <c r="I25" i="6" s="1"/>
  <c r="BD8" i="6"/>
</calcChain>
</file>

<file path=xl/comments1.xml><?xml version="1.0" encoding="utf-8"?>
<comments xmlns="http://schemas.openxmlformats.org/spreadsheetml/2006/main">
  <authors>
    <author>Alejo</author>
  </authors>
  <commentList>
    <comment ref="I3" authorId="0" shapeId="0">
      <text>
        <r>
          <rPr>
            <b/>
            <sz val="9"/>
            <color indexed="81"/>
            <rFont val="Tahoma"/>
            <charset val="1"/>
          </rPr>
          <t>Alejo:</t>
        </r>
        <r>
          <rPr>
            <sz val="9"/>
            <color indexed="81"/>
            <rFont val="Tahoma"/>
            <charset val="1"/>
          </rPr>
          <t xml:space="preserve">
Equivale al total de la inversión, mas la publicidad mas el pago del ingeniero desarrollador por los tres meses</t>
        </r>
      </text>
    </comment>
  </commentList>
</comments>
</file>

<file path=xl/sharedStrings.xml><?xml version="1.0" encoding="utf-8"?>
<sst xmlns="http://schemas.openxmlformats.org/spreadsheetml/2006/main" count="408" uniqueCount="154">
  <si>
    <t xml:space="preserve">Enero </t>
  </si>
  <si>
    <t>Marzo</t>
  </si>
  <si>
    <t>Abril</t>
  </si>
  <si>
    <t>Junio</t>
  </si>
  <si>
    <t>Julio</t>
  </si>
  <si>
    <t>Septiembre</t>
  </si>
  <si>
    <t>Noviembre</t>
  </si>
  <si>
    <t>Valor</t>
  </si>
  <si>
    <t>Febrero</t>
  </si>
  <si>
    <t>Mayo</t>
  </si>
  <si>
    <t>Agosto</t>
  </si>
  <si>
    <t>Octubre</t>
  </si>
  <si>
    <t>Diciembre</t>
  </si>
  <si>
    <t>C/dad</t>
  </si>
  <si>
    <t>General</t>
  </si>
  <si>
    <t>Total</t>
  </si>
  <si>
    <t>Luz</t>
  </si>
  <si>
    <t>Agua</t>
  </si>
  <si>
    <t>Internet</t>
  </si>
  <si>
    <t>Ingeniero de Sistemas, Soporte</t>
  </si>
  <si>
    <t>Desarrollador Aplicación</t>
  </si>
  <si>
    <t>Video Bean</t>
  </si>
  <si>
    <t>Equipos de Cómputo (Portatil)</t>
  </si>
  <si>
    <t>Equipo Escritorio (Altas Especificaciones)</t>
  </si>
  <si>
    <t>Impresora</t>
  </si>
  <si>
    <t>Celulares(Sistema Operativo Android)</t>
  </si>
  <si>
    <t>Activo Corriente</t>
  </si>
  <si>
    <t>Pasivo Corriente</t>
  </si>
  <si>
    <t>Publicidad</t>
  </si>
  <si>
    <t>Suscripción Mensual</t>
  </si>
  <si>
    <t>INGRESOS 2018</t>
  </si>
  <si>
    <t>Suscripción 
Mensual</t>
  </si>
  <si>
    <t>Periodo</t>
  </si>
  <si>
    <t>Subtotal</t>
  </si>
  <si>
    <t>INGRESOS 2019</t>
  </si>
  <si>
    <t>IVA</t>
  </si>
  <si>
    <t>Subtotal de Ingreso</t>
  </si>
  <si>
    <t>Total de Ingresos</t>
  </si>
  <si>
    <t>Subtotal de 
Ingreso</t>
  </si>
  <si>
    <t>Total de 
Ingresos</t>
  </si>
  <si>
    <t>Salarios</t>
  </si>
  <si>
    <t>Publicidad y Mercadeo</t>
  </si>
  <si>
    <t>Servicios 
Públicos</t>
  </si>
  <si>
    <t>Inversión
Patrimonio</t>
  </si>
  <si>
    <t>Mercadólogo</t>
  </si>
  <si>
    <t>Equipo de Oficina (Escritorios, Sillas etc)</t>
  </si>
  <si>
    <t>U/medida</t>
  </si>
  <si>
    <t>un</t>
  </si>
  <si>
    <t xml:space="preserve">C/dad </t>
  </si>
  <si>
    <t>Total Primer mes</t>
  </si>
  <si>
    <t>Total Año</t>
  </si>
  <si>
    <t>Total Primer Año</t>
  </si>
  <si>
    <t>Factura Mes</t>
  </si>
  <si>
    <t>Salario Mes</t>
  </si>
  <si>
    <t>Arrendamiento</t>
  </si>
  <si>
    <t>Servicio</t>
  </si>
  <si>
    <t>Auxiliar con conocimiento en sistemas</t>
  </si>
  <si>
    <t>GASTOS POR AÑO, VIGENCIA 2019</t>
  </si>
  <si>
    <t>Incremto</t>
  </si>
  <si>
    <t>Total Servicios</t>
  </si>
  <si>
    <t>Total Salarios</t>
  </si>
  <si>
    <t>Total Febrero</t>
  </si>
  <si>
    <t>Afiliados 2019</t>
  </si>
  <si>
    <t>Total Afiliados</t>
  </si>
  <si>
    <t>Total Neto</t>
  </si>
  <si>
    <t>Total Bruto</t>
  </si>
  <si>
    <t>Total Bruto (menos iva)</t>
  </si>
  <si>
    <t>|</t>
  </si>
  <si>
    <t>INGRESOS 2020</t>
  </si>
  <si>
    <t>INGRESOS 2021</t>
  </si>
  <si>
    <t>INGRESOS 2022</t>
  </si>
  <si>
    <t>Total Bruto 2018</t>
  </si>
  <si>
    <t>Total Bruto 2019</t>
  </si>
  <si>
    <t>Total Bruto 2020</t>
  </si>
  <si>
    <t>Total Bruto 2021</t>
  </si>
  <si>
    <t>Total Bruto 2022</t>
  </si>
  <si>
    <t>Total Proyección Cinco Años</t>
  </si>
  <si>
    <t>GASTOS POR AÑO, VIGENCIA 2020</t>
  </si>
  <si>
    <t>GASTOS POR AÑO, VIGENCIA 2021</t>
  </si>
  <si>
    <t>GASTOS POR AÑO, VIGENCIA 2022</t>
  </si>
  <si>
    <t>El valor de la Publicidad se estima en $ 1.200 por descarga en periodos de un (1) mes</t>
  </si>
  <si>
    <t>Deuda</t>
  </si>
  <si>
    <t>Total Deuda</t>
  </si>
  <si>
    <t>Interés Efectivo Anual</t>
  </si>
  <si>
    <t>Interés Mensual</t>
  </si>
  <si>
    <t>Año</t>
  </si>
  <si>
    <t>Deuda Capital</t>
  </si>
  <si>
    <t>Interéses</t>
  </si>
  <si>
    <t>Saldo</t>
  </si>
  <si>
    <t>Deuda Proyectada a cinco (5) años</t>
  </si>
  <si>
    <t>Pago Mensul</t>
  </si>
  <si>
    <t>Pago Anual</t>
  </si>
  <si>
    <t>Vigencia 2019</t>
  </si>
  <si>
    <t>Vigencia 2020</t>
  </si>
  <si>
    <t>Vigencia 2021</t>
  </si>
  <si>
    <t>Vigencia 2022</t>
  </si>
  <si>
    <t>Total Gastos Quinquenal</t>
  </si>
  <si>
    <t>Gastos 2018</t>
  </si>
  <si>
    <t>Accionista</t>
  </si>
  <si>
    <t>Pérdidas y Ganancias P&amp;G</t>
  </si>
  <si>
    <t>P&amp;G</t>
  </si>
  <si>
    <t>Gastos Administrativos</t>
  </si>
  <si>
    <t>Ingresos Producción</t>
  </si>
  <si>
    <t>Ingresos Financiamiento Deuda</t>
  </si>
  <si>
    <t>Ingresos Financiamiento Accionista</t>
  </si>
  <si>
    <t>Utilidad Neta</t>
  </si>
  <si>
    <t>Ingreso Bruto 2018</t>
  </si>
  <si>
    <t>Crédito</t>
  </si>
  <si>
    <t>Flujo de Caja</t>
  </si>
  <si>
    <t>Año 0</t>
  </si>
  <si>
    <t>Año 1</t>
  </si>
  <si>
    <t>Año 2</t>
  </si>
  <si>
    <t>Año 3</t>
  </si>
  <si>
    <t>Año 4</t>
  </si>
  <si>
    <t>Tasa</t>
  </si>
  <si>
    <t>año 0</t>
  </si>
  <si>
    <t>Valor 2</t>
  </si>
  <si>
    <t>año 1</t>
  </si>
  <si>
    <t>Valor 1</t>
  </si>
  <si>
    <t>año 2</t>
  </si>
  <si>
    <t>año 3</t>
  </si>
  <si>
    <t>año 4</t>
  </si>
  <si>
    <t>VNA</t>
  </si>
  <si>
    <t>Cálculo del Valor Neto Actual (VNA)</t>
  </si>
  <si>
    <t>Tasa Interna de Retorno (TIR)</t>
  </si>
  <si>
    <t>VIDA</t>
  </si>
  <si>
    <t>FLUJOS FUTUROS</t>
  </si>
  <si>
    <t>FLUJOS DESCONTADOS</t>
  </si>
  <si>
    <t>SUMATORIA FLUJOS DESCONTADOS</t>
  </si>
  <si>
    <t>INVERSIÓN EN VALOR ABSOLUTO</t>
  </si>
  <si>
    <t>INDICE DE RENTABILIDAD</t>
  </si>
  <si>
    <t>Índice de Rentabilidad (IR)</t>
  </si>
  <si>
    <t>Proyección Cinco (5) Años</t>
  </si>
  <si>
    <t>DESCONTADOS</t>
  </si>
  <si>
    <t>ACUMULADO</t>
  </si>
  <si>
    <t>PAYBACK</t>
  </si>
  <si>
    <t>Payback Descontado</t>
  </si>
  <si>
    <t>PROYECTO</t>
  </si>
  <si>
    <t>La Inversión se recuperará en un (1) Año y cinco (5) Meses</t>
  </si>
  <si>
    <t>Descarga de  App Móvil</t>
  </si>
  <si>
    <t>Valor de una (1) descarga es de cinco (5) dólares, equivalente a $ 14.700 (Valor dólar $ 2.940)</t>
  </si>
  <si>
    <t>Se calcula un promedio de crecimiento en número de descargas suscripciones anuales del 80%</t>
  </si>
  <si>
    <t>La Suscripción Mensual es equivalente a catorce (14) dólares $ 41.160 mensuales</t>
  </si>
  <si>
    <t>ESTUDIO INGRESOS PARA EL 2018</t>
  </si>
  <si>
    <t>Salario</t>
  </si>
  <si>
    <t>Factura</t>
  </si>
  <si>
    <t>U/Med</t>
  </si>
  <si>
    <t>GASTOS (Pasivo Corriente) POR AÑO, VIGENCIA 2018</t>
  </si>
  <si>
    <t>Concepto</t>
  </si>
  <si>
    <t>Vigencia 2018</t>
  </si>
  <si>
    <t>Total Inversión</t>
  </si>
  <si>
    <t>Valor a cubrir</t>
  </si>
  <si>
    <t>FINANACIAMIENTO</t>
  </si>
  <si>
    <t>Celulares(Sistema  Operativo Android)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</si>
</sst>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\ #,##0;[Red]\-&quot;$&quot;\ #,##0"/>
    <numFmt numFmtId="43" formatCode="_-* #,##0.00_-;\-* #,##0.00_-;_-* &quot;-&quot;??_-;_-@_-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/>
      </top>
      <bottom/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 tint="0.499984740745262"/>
      </bottom>
      <diagonal/>
    </border>
    <border>
      <left/>
      <right/>
      <top style="thin">
        <color theme="1"/>
      </top>
      <bottom style="thin">
        <color theme="1" tint="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1" tint="0.499984740745262"/>
      </bottom>
      <diagonal/>
    </border>
    <border>
      <left style="medium">
        <color theme="1"/>
      </left>
      <right style="thin">
        <color theme="1" tint="0.499984740745262"/>
      </right>
      <top style="medium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medium">
        <color theme="1"/>
      </top>
      <bottom style="thin">
        <color theme="1" tint="0.499984740745262"/>
      </bottom>
      <diagonal/>
    </border>
    <border>
      <left style="medium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medium">
        <color auto="1"/>
      </left>
      <right style="thin">
        <color theme="1" tint="0.499984740745262"/>
      </right>
      <top style="medium">
        <color auto="1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auto="1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</cellStyleXfs>
  <cellXfs count="23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3" fontId="0" fillId="0" borderId="0" xfId="0" applyNumberFormat="1" applyAlignment="1">
      <alignment horizontal="center" vertical="center"/>
    </xf>
    <xf numFmtId="3" fontId="1" fillId="2" borderId="1" xfId="0" applyNumberFormat="1" applyFont="1" applyFill="1" applyBorder="1"/>
    <xf numFmtId="3" fontId="0" fillId="2" borderId="1" xfId="0" applyNumberForma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3" fontId="1" fillId="0" borderId="1" xfId="0" applyNumberFormat="1" applyFont="1" applyBorder="1"/>
    <xf numFmtId="0" fontId="0" fillId="0" borderId="0" xfId="0" applyBorder="1"/>
    <xf numFmtId="3" fontId="0" fillId="0" borderId="0" xfId="0" applyNumberForma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26" xfId="0" applyBorder="1"/>
    <xf numFmtId="3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3" fontId="0" fillId="0" borderId="14" xfId="0" applyNumberFormat="1" applyFill="1" applyBorder="1" applyAlignment="1">
      <alignment horizontal="center" vertical="center" wrapText="1"/>
    </xf>
    <xf numFmtId="3" fontId="0" fillId="0" borderId="14" xfId="0" applyNumberFormat="1" applyFill="1" applyBorder="1" applyAlignment="1">
      <alignment horizontal="center" vertical="center"/>
    </xf>
    <xf numFmtId="3" fontId="0" fillId="0" borderId="14" xfId="0" applyNumberFormat="1" applyFill="1" applyBorder="1"/>
    <xf numFmtId="3" fontId="0" fillId="0" borderId="14" xfId="0" applyNumberFormat="1" applyFill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0" fontId="0" fillId="0" borderId="27" xfId="0" applyFill="1" applyBorder="1" applyAlignment="1">
      <alignment vertical="center" wrapText="1"/>
    </xf>
    <xf numFmtId="0" fontId="0" fillId="0" borderId="17" xfId="0" applyBorder="1"/>
    <xf numFmtId="3" fontId="0" fillId="0" borderId="17" xfId="0" applyNumberFormat="1" applyBorder="1" applyAlignment="1">
      <alignment horizontal="center"/>
    </xf>
    <xf numFmtId="0" fontId="0" fillId="0" borderId="41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1" xfId="0" applyFill="1" applyBorder="1"/>
    <xf numFmtId="0" fontId="0" fillId="0" borderId="42" xfId="0" applyFill="1" applyBorder="1"/>
    <xf numFmtId="0" fontId="0" fillId="0" borderId="41" xfId="0" applyFill="1" applyBorder="1" applyAlignment="1">
      <alignment horizontal="center"/>
    </xf>
    <xf numFmtId="3" fontId="0" fillId="0" borderId="42" xfId="0" applyNumberFormat="1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3" fontId="0" fillId="0" borderId="44" xfId="0" applyNumberFormat="1" applyFill="1" applyBorder="1" applyAlignment="1">
      <alignment horizontal="center"/>
    </xf>
    <xf numFmtId="3" fontId="0" fillId="0" borderId="45" xfId="0" applyNumberFormat="1" applyFill="1" applyBorder="1" applyAlignment="1">
      <alignment horizontal="center"/>
    </xf>
    <xf numFmtId="0" fontId="1" fillId="0" borderId="27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3" fontId="0" fillId="0" borderId="46" xfId="0" applyNumberFormat="1" applyFill="1" applyBorder="1" applyAlignment="1">
      <alignment horizontal="center"/>
    </xf>
    <xf numFmtId="3" fontId="0" fillId="0" borderId="47" xfId="0" applyNumberFormat="1" applyFill="1" applyBorder="1" applyAlignment="1">
      <alignment horizontal="center"/>
    </xf>
    <xf numFmtId="3" fontId="0" fillId="0" borderId="48" xfId="0" applyNumberForma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/>
    <xf numFmtId="0" fontId="7" fillId="0" borderId="1" xfId="0" applyFont="1" applyFill="1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9" fontId="0" fillId="0" borderId="1" xfId="1" applyNumberFormat="1" applyFont="1" applyBorder="1" applyAlignment="1">
      <alignment horizontal="center"/>
    </xf>
    <xf numFmtId="9" fontId="0" fillId="0" borderId="0" xfId="0" applyNumberFormat="1"/>
    <xf numFmtId="3" fontId="1" fillId="2" borderId="39" xfId="0" applyNumberFormat="1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3" fontId="0" fillId="0" borderId="24" xfId="0" applyNumberFormat="1" applyFill="1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3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Fill="1" applyBorder="1" applyAlignment="1">
      <alignment horizontal="center"/>
    </xf>
    <xf numFmtId="0" fontId="1" fillId="0" borderId="29" xfId="0" applyFont="1" applyBorder="1" applyAlignment="1"/>
    <xf numFmtId="0" fontId="1" fillId="0" borderId="30" xfId="0" applyFont="1" applyBorder="1" applyAlignment="1"/>
    <xf numFmtId="3" fontId="1" fillId="3" borderId="31" xfId="0" applyNumberFormat="1" applyFont="1" applyFill="1" applyBorder="1" applyAlignment="1"/>
    <xf numFmtId="3" fontId="1" fillId="0" borderId="0" xfId="0" applyNumberFormat="1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center"/>
    </xf>
    <xf numFmtId="3" fontId="1" fillId="0" borderId="17" xfId="0" applyNumberFormat="1" applyFont="1" applyFill="1" applyBorder="1" applyAlignment="1">
      <alignment horizontal="center"/>
    </xf>
    <xf numFmtId="3" fontId="0" fillId="0" borderId="41" xfId="0" applyNumberFormat="1" applyFill="1" applyBorder="1" applyAlignment="1">
      <alignment horizontal="center"/>
    </xf>
    <xf numFmtId="3" fontId="1" fillId="0" borderId="44" xfId="0" applyNumberFormat="1" applyFont="1" applyFill="1" applyBorder="1" applyAlignment="1">
      <alignment horizontal="center"/>
    </xf>
    <xf numFmtId="3" fontId="1" fillId="0" borderId="45" xfId="0" applyNumberFormat="1" applyFont="1" applyFill="1" applyBorder="1" applyAlignment="1">
      <alignment horizontal="center"/>
    </xf>
    <xf numFmtId="1" fontId="0" fillId="0" borderId="41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1" fillId="0" borderId="0" xfId="0" applyNumberFormat="1" applyFont="1" applyFill="1" applyBorder="1" applyAlignment="1"/>
    <xf numFmtId="3" fontId="1" fillId="3" borderId="50" xfId="0" applyNumberFormat="1" applyFont="1" applyFill="1" applyBorder="1" applyAlignment="1"/>
    <xf numFmtId="3" fontId="0" fillId="0" borderId="50" xfId="0" applyNumberFormat="1" applyBorder="1"/>
    <xf numFmtId="3" fontId="0" fillId="3" borderId="50" xfId="0" applyNumberFormat="1" applyFill="1" applyBorder="1"/>
    <xf numFmtId="0" fontId="1" fillId="0" borderId="0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/>
    <xf numFmtId="3" fontId="1" fillId="0" borderId="1" xfId="0" applyNumberFormat="1" applyFont="1" applyBorder="1" applyAlignment="1"/>
    <xf numFmtId="166" fontId="0" fillId="0" borderId="0" xfId="0" applyNumberFormat="1"/>
    <xf numFmtId="10" fontId="0" fillId="0" borderId="1" xfId="0" applyNumberFormat="1" applyBorder="1" applyAlignment="1">
      <alignment horizontal="center"/>
    </xf>
    <xf numFmtId="43" fontId="0" fillId="0" borderId="1" xfId="3" applyFont="1" applyBorder="1"/>
    <xf numFmtId="166" fontId="0" fillId="0" borderId="1" xfId="3" applyNumberFormat="1" applyFont="1" applyBorder="1"/>
    <xf numFmtId="43" fontId="1" fillId="0" borderId="1" xfId="3" applyFont="1" applyBorder="1"/>
    <xf numFmtId="6" fontId="1" fillId="0" borderId="1" xfId="0" applyNumberFormat="1" applyFont="1" applyBorder="1"/>
    <xf numFmtId="3" fontId="1" fillId="0" borderId="3" xfId="0" applyNumberFormat="1" applyFont="1" applyBorder="1" applyAlignment="1"/>
    <xf numFmtId="9" fontId="1" fillId="0" borderId="1" xfId="0" applyNumberFormat="1" applyFont="1" applyBorder="1"/>
    <xf numFmtId="1" fontId="0" fillId="0" borderId="1" xfId="3" applyNumberFormat="1" applyFont="1" applyBorder="1" applyAlignment="1">
      <alignment horizontal="center"/>
    </xf>
    <xf numFmtId="43" fontId="0" fillId="0" borderId="1" xfId="0" applyNumberFormat="1" applyBorder="1"/>
    <xf numFmtId="43" fontId="1" fillId="0" borderId="1" xfId="0" applyNumberFormat="1" applyFont="1" applyBorder="1"/>
    <xf numFmtId="10" fontId="0" fillId="0" borderId="1" xfId="0" applyNumberFormat="1" applyBorder="1"/>
    <xf numFmtId="1" fontId="0" fillId="0" borderId="5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166" fontId="0" fillId="0" borderId="1" xfId="0" applyNumberFormat="1" applyBorder="1"/>
    <xf numFmtId="166" fontId="0" fillId="0" borderId="1" xfId="0" applyNumberFormat="1" applyFill="1" applyBorder="1"/>
    <xf numFmtId="1" fontId="0" fillId="0" borderId="5" xfId="3" applyNumberFormat="1" applyFont="1" applyBorder="1" applyAlignment="1">
      <alignment horizontal="center"/>
    </xf>
    <xf numFmtId="166" fontId="0" fillId="0" borderId="5" xfId="3" applyNumberFormat="1" applyFont="1" applyBorder="1"/>
    <xf numFmtId="166" fontId="0" fillId="0" borderId="5" xfId="0" applyNumberFormat="1" applyBorder="1"/>
    <xf numFmtId="43" fontId="8" fillId="0" borderId="1" xfId="0" applyNumberFormat="1" applyFont="1" applyBorder="1"/>
    <xf numFmtId="1" fontId="0" fillId="0" borderId="1" xfId="3" applyNumberFormat="1" applyFont="1" applyBorder="1" applyAlignment="1"/>
    <xf numFmtId="0" fontId="0" fillId="0" borderId="7" xfId="0" applyBorder="1" applyAlignment="1"/>
    <xf numFmtId="0" fontId="0" fillId="0" borderId="0" xfId="0" applyBorder="1" applyAlignment="1"/>
    <xf numFmtId="3" fontId="1" fillId="0" borderId="54" xfId="0" applyNumberFormat="1" applyFont="1" applyBorder="1" applyAlignment="1"/>
    <xf numFmtId="0" fontId="1" fillId="0" borderId="3" xfId="0" applyFont="1" applyBorder="1" applyAlignment="1"/>
    <xf numFmtId="0" fontId="0" fillId="0" borderId="0" xfId="0" applyAlignment="1"/>
    <xf numFmtId="0" fontId="1" fillId="2" borderId="50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3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3" fontId="1" fillId="0" borderId="7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vertical="center" wrapText="1"/>
    </xf>
    <xf numFmtId="0" fontId="1" fillId="0" borderId="1" xfId="0" applyFont="1" applyFill="1" applyBorder="1"/>
    <xf numFmtId="3" fontId="1" fillId="0" borderId="1" xfId="0" applyNumberFormat="1" applyFont="1" applyFill="1" applyBorder="1"/>
    <xf numFmtId="3" fontId="0" fillId="0" borderId="2" xfId="0" applyNumberFormat="1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3" fontId="0" fillId="0" borderId="18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49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left"/>
    </xf>
    <xf numFmtId="0" fontId="1" fillId="0" borderId="56" xfId="0" applyFont="1" applyFill="1" applyBorder="1" applyAlignment="1">
      <alignment horizontal="left"/>
    </xf>
    <xf numFmtId="0" fontId="1" fillId="0" borderId="57" xfId="0" applyFont="1" applyFill="1" applyBorder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4" xfId="0" applyNumberFormat="1" applyFont="1" applyBorder="1" applyAlignment="1">
      <alignment horizontal="left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" fontId="0" fillId="0" borderId="2" xfId="3" applyNumberFormat="1" applyFont="1" applyBorder="1" applyAlignment="1">
      <alignment horizontal="left"/>
    </xf>
    <xf numFmtId="1" fontId="0" fillId="0" borderId="3" xfId="3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D32"/>
  <sheetViews>
    <sheetView tabSelected="1" workbookViewId="0">
      <selection activeCell="N30" sqref="N30"/>
    </sheetView>
  </sheetViews>
  <sheetFormatPr baseColWidth="10" defaultRowHeight="15" x14ac:dyDescent="0.25"/>
  <cols>
    <col min="2" max="2" width="15.140625" bestFit="1" customWidth="1"/>
    <col min="3" max="3" width="5.85546875" bestFit="1" customWidth="1"/>
    <col min="4" max="4" width="9.140625" bestFit="1" customWidth="1"/>
    <col min="5" max="5" width="9.7109375" bestFit="1" customWidth="1"/>
    <col min="6" max="6" width="10.5703125" bestFit="1" customWidth="1"/>
    <col min="8" max="8" width="9.140625" bestFit="1" customWidth="1"/>
    <col min="9" max="9" width="11.140625" bestFit="1" customWidth="1"/>
    <col min="11" max="11" width="6" customWidth="1"/>
    <col min="12" max="12" width="11.42578125" bestFit="1" customWidth="1"/>
    <col min="13" max="13" width="6.28515625" bestFit="1" customWidth="1"/>
    <col min="14" max="14" width="11.7109375" style="1" customWidth="1"/>
    <col min="15" max="15" width="11" style="1" customWidth="1"/>
    <col min="16" max="16" width="11.140625" customWidth="1"/>
    <col min="17" max="17" width="11.85546875" bestFit="1" customWidth="1"/>
    <col min="18" max="18" width="9.140625" bestFit="1" customWidth="1"/>
    <col min="19" max="19" width="10.140625" bestFit="1" customWidth="1"/>
    <col min="20" max="20" width="7.42578125" customWidth="1"/>
    <col min="21" max="21" width="5.28515625" customWidth="1"/>
    <col min="22" max="22" width="13.7109375" bestFit="1" customWidth="1"/>
    <col min="23" max="23" width="6.28515625" bestFit="1" customWidth="1"/>
    <col min="24" max="24" width="10.140625" bestFit="1" customWidth="1"/>
    <col min="25" max="25" width="10.28515625" bestFit="1" customWidth="1"/>
    <col min="26" max="26" width="11" bestFit="1" customWidth="1"/>
    <col min="27" max="27" width="11.140625" bestFit="1" customWidth="1"/>
    <col min="28" max="29" width="10.140625" bestFit="1" customWidth="1"/>
    <col min="31" max="31" width="13.7109375" bestFit="1" customWidth="1"/>
    <col min="32" max="32" width="6.28515625" bestFit="1" customWidth="1"/>
    <col min="33" max="33" width="9.140625" bestFit="1" customWidth="1"/>
    <col min="34" max="34" width="10.28515625" bestFit="1" customWidth="1"/>
    <col min="35" max="35" width="11" bestFit="1" customWidth="1"/>
    <col min="36" max="36" width="11.140625" bestFit="1" customWidth="1"/>
    <col min="37" max="37" width="10.140625" bestFit="1" customWidth="1"/>
    <col min="38" max="38" width="11.140625" bestFit="1" customWidth="1"/>
    <col min="40" max="40" width="13.7109375" bestFit="1" customWidth="1"/>
    <col min="41" max="41" width="6.28515625" bestFit="1" customWidth="1"/>
    <col min="42" max="42" width="9.140625" bestFit="1" customWidth="1"/>
    <col min="43" max="43" width="10.28515625" bestFit="1" customWidth="1"/>
    <col min="44" max="44" width="11" bestFit="1" customWidth="1"/>
    <col min="45" max="45" width="11.140625" bestFit="1" customWidth="1"/>
    <col min="46" max="46" width="10.140625" bestFit="1" customWidth="1"/>
    <col min="47" max="47" width="11.140625" bestFit="1" customWidth="1"/>
    <col min="49" max="49" width="13.7109375" bestFit="1" customWidth="1"/>
    <col min="50" max="50" width="6.28515625" bestFit="1" customWidth="1"/>
    <col min="51" max="51" width="9.140625" bestFit="1" customWidth="1"/>
    <col min="52" max="52" width="10.28515625" bestFit="1" customWidth="1"/>
    <col min="53" max="53" width="11" bestFit="1" customWidth="1"/>
    <col min="54" max="54" width="11.140625" bestFit="1" customWidth="1"/>
    <col min="55" max="55" width="10.140625" bestFit="1" customWidth="1"/>
    <col min="56" max="56" width="11.140625" bestFit="1" customWidth="1"/>
  </cols>
  <sheetData>
    <row r="1" spans="2:56" x14ac:dyDescent="0.25">
      <c r="B1" s="178" t="s">
        <v>143</v>
      </c>
      <c r="C1" s="179"/>
      <c r="D1" s="179"/>
      <c r="E1" s="179"/>
      <c r="F1" s="179"/>
      <c r="G1" s="179"/>
      <c r="H1" s="179"/>
      <c r="I1" s="180"/>
      <c r="J1" s="83"/>
      <c r="L1" s="178" t="s">
        <v>30</v>
      </c>
      <c r="M1" s="179"/>
      <c r="N1" s="179"/>
      <c r="O1" s="179"/>
      <c r="P1" s="179"/>
      <c r="Q1" s="179"/>
      <c r="R1" s="179"/>
      <c r="S1" s="180"/>
      <c r="V1" s="178" t="s">
        <v>34</v>
      </c>
      <c r="W1" s="179"/>
      <c r="X1" s="179"/>
      <c r="Y1" s="179"/>
      <c r="Z1" s="179"/>
      <c r="AA1" s="179"/>
      <c r="AB1" s="179"/>
      <c r="AC1" s="180"/>
      <c r="AE1" s="178" t="s">
        <v>68</v>
      </c>
      <c r="AF1" s="179"/>
      <c r="AG1" s="179"/>
      <c r="AH1" s="179"/>
      <c r="AI1" s="179"/>
      <c r="AJ1" s="179"/>
      <c r="AK1" s="179"/>
      <c r="AL1" s="180"/>
      <c r="AN1" s="178" t="s">
        <v>69</v>
      </c>
      <c r="AO1" s="179"/>
      <c r="AP1" s="179"/>
      <c r="AQ1" s="179"/>
      <c r="AR1" s="179"/>
      <c r="AS1" s="179"/>
      <c r="AT1" s="179"/>
      <c r="AU1" s="180"/>
      <c r="AW1" s="178" t="s">
        <v>70</v>
      </c>
      <c r="AX1" s="179"/>
      <c r="AY1" s="179"/>
      <c r="AZ1" s="179"/>
      <c r="BA1" s="179"/>
      <c r="BB1" s="179"/>
      <c r="BC1" s="179"/>
      <c r="BD1" s="180"/>
    </row>
    <row r="2" spans="2:56" ht="15" customHeight="1" thickBot="1" x14ac:dyDescent="0.3">
      <c r="B2" s="181" t="s">
        <v>26</v>
      </c>
      <c r="C2" s="182"/>
      <c r="D2" s="182"/>
      <c r="E2" s="182"/>
      <c r="F2" s="182"/>
      <c r="G2" s="183"/>
      <c r="H2" s="183"/>
      <c r="I2" s="184"/>
      <c r="J2" s="77"/>
      <c r="L2" s="181" t="s">
        <v>26</v>
      </c>
      <c r="M2" s="182"/>
      <c r="N2" s="182"/>
      <c r="O2" s="182"/>
      <c r="P2" s="182"/>
      <c r="Q2" s="183"/>
      <c r="R2" s="183"/>
      <c r="S2" s="184"/>
      <c r="V2" s="181" t="s">
        <v>26</v>
      </c>
      <c r="W2" s="182"/>
      <c r="X2" s="182"/>
      <c r="Y2" s="182"/>
      <c r="Z2" s="182"/>
      <c r="AA2" s="183"/>
      <c r="AB2" s="183"/>
      <c r="AC2" s="184"/>
      <c r="AE2" s="181" t="s">
        <v>26</v>
      </c>
      <c r="AF2" s="182"/>
      <c r="AG2" s="182"/>
      <c r="AH2" s="182"/>
      <c r="AI2" s="182"/>
      <c r="AJ2" s="183"/>
      <c r="AK2" s="183"/>
      <c r="AL2" s="184"/>
      <c r="AN2" s="181" t="s">
        <v>26</v>
      </c>
      <c r="AO2" s="182"/>
      <c r="AP2" s="182"/>
      <c r="AQ2" s="182"/>
      <c r="AR2" s="182"/>
      <c r="AS2" s="183"/>
      <c r="AT2" s="183"/>
      <c r="AU2" s="184"/>
      <c r="AW2" s="181" t="s">
        <v>26</v>
      </c>
      <c r="AX2" s="182"/>
      <c r="AY2" s="182"/>
      <c r="AZ2" s="182"/>
      <c r="BA2" s="182"/>
      <c r="BB2" s="183"/>
      <c r="BC2" s="183"/>
      <c r="BD2" s="184"/>
    </row>
    <row r="3" spans="2:56" ht="27.75" customHeight="1" x14ac:dyDescent="0.25">
      <c r="B3" s="185" t="s">
        <v>32</v>
      </c>
      <c r="C3" s="153" t="s">
        <v>139</v>
      </c>
      <c r="D3" s="154"/>
      <c r="E3" s="56" t="s">
        <v>28</v>
      </c>
      <c r="F3" s="57" t="s">
        <v>31</v>
      </c>
      <c r="G3" s="166" t="s">
        <v>36</v>
      </c>
      <c r="H3" s="189" t="s">
        <v>35</v>
      </c>
      <c r="I3" s="170" t="s">
        <v>39</v>
      </c>
      <c r="J3" s="77"/>
      <c r="L3" s="185" t="s">
        <v>32</v>
      </c>
      <c r="M3" s="153" t="s">
        <v>139</v>
      </c>
      <c r="N3" s="154"/>
      <c r="O3" s="56" t="s">
        <v>28</v>
      </c>
      <c r="P3" s="57" t="s">
        <v>29</v>
      </c>
      <c r="Q3" s="166" t="s">
        <v>36</v>
      </c>
      <c r="R3" s="168" t="s">
        <v>35</v>
      </c>
      <c r="S3" s="170" t="s">
        <v>37</v>
      </c>
      <c r="V3" s="185" t="s">
        <v>32</v>
      </c>
      <c r="W3" s="153" t="s">
        <v>139</v>
      </c>
      <c r="X3" s="154"/>
      <c r="Y3" s="56" t="s">
        <v>28</v>
      </c>
      <c r="Z3" s="57" t="s">
        <v>31</v>
      </c>
      <c r="AA3" s="166" t="s">
        <v>38</v>
      </c>
      <c r="AB3" s="168" t="s">
        <v>35</v>
      </c>
      <c r="AC3" s="170" t="s">
        <v>39</v>
      </c>
      <c r="AE3" s="185" t="s">
        <v>32</v>
      </c>
      <c r="AF3" s="153" t="s">
        <v>139</v>
      </c>
      <c r="AG3" s="154"/>
      <c r="AH3" s="56" t="s">
        <v>28</v>
      </c>
      <c r="AI3" s="57" t="s">
        <v>31</v>
      </c>
      <c r="AJ3" s="166" t="s">
        <v>38</v>
      </c>
      <c r="AK3" s="168" t="s">
        <v>35</v>
      </c>
      <c r="AL3" s="170" t="s">
        <v>39</v>
      </c>
      <c r="AN3" s="185" t="s">
        <v>32</v>
      </c>
      <c r="AO3" s="153" t="s">
        <v>139</v>
      </c>
      <c r="AP3" s="154"/>
      <c r="AQ3" s="56" t="s">
        <v>28</v>
      </c>
      <c r="AR3" s="57" t="s">
        <v>31</v>
      </c>
      <c r="AS3" s="166" t="s">
        <v>38</v>
      </c>
      <c r="AT3" s="168" t="s">
        <v>35</v>
      </c>
      <c r="AU3" s="170" t="s">
        <v>39</v>
      </c>
      <c r="AW3" s="185" t="s">
        <v>32</v>
      </c>
      <c r="AX3" s="153" t="s">
        <v>139</v>
      </c>
      <c r="AY3" s="154"/>
      <c r="AZ3" s="56" t="s">
        <v>28</v>
      </c>
      <c r="BA3" s="57" t="s">
        <v>31</v>
      </c>
      <c r="BB3" s="166" t="s">
        <v>38</v>
      </c>
      <c r="BC3" s="168" t="s">
        <v>35</v>
      </c>
      <c r="BD3" s="170" t="s">
        <v>39</v>
      </c>
    </row>
    <row r="4" spans="2:56" ht="12.75" customHeight="1" x14ac:dyDescent="0.25">
      <c r="B4" s="185"/>
      <c r="C4" s="29" t="s">
        <v>13</v>
      </c>
      <c r="D4" s="21" t="s">
        <v>7</v>
      </c>
      <c r="E4" s="22" t="s">
        <v>7</v>
      </c>
      <c r="F4" s="30" t="s">
        <v>7</v>
      </c>
      <c r="G4" s="167"/>
      <c r="H4" s="190"/>
      <c r="I4" s="171"/>
      <c r="J4" s="77"/>
      <c r="L4" s="185"/>
      <c r="M4" s="29" t="s">
        <v>13</v>
      </c>
      <c r="N4" s="21" t="s">
        <v>7</v>
      </c>
      <c r="O4" s="22" t="s">
        <v>7</v>
      </c>
      <c r="P4" s="30" t="s">
        <v>7</v>
      </c>
      <c r="Q4" s="167"/>
      <c r="R4" s="169"/>
      <c r="S4" s="171"/>
      <c r="T4">
        <v>14700</v>
      </c>
      <c r="V4" s="185"/>
      <c r="W4" s="29" t="s">
        <v>13</v>
      </c>
      <c r="X4" s="21" t="s">
        <v>7</v>
      </c>
      <c r="Y4" s="22" t="s">
        <v>7</v>
      </c>
      <c r="Z4" s="30" t="s">
        <v>7</v>
      </c>
      <c r="AA4" s="167"/>
      <c r="AB4" s="169"/>
      <c r="AC4" s="171"/>
      <c r="AE4" s="185"/>
      <c r="AF4" s="29" t="s">
        <v>13</v>
      </c>
      <c r="AG4" s="21" t="s">
        <v>7</v>
      </c>
      <c r="AH4" s="22" t="s">
        <v>7</v>
      </c>
      <c r="AI4" s="30" t="s">
        <v>7</v>
      </c>
      <c r="AJ4" s="167"/>
      <c r="AK4" s="169"/>
      <c r="AL4" s="171"/>
      <c r="AN4" s="185"/>
      <c r="AO4" s="29" t="s">
        <v>13</v>
      </c>
      <c r="AP4" s="21" t="s">
        <v>7</v>
      </c>
      <c r="AQ4" s="22" t="s">
        <v>7</v>
      </c>
      <c r="AR4" s="30" t="s">
        <v>7</v>
      </c>
      <c r="AS4" s="167"/>
      <c r="AT4" s="169"/>
      <c r="AU4" s="171"/>
      <c r="AW4" s="185"/>
      <c r="AX4" s="29" t="s">
        <v>13</v>
      </c>
      <c r="AY4" s="21" t="s">
        <v>7</v>
      </c>
      <c r="AZ4" s="22" t="s">
        <v>7</v>
      </c>
      <c r="BA4" s="30" t="s">
        <v>7</v>
      </c>
      <c r="BB4" s="167"/>
      <c r="BC4" s="169"/>
      <c r="BD4" s="171"/>
    </row>
    <row r="5" spans="2:56" x14ac:dyDescent="0.25">
      <c r="B5" s="26" t="s">
        <v>0</v>
      </c>
      <c r="C5" s="31"/>
      <c r="D5" s="23"/>
      <c r="E5" s="23"/>
      <c r="F5" s="32"/>
      <c r="G5" s="27"/>
      <c r="H5" s="14"/>
      <c r="I5" s="17"/>
      <c r="J5" s="9"/>
      <c r="L5" s="26" t="s">
        <v>0</v>
      </c>
      <c r="M5" s="31"/>
      <c r="N5" s="23"/>
      <c r="O5" s="23"/>
      <c r="P5" s="32"/>
      <c r="Q5" s="27"/>
      <c r="R5" s="14"/>
      <c r="S5" s="17"/>
      <c r="T5">
        <v>1200</v>
      </c>
      <c r="V5" s="59" t="s">
        <v>62</v>
      </c>
      <c r="W5" s="33">
        <f>80*M18/100</f>
        <v>520</v>
      </c>
      <c r="X5" s="24">
        <f t="shared" ref="X5" si="0">W5*$T$4</f>
        <v>7644000</v>
      </c>
      <c r="Y5" s="24">
        <f t="shared" ref="Y5:Y6" si="1">W5*$T$5</f>
        <v>624000</v>
      </c>
      <c r="Z5" s="34">
        <f>W5*$T$6</f>
        <v>21407880</v>
      </c>
      <c r="AA5" s="28">
        <f>SUM(X5:Z5)</f>
        <v>29675880</v>
      </c>
      <c r="AB5" s="16">
        <f>AA5*19/100</f>
        <v>5638417.2000000002</v>
      </c>
      <c r="AC5" s="18">
        <f t="shared" ref="AC5:AC6" si="2">AA5+AB5</f>
        <v>35314297.200000003</v>
      </c>
      <c r="AE5" s="59" t="s">
        <v>62</v>
      </c>
      <c r="AF5" s="75">
        <f>80*W5/100</f>
        <v>416</v>
      </c>
      <c r="AG5" s="24">
        <f t="shared" ref="AG5" si="3">AF5*$T$4</f>
        <v>6115200</v>
      </c>
      <c r="AH5" s="24">
        <f t="shared" ref="AH5:AH6" si="4">AF5*$T$5</f>
        <v>499200</v>
      </c>
      <c r="AI5" s="34">
        <f>AF5*$T$6</f>
        <v>17126304</v>
      </c>
      <c r="AJ5" s="28">
        <f>SUM(AG5:AI5)</f>
        <v>23740704</v>
      </c>
      <c r="AK5" s="16">
        <f>AJ5*19/100</f>
        <v>4510733.76</v>
      </c>
      <c r="AL5" s="18">
        <f t="shared" ref="AL5:AL6" si="5">AJ5+AK5</f>
        <v>28251437.759999998</v>
      </c>
      <c r="AN5" s="59" t="s">
        <v>62</v>
      </c>
      <c r="AO5" s="75">
        <f>80*AF5/100</f>
        <v>332.8</v>
      </c>
      <c r="AP5" s="24">
        <f t="shared" ref="AP5" si="6">AO5*$T$4</f>
        <v>4892160</v>
      </c>
      <c r="AQ5" s="24">
        <f t="shared" ref="AQ5:AQ6" si="7">AO5*$T$5</f>
        <v>399360</v>
      </c>
      <c r="AR5" s="34">
        <f>AO5*$T$6</f>
        <v>13701043.200000001</v>
      </c>
      <c r="AS5" s="28">
        <f>SUM(AP5:AR5)</f>
        <v>18992563.200000003</v>
      </c>
      <c r="AT5" s="16">
        <f>AS5*19/100</f>
        <v>3608587.0080000008</v>
      </c>
      <c r="AU5" s="18">
        <f t="shared" ref="AU5:AU6" si="8">AS5+AT5</f>
        <v>22601150.208000004</v>
      </c>
      <c r="AW5" s="59" t="s">
        <v>62</v>
      </c>
      <c r="AX5" s="75">
        <f>80*AO5/100</f>
        <v>266.24</v>
      </c>
      <c r="AY5" s="24">
        <f t="shared" ref="AY5" si="9">AX5*$T$4</f>
        <v>3913728</v>
      </c>
      <c r="AZ5" s="24">
        <f t="shared" ref="AZ5:AZ6" si="10">AX5*$T$5</f>
        <v>319488</v>
      </c>
      <c r="BA5" s="34">
        <f>AX5*$T$6</f>
        <v>10960834.560000001</v>
      </c>
      <c r="BB5" s="28">
        <f>SUM(AY5:BA5)</f>
        <v>15194050.560000001</v>
      </c>
      <c r="BC5" s="16">
        <f>BB5*19/100</f>
        <v>2886869.6063999999</v>
      </c>
      <c r="BD5" s="18">
        <f t="shared" ref="BD5:BD6" si="11">BB5+BC5</f>
        <v>18080920.1664</v>
      </c>
    </row>
    <row r="6" spans="2:56" x14ac:dyDescent="0.25">
      <c r="B6" s="26" t="s">
        <v>8</v>
      </c>
      <c r="C6" s="33">
        <v>30</v>
      </c>
      <c r="D6" s="24">
        <f t="shared" ref="D6:D16" si="12">C6*$T$4</f>
        <v>441000</v>
      </c>
      <c r="E6" s="24">
        <f t="shared" ref="E6:E16" si="13">C6*$T$5</f>
        <v>36000</v>
      </c>
      <c r="F6" s="34">
        <f>C6*$T$6</f>
        <v>1235070</v>
      </c>
      <c r="G6" s="28">
        <f>SUM(D6:F6)</f>
        <v>1712070</v>
      </c>
      <c r="H6" s="16">
        <f>G6*19/100</f>
        <v>325293.3</v>
      </c>
      <c r="I6" s="18">
        <f>G6+H6</f>
        <v>2037363.3</v>
      </c>
      <c r="J6" s="43"/>
      <c r="L6" s="26" t="s">
        <v>8</v>
      </c>
      <c r="M6" s="33">
        <v>30</v>
      </c>
      <c r="N6" s="24">
        <f t="shared" ref="N6:N16" si="14">M6*$T$4</f>
        <v>441000</v>
      </c>
      <c r="O6" s="24">
        <f t="shared" ref="O6:O16" si="15">M6*$T$5</f>
        <v>36000</v>
      </c>
      <c r="P6" s="34">
        <f>M6*$T$6</f>
        <v>1235070</v>
      </c>
      <c r="Q6" s="28">
        <f>SUM(N6:P6)</f>
        <v>1712070</v>
      </c>
      <c r="R6" s="16">
        <f>Q6*19/100</f>
        <v>325293.3</v>
      </c>
      <c r="S6" s="18">
        <f>Q6+R6</f>
        <v>2037363.3</v>
      </c>
      <c r="T6">
        <v>41169</v>
      </c>
      <c r="V6" s="59" t="s">
        <v>63</v>
      </c>
      <c r="W6" s="72">
        <f>M18+W5</f>
        <v>1170</v>
      </c>
      <c r="X6" s="24"/>
      <c r="Y6" s="24">
        <f t="shared" si="1"/>
        <v>1404000</v>
      </c>
      <c r="Z6" s="34">
        <f>W6*$T$6</f>
        <v>48167730</v>
      </c>
      <c r="AA6" s="28">
        <f>SUM(X6:Z6)</f>
        <v>49571730</v>
      </c>
      <c r="AB6" s="16">
        <f>AA6*19/100</f>
        <v>9418628.6999999993</v>
      </c>
      <c r="AC6" s="18">
        <f t="shared" si="2"/>
        <v>58990358.700000003</v>
      </c>
      <c r="AE6" s="59" t="s">
        <v>63</v>
      </c>
      <c r="AF6" s="72">
        <f>W6+AF5</f>
        <v>1586</v>
      </c>
      <c r="AG6" s="24"/>
      <c r="AH6" s="24">
        <f t="shared" si="4"/>
        <v>1903200</v>
      </c>
      <c r="AI6" s="34">
        <f>AF6*$T$6</f>
        <v>65294034</v>
      </c>
      <c r="AJ6" s="28">
        <f>SUM(AG6:AI6)</f>
        <v>67197234</v>
      </c>
      <c r="AK6" s="16">
        <f>AJ6*19/100</f>
        <v>12767474.460000001</v>
      </c>
      <c r="AL6" s="18">
        <f t="shared" si="5"/>
        <v>79964708.460000008</v>
      </c>
      <c r="AN6" s="59" t="s">
        <v>63</v>
      </c>
      <c r="AO6" s="72">
        <f>AF6+AO5</f>
        <v>1918.8</v>
      </c>
      <c r="AP6" s="24"/>
      <c r="AQ6" s="24">
        <f t="shared" si="7"/>
        <v>2302560</v>
      </c>
      <c r="AR6" s="34">
        <f>AO6*$T$6</f>
        <v>78995077.200000003</v>
      </c>
      <c r="AS6" s="28">
        <f>SUM(AP6:AR6)</f>
        <v>81297637.200000003</v>
      </c>
      <c r="AT6" s="16">
        <f>AS6*19/100</f>
        <v>15446551.068</v>
      </c>
      <c r="AU6" s="18">
        <f t="shared" si="8"/>
        <v>96744188.268000007</v>
      </c>
      <c r="AW6" s="59" t="s">
        <v>63</v>
      </c>
      <c r="AX6" s="72">
        <f>AO6+AX5</f>
        <v>2185.04</v>
      </c>
      <c r="AY6" s="24"/>
      <c r="AZ6" s="24">
        <f t="shared" si="10"/>
        <v>2622048</v>
      </c>
      <c r="BA6" s="34">
        <f>AX6*$T$6</f>
        <v>89955911.760000005</v>
      </c>
      <c r="BB6" s="28">
        <f>SUM(AY6:BA6)</f>
        <v>92577959.760000005</v>
      </c>
      <c r="BC6" s="16">
        <f>BB6*19/100</f>
        <v>17589812.354400001</v>
      </c>
      <c r="BD6" s="18">
        <f t="shared" si="11"/>
        <v>110167772.1144</v>
      </c>
    </row>
    <row r="7" spans="2:56" ht="15.75" thickBot="1" x14ac:dyDescent="0.3">
      <c r="B7" s="26" t="s">
        <v>1</v>
      </c>
      <c r="C7" s="33">
        <v>30</v>
      </c>
      <c r="D7" s="24">
        <f t="shared" si="12"/>
        <v>441000</v>
      </c>
      <c r="E7" s="24">
        <f t="shared" si="13"/>
        <v>36000</v>
      </c>
      <c r="F7" s="34">
        <f t="shared" ref="F7:F16" si="16">C7*$T$6</f>
        <v>1235070</v>
      </c>
      <c r="G7" s="28">
        <f t="shared" ref="G7:G16" si="17">SUM(D7:F7)</f>
        <v>1712070</v>
      </c>
      <c r="H7" s="16">
        <f t="shared" ref="H7:H16" si="18">G7*19/100</f>
        <v>325293.3</v>
      </c>
      <c r="I7" s="18">
        <f t="shared" ref="I7:I16" si="19">G7+H7</f>
        <v>2037363.3</v>
      </c>
      <c r="J7" s="43"/>
      <c r="L7" s="26" t="s">
        <v>1</v>
      </c>
      <c r="M7" s="33">
        <v>30</v>
      </c>
      <c r="N7" s="24">
        <f t="shared" si="14"/>
        <v>441000</v>
      </c>
      <c r="O7" s="24">
        <f t="shared" si="15"/>
        <v>36000</v>
      </c>
      <c r="P7" s="34">
        <f t="shared" ref="P7:P16" si="20">M7*$T$6</f>
        <v>1235070</v>
      </c>
      <c r="Q7" s="28">
        <f t="shared" ref="Q7:Q16" si="21">SUM(N7:P7)</f>
        <v>1712070</v>
      </c>
      <c r="R7" s="16">
        <f t="shared" ref="R7:R16" si="22">Q7*19/100</f>
        <v>325293.3</v>
      </c>
      <c r="S7" s="18">
        <f t="shared" ref="S7:S16" si="23">Q7+R7</f>
        <v>2037363.3</v>
      </c>
      <c r="V7" s="38" t="s">
        <v>33</v>
      </c>
      <c r="W7" s="35"/>
      <c r="X7" s="73">
        <f>SUM(X5:X6)</f>
        <v>7644000</v>
      </c>
      <c r="Y7" s="73">
        <f>SUM(Y5:Y6)</f>
        <v>2028000</v>
      </c>
      <c r="Z7" s="74">
        <f t="shared" ref="Z7:AC7" si="24">SUM(Z5:Z6)</f>
        <v>69575610</v>
      </c>
      <c r="AA7" s="71">
        <f t="shared" si="24"/>
        <v>79247610</v>
      </c>
      <c r="AB7" s="58">
        <f t="shared" si="24"/>
        <v>15057045.899999999</v>
      </c>
      <c r="AC7" s="58">
        <f t="shared" si="24"/>
        <v>94304655.900000006</v>
      </c>
      <c r="AE7" s="38" t="s">
        <v>33</v>
      </c>
      <c r="AF7" s="35"/>
      <c r="AG7" s="73">
        <f>SUM(AG5:AG6)</f>
        <v>6115200</v>
      </c>
      <c r="AH7" s="73">
        <f>SUM(AH5:AH6)</f>
        <v>2402400</v>
      </c>
      <c r="AI7" s="74">
        <f t="shared" ref="AI7" si="25">SUM(AI5:AI6)</f>
        <v>82420338</v>
      </c>
      <c r="AJ7" s="71">
        <f t="shared" ref="AJ7" si="26">SUM(AJ5:AJ6)</f>
        <v>90937938</v>
      </c>
      <c r="AK7" s="58">
        <f t="shared" ref="AK7" si="27">SUM(AK5:AK6)</f>
        <v>17278208.219999999</v>
      </c>
      <c r="AL7" s="58">
        <f t="shared" ref="AL7" si="28">SUM(AL5:AL6)</f>
        <v>108216146.22</v>
      </c>
      <c r="AN7" s="38" t="s">
        <v>33</v>
      </c>
      <c r="AO7" s="35"/>
      <c r="AP7" s="73">
        <f>SUM(AP5:AP6)</f>
        <v>4892160</v>
      </c>
      <c r="AQ7" s="73">
        <f>SUM(AQ5:AQ6)</f>
        <v>2701920</v>
      </c>
      <c r="AR7" s="74">
        <f t="shared" ref="AR7:AU7" si="29">SUM(AR5:AR6)</f>
        <v>92696120.400000006</v>
      </c>
      <c r="AS7" s="71">
        <f t="shared" si="29"/>
        <v>100290200.40000001</v>
      </c>
      <c r="AT7" s="58">
        <f t="shared" si="29"/>
        <v>19055138.076000001</v>
      </c>
      <c r="AU7" s="58">
        <f t="shared" si="29"/>
        <v>119345338.47600001</v>
      </c>
      <c r="AW7" s="38" t="s">
        <v>33</v>
      </c>
      <c r="AX7" s="35"/>
      <c r="AY7" s="73">
        <f>SUM(AY5:AY6)</f>
        <v>3913728</v>
      </c>
      <c r="AZ7" s="73">
        <f>SUM(AZ5:AZ6)</f>
        <v>2941536</v>
      </c>
      <c r="BA7" s="74">
        <f t="shared" ref="BA7:BD7" si="30">SUM(BA5:BA6)</f>
        <v>100916746.32000001</v>
      </c>
      <c r="BB7" s="71">
        <f t="shared" si="30"/>
        <v>107772010.32000001</v>
      </c>
      <c r="BC7" s="58">
        <f t="shared" si="30"/>
        <v>20476681.9608</v>
      </c>
      <c r="BD7" s="58">
        <f t="shared" si="30"/>
        <v>128248692.2808</v>
      </c>
    </row>
    <row r="8" spans="2:56" x14ac:dyDescent="0.25">
      <c r="B8" s="26" t="s">
        <v>2</v>
      </c>
      <c r="C8" s="33">
        <v>50</v>
      </c>
      <c r="D8" s="24">
        <f t="shared" si="12"/>
        <v>735000</v>
      </c>
      <c r="E8" s="24">
        <f t="shared" si="13"/>
        <v>60000</v>
      </c>
      <c r="F8" s="34">
        <f t="shared" si="16"/>
        <v>2058450</v>
      </c>
      <c r="G8" s="28">
        <f t="shared" si="17"/>
        <v>2853450</v>
      </c>
      <c r="H8" s="16">
        <f t="shared" si="18"/>
        <v>542155.5</v>
      </c>
      <c r="I8" s="18">
        <f t="shared" si="19"/>
        <v>3395605.5</v>
      </c>
      <c r="J8" s="43"/>
      <c r="L8" s="26" t="s">
        <v>2</v>
      </c>
      <c r="M8" s="33">
        <v>50</v>
      </c>
      <c r="N8" s="24">
        <f t="shared" si="14"/>
        <v>735000</v>
      </c>
      <c r="O8" s="24">
        <f t="shared" si="15"/>
        <v>60000</v>
      </c>
      <c r="P8" s="34">
        <f t="shared" si="20"/>
        <v>2058450</v>
      </c>
      <c r="Q8" s="28">
        <f t="shared" si="21"/>
        <v>2853450</v>
      </c>
      <c r="R8" s="16">
        <f t="shared" si="22"/>
        <v>542155.5</v>
      </c>
      <c r="S8" s="18">
        <f t="shared" si="23"/>
        <v>3395605.5</v>
      </c>
      <c r="V8" s="172" t="s">
        <v>64</v>
      </c>
      <c r="W8" s="173"/>
      <c r="X8" s="173"/>
      <c r="Y8" s="173"/>
      <c r="Z8" s="173"/>
      <c r="AA8" s="174"/>
      <c r="AB8" s="175"/>
      <c r="AC8" s="25">
        <f>AC7</f>
        <v>94304655.900000006</v>
      </c>
      <c r="AE8" s="172" t="s">
        <v>64</v>
      </c>
      <c r="AF8" s="173"/>
      <c r="AG8" s="173"/>
      <c r="AH8" s="173"/>
      <c r="AI8" s="173"/>
      <c r="AJ8" s="174"/>
      <c r="AK8" s="175"/>
      <c r="AL8" s="25">
        <f>AL7</f>
        <v>108216146.22</v>
      </c>
      <c r="AN8" s="172" t="s">
        <v>64</v>
      </c>
      <c r="AO8" s="173"/>
      <c r="AP8" s="173"/>
      <c r="AQ8" s="173"/>
      <c r="AR8" s="173"/>
      <c r="AS8" s="174"/>
      <c r="AT8" s="175"/>
      <c r="AU8" s="25">
        <f>AU7</f>
        <v>119345338.47600001</v>
      </c>
      <c r="AW8" s="172" t="s">
        <v>64</v>
      </c>
      <c r="AX8" s="173"/>
      <c r="AY8" s="173"/>
      <c r="AZ8" s="173"/>
      <c r="BA8" s="173"/>
      <c r="BB8" s="174"/>
      <c r="BC8" s="175"/>
      <c r="BD8" s="25">
        <f>BD7</f>
        <v>128248692.2808</v>
      </c>
    </row>
    <row r="9" spans="2:56" ht="15" customHeight="1" x14ac:dyDescent="0.25">
      <c r="B9" s="26" t="s">
        <v>9</v>
      </c>
      <c r="C9" s="33">
        <v>50</v>
      </c>
      <c r="D9" s="24">
        <f t="shared" si="12"/>
        <v>735000</v>
      </c>
      <c r="E9" s="24">
        <f t="shared" si="13"/>
        <v>60000</v>
      </c>
      <c r="F9" s="34">
        <f t="shared" si="16"/>
        <v>2058450</v>
      </c>
      <c r="G9" s="28">
        <f t="shared" si="17"/>
        <v>2853450</v>
      </c>
      <c r="H9" s="16">
        <f t="shared" si="18"/>
        <v>542155.5</v>
      </c>
      <c r="I9" s="18">
        <f t="shared" si="19"/>
        <v>3395605.5</v>
      </c>
      <c r="J9" s="43"/>
      <c r="L9" s="26" t="s">
        <v>9</v>
      </c>
      <c r="M9" s="33">
        <v>50</v>
      </c>
      <c r="N9" s="24">
        <f t="shared" si="14"/>
        <v>735000</v>
      </c>
      <c r="O9" s="24">
        <f t="shared" si="15"/>
        <v>60000</v>
      </c>
      <c r="P9" s="34">
        <f t="shared" si="20"/>
        <v>2058450</v>
      </c>
      <c r="Q9" s="28">
        <f t="shared" si="21"/>
        <v>2853450</v>
      </c>
      <c r="R9" s="16">
        <f t="shared" si="22"/>
        <v>542155.5</v>
      </c>
      <c r="S9" s="18">
        <f t="shared" si="23"/>
        <v>3395605.5</v>
      </c>
      <c r="V9" s="176" t="s">
        <v>66</v>
      </c>
      <c r="W9" s="177"/>
      <c r="X9" s="177"/>
      <c r="Y9" s="177"/>
      <c r="Z9" s="177"/>
      <c r="AA9" s="177"/>
      <c r="AB9" s="177"/>
      <c r="AC9" s="70">
        <f>AC7-AB7</f>
        <v>79247610</v>
      </c>
      <c r="AE9" s="176" t="s">
        <v>66</v>
      </c>
      <c r="AF9" s="177"/>
      <c r="AG9" s="177"/>
      <c r="AH9" s="177"/>
      <c r="AI9" s="177"/>
      <c r="AJ9" s="177"/>
      <c r="AK9" s="177"/>
      <c r="AL9" s="70">
        <f>AL7-AK7</f>
        <v>90937938</v>
      </c>
      <c r="AN9" s="176" t="s">
        <v>66</v>
      </c>
      <c r="AO9" s="177"/>
      <c r="AP9" s="177"/>
      <c r="AQ9" s="177"/>
      <c r="AR9" s="177"/>
      <c r="AS9" s="177"/>
      <c r="AT9" s="177"/>
      <c r="AU9" s="70">
        <f>AU7-AT7</f>
        <v>100290200.40000001</v>
      </c>
      <c r="AW9" s="176" t="s">
        <v>66</v>
      </c>
      <c r="AX9" s="177"/>
      <c r="AY9" s="177"/>
      <c r="AZ9" s="177"/>
      <c r="BA9" s="177"/>
      <c r="BB9" s="177"/>
      <c r="BC9" s="177"/>
      <c r="BD9" s="70">
        <f>BD7-BC7</f>
        <v>107772010.31999999</v>
      </c>
    </row>
    <row r="10" spans="2:56" x14ac:dyDescent="0.25">
      <c r="B10" s="26" t="s">
        <v>3</v>
      </c>
      <c r="C10" s="33">
        <v>50</v>
      </c>
      <c r="D10" s="24">
        <f t="shared" si="12"/>
        <v>735000</v>
      </c>
      <c r="E10" s="24">
        <f t="shared" si="13"/>
        <v>60000</v>
      </c>
      <c r="F10" s="34">
        <f t="shared" si="16"/>
        <v>2058450</v>
      </c>
      <c r="G10" s="28">
        <f t="shared" si="17"/>
        <v>2853450</v>
      </c>
      <c r="H10" s="16">
        <f t="shared" si="18"/>
        <v>542155.5</v>
      </c>
      <c r="I10" s="18">
        <f t="shared" si="19"/>
        <v>3395605.5</v>
      </c>
      <c r="J10" s="43"/>
      <c r="L10" s="26" t="s">
        <v>3</v>
      </c>
      <c r="M10" s="33">
        <v>50</v>
      </c>
      <c r="N10" s="24">
        <f t="shared" si="14"/>
        <v>735000</v>
      </c>
      <c r="O10" s="24">
        <f t="shared" si="15"/>
        <v>60000</v>
      </c>
      <c r="P10" s="34">
        <f t="shared" si="20"/>
        <v>2058450</v>
      </c>
      <c r="Q10" s="28">
        <f t="shared" si="21"/>
        <v>2853450</v>
      </c>
      <c r="R10" s="16">
        <f t="shared" si="22"/>
        <v>542155.5</v>
      </c>
      <c r="S10" s="18">
        <f t="shared" si="23"/>
        <v>3395605.5</v>
      </c>
      <c r="V10" s="61"/>
      <c r="W10" s="39"/>
      <c r="X10" s="62"/>
      <c r="Y10" s="62"/>
      <c r="Z10" s="62"/>
      <c r="AA10" s="62"/>
      <c r="AB10" s="62"/>
      <c r="AC10" s="62"/>
      <c r="AD10" s="63"/>
    </row>
    <row r="11" spans="2:56" x14ac:dyDescent="0.25">
      <c r="B11" s="26" t="s">
        <v>4</v>
      </c>
      <c r="C11" s="33">
        <v>60</v>
      </c>
      <c r="D11" s="24">
        <f t="shared" si="12"/>
        <v>882000</v>
      </c>
      <c r="E11" s="24">
        <f t="shared" si="13"/>
        <v>72000</v>
      </c>
      <c r="F11" s="34">
        <f t="shared" si="16"/>
        <v>2470140</v>
      </c>
      <c r="G11" s="28">
        <f t="shared" si="17"/>
        <v>3424140</v>
      </c>
      <c r="H11" s="16">
        <f t="shared" si="18"/>
        <v>650586.6</v>
      </c>
      <c r="I11" s="18">
        <f t="shared" si="19"/>
        <v>4074726.6</v>
      </c>
      <c r="J11" s="43"/>
      <c r="L11" s="26" t="s">
        <v>4</v>
      </c>
      <c r="M11" s="33">
        <v>60</v>
      </c>
      <c r="N11" s="24">
        <f t="shared" si="14"/>
        <v>882000</v>
      </c>
      <c r="O11" s="24">
        <f t="shared" si="15"/>
        <v>72000</v>
      </c>
      <c r="P11" s="34">
        <f t="shared" si="20"/>
        <v>2470140</v>
      </c>
      <c r="Q11" s="28">
        <f t="shared" si="21"/>
        <v>3424140</v>
      </c>
      <c r="R11" s="16">
        <f t="shared" si="22"/>
        <v>650586.6</v>
      </c>
      <c r="S11" s="18">
        <f t="shared" si="23"/>
        <v>4074726.6</v>
      </c>
      <c r="V11" s="61"/>
      <c r="W11" s="39"/>
      <c r="X11" s="62"/>
      <c r="Y11" s="62"/>
      <c r="Z11" s="62"/>
      <c r="AA11" s="62"/>
      <c r="AB11" s="62"/>
      <c r="AC11" s="62"/>
      <c r="AD11" s="63"/>
    </row>
    <row r="12" spans="2:56" ht="15.75" customHeight="1" x14ac:dyDescent="0.25">
      <c r="B12" s="26" t="s">
        <v>10</v>
      </c>
      <c r="C12" s="33">
        <v>60</v>
      </c>
      <c r="D12" s="24">
        <f t="shared" si="12"/>
        <v>882000</v>
      </c>
      <c r="E12" s="24">
        <f t="shared" si="13"/>
        <v>72000</v>
      </c>
      <c r="F12" s="34">
        <f t="shared" si="16"/>
        <v>2470140</v>
      </c>
      <c r="G12" s="28">
        <f t="shared" si="17"/>
        <v>3424140</v>
      </c>
      <c r="H12" s="16">
        <f t="shared" si="18"/>
        <v>650586.6</v>
      </c>
      <c r="I12" s="18">
        <f t="shared" si="19"/>
        <v>4074726.6</v>
      </c>
      <c r="J12" s="43"/>
      <c r="L12" s="26" t="s">
        <v>10</v>
      </c>
      <c r="M12" s="33">
        <v>60</v>
      </c>
      <c r="N12" s="24">
        <f t="shared" si="14"/>
        <v>882000</v>
      </c>
      <c r="O12" s="24">
        <f t="shared" si="15"/>
        <v>72000</v>
      </c>
      <c r="P12" s="34">
        <f t="shared" si="20"/>
        <v>2470140</v>
      </c>
      <c r="Q12" s="28">
        <f t="shared" si="21"/>
        <v>3424140</v>
      </c>
      <c r="R12" s="16">
        <f t="shared" si="22"/>
        <v>650586.6</v>
      </c>
      <c r="S12" s="18">
        <f t="shared" si="23"/>
        <v>4074726.6</v>
      </c>
      <c r="V12" s="61"/>
      <c r="W12" s="39"/>
      <c r="X12" s="62"/>
      <c r="Y12" s="62"/>
      <c r="Z12" s="62"/>
      <c r="AA12" s="62"/>
      <c r="AB12" s="62"/>
      <c r="AC12" s="62"/>
      <c r="AD12" s="63"/>
    </row>
    <row r="13" spans="2:56" x14ac:dyDescent="0.25">
      <c r="B13" s="26" t="s">
        <v>5</v>
      </c>
      <c r="C13" s="33">
        <v>60</v>
      </c>
      <c r="D13" s="24">
        <f t="shared" si="12"/>
        <v>882000</v>
      </c>
      <c r="E13" s="24">
        <f t="shared" si="13"/>
        <v>72000</v>
      </c>
      <c r="F13" s="34">
        <f t="shared" si="16"/>
        <v>2470140</v>
      </c>
      <c r="G13" s="28">
        <f t="shared" si="17"/>
        <v>3424140</v>
      </c>
      <c r="H13" s="16">
        <f t="shared" si="18"/>
        <v>650586.6</v>
      </c>
      <c r="I13" s="18">
        <f t="shared" si="19"/>
        <v>4074726.6</v>
      </c>
      <c r="J13" s="43"/>
      <c r="L13" s="26" t="s">
        <v>5</v>
      </c>
      <c r="M13" s="33">
        <v>60</v>
      </c>
      <c r="N13" s="24">
        <f t="shared" si="14"/>
        <v>882000</v>
      </c>
      <c r="O13" s="24">
        <f t="shared" si="15"/>
        <v>72000</v>
      </c>
      <c r="P13" s="34">
        <f t="shared" si="20"/>
        <v>2470140</v>
      </c>
      <c r="Q13" s="28">
        <f t="shared" si="21"/>
        <v>3424140</v>
      </c>
      <c r="R13" s="16">
        <f t="shared" si="22"/>
        <v>650586.6</v>
      </c>
      <c r="S13" s="18">
        <f t="shared" si="23"/>
        <v>4074726.6</v>
      </c>
      <c r="V13" s="76"/>
      <c r="W13" s="39"/>
      <c r="X13" s="62"/>
      <c r="Y13" s="62"/>
      <c r="Z13" s="62"/>
      <c r="AA13" s="62"/>
      <c r="AB13" s="62"/>
      <c r="AC13" s="62"/>
      <c r="AD13" s="63"/>
    </row>
    <row r="14" spans="2:56" x14ac:dyDescent="0.25">
      <c r="B14" s="26" t="s">
        <v>11</v>
      </c>
      <c r="C14" s="33">
        <v>80</v>
      </c>
      <c r="D14" s="24">
        <f t="shared" si="12"/>
        <v>1176000</v>
      </c>
      <c r="E14" s="24">
        <f t="shared" si="13"/>
        <v>96000</v>
      </c>
      <c r="F14" s="34">
        <f t="shared" si="16"/>
        <v>3293520</v>
      </c>
      <c r="G14" s="28">
        <f t="shared" si="17"/>
        <v>4565520</v>
      </c>
      <c r="H14" s="16">
        <f t="shared" si="18"/>
        <v>867448.8</v>
      </c>
      <c r="I14" s="18">
        <f t="shared" si="19"/>
        <v>5432968.7999999998</v>
      </c>
      <c r="J14" s="43"/>
      <c r="L14" s="26" t="s">
        <v>11</v>
      </c>
      <c r="M14" s="33">
        <v>80</v>
      </c>
      <c r="N14" s="24">
        <f t="shared" si="14"/>
        <v>1176000</v>
      </c>
      <c r="O14" s="24">
        <f t="shared" si="15"/>
        <v>96000</v>
      </c>
      <c r="P14" s="34">
        <f t="shared" si="20"/>
        <v>3293520</v>
      </c>
      <c r="Q14" s="28">
        <f t="shared" si="21"/>
        <v>4565520</v>
      </c>
      <c r="R14" s="16">
        <f t="shared" si="22"/>
        <v>867448.8</v>
      </c>
      <c r="S14" s="18">
        <f t="shared" si="23"/>
        <v>5432968.7999999998</v>
      </c>
      <c r="V14" s="61"/>
      <c r="W14" s="39"/>
      <c r="X14" s="62"/>
      <c r="Y14" s="62"/>
      <c r="Z14" s="62"/>
      <c r="AA14" s="62"/>
      <c r="AB14" s="62"/>
      <c r="AC14" s="62"/>
      <c r="AD14" s="63"/>
    </row>
    <row r="15" spans="2:56" x14ac:dyDescent="0.25">
      <c r="B15" s="26" t="s">
        <v>6</v>
      </c>
      <c r="C15" s="33">
        <v>90</v>
      </c>
      <c r="D15" s="24">
        <f t="shared" si="12"/>
        <v>1323000</v>
      </c>
      <c r="E15" s="24">
        <f t="shared" si="13"/>
        <v>108000</v>
      </c>
      <c r="F15" s="34">
        <f t="shared" si="16"/>
        <v>3705210</v>
      </c>
      <c r="G15" s="28">
        <f t="shared" si="17"/>
        <v>5136210</v>
      </c>
      <c r="H15" s="16">
        <f t="shared" si="18"/>
        <v>975879.9</v>
      </c>
      <c r="I15" s="18">
        <f t="shared" si="19"/>
        <v>6112089.9000000004</v>
      </c>
      <c r="J15" s="43"/>
      <c r="L15" s="26" t="s">
        <v>6</v>
      </c>
      <c r="M15" s="33">
        <v>90</v>
      </c>
      <c r="N15" s="24">
        <f t="shared" si="14"/>
        <v>1323000</v>
      </c>
      <c r="O15" s="24">
        <f t="shared" si="15"/>
        <v>108000</v>
      </c>
      <c r="P15" s="34">
        <f t="shared" si="20"/>
        <v>3705210</v>
      </c>
      <c r="Q15" s="28">
        <f t="shared" si="21"/>
        <v>5136210</v>
      </c>
      <c r="R15" s="16">
        <f t="shared" si="22"/>
        <v>975879.9</v>
      </c>
      <c r="S15" s="18">
        <f t="shared" si="23"/>
        <v>6112089.9000000004</v>
      </c>
      <c r="V15" s="61"/>
      <c r="W15" s="39"/>
      <c r="X15" s="62"/>
      <c r="Y15" s="62"/>
      <c r="Z15" s="62"/>
      <c r="AA15" s="62"/>
      <c r="AB15" s="62"/>
      <c r="AC15" s="62"/>
      <c r="AD15" s="63"/>
    </row>
    <row r="16" spans="2:56" ht="15.75" thickBot="1" x14ac:dyDescent="0.3">
      <c r="B16" s="26" t="s">
        <v>12</v>
      </c>
      <c r="C16" s="35">
        <v>90</v>
      </c>
      <c r="D16" s="36">
        <f t="shared" si="12"/>
        <v>1323000</v>
      </c>
      <c r="E16" s="36">
        <f t="shared" si="13"/>
        <v>108000</v>
      </c>
      <c r="F16" s="37">
        <f t="shared" si="16"/>
        <v>3705210</v>
      </c>
      <c r="G16" s="28">
        <f t="shared" si="17"/>
        <v>5136210</v>
      </c>
      <c r="H16" s="16">
        <f t="shared" si="18"/>
        <v>975879.9</v>
      </c>
      <c r="I16" s="18">
        <f t="shared" si="19"/>
        <v>6112089.9000000004</v>
      </c>
      <c r="J16" s="43"/>
      <c r="L16" s="26" t="s">
        <v>12</v>
      </c>
      <c r="M16" s="35">
        <v>90</v>
      </c>
      <c r="N16" s="36">
        <f t="shared" si="14"/>
        <v>1323000</v>
      </c>
      <c r="O16" s="36">
        <f t="shared" si="15"/>
        <v>108000</v>
      </c>
      <c r="P16" s="37">
        <f t="shared" si="20"/>
        <v>3705210</v>
      </c>
      <c r="Q16" s="28">
        <f t="shared" si="21"/>
        <v>5136210</v>
      </c>
      <c r="R16" s="16">
        <f t="shared" si="22"/>
        <v>975879.9</v>
      </c>
      <c r="S16" s="18">
        <f t="shared" si="23"/>
        <v>6112089.9000000004</v>
      </c>
      <c r="V16" s="61"/>
      <c r="W16" s="39"/>
      <c r="X16" s="62"/>
      <c r="Y16" s="62"/>
      <c r="Z16" s="62"/>
      <c r="AA16" s="62"/>
      <c r="AB16" s="62"/>
      <c r="AC16" s="69"/>
      <c r="AD16" s="63"/>
    </row>
    <row r="17" spans="2:34" ht="6.75" customHeight="1" thickBot="1" x14ac:dyDescent="0.3">
      <c r="B17" s="163"/>
      <c r="C17" s="164"/>
      <c r="D17" s="164"/>
      <c r="E17" s="164"/>
      <c r="F17" s="165"/>
      <c r="G17" s="15"/>
      <c r="H17" s="15"/>
      <c r="I17" s="19"/>
      <c r="J17" s="78"/>
      <c r="L17" s="163"/>
      <c r="M17" s="164"/>
      <c r="N17" s="164"/>
      <c r="O17" s="164"/>
      <c r="P17" s="165"/>
      <c r="Q17" s="15"/>
      <c r="R17" s="15"/>
      <c r="S17" s="19"/>
      <c r="V17" s="164"/>
      <c r="W17" s="164"/>
      <c r="X17" s="164"/>
      <c r="Y17" s="164"/>
      <c r="Z17" s="164"/>
      <c r="AA17" s="39"/>
      <c r="AB17" s="39"/>
      <c r="AC17" s="39"/>
      <c r="AD17" s="63"/>
    </row>
    <row r="18" spans="2:34" ht="15.75" thickBot="1" x14ac:dyDescent="0.3">
      <c r="B18" s="38" t="s">
        <v>33</v>
      </c>
      <c r="C18" s="40">
        <f>SUM(C6:C16)</f>
        <v>650</v>
      </c>
      <c r="D18" s="41">
        <f>SUM(D6:D16)</f>
        <v>9555000</v>
      </c>
      <c r="E18" s="41">
        <f>SUM(E6:E16)</f>
        <v>780000</v>
      </c>
      <c r="F18" s="42">
        <f>SUM(F6:F16)</f>
        <v>26759850</v>
      </c>
      <c r="G18" s="28">
        <f>SUM(G5:G16)</f>
        <v>37094850</v>
      </c>
      <c r="H18" s="16">
        <f t="shared" ref="H18:I18" si="31">SUM(H5:H16)</f>
        <v>7048021.5000000009</v>
      </c>
      <c r="I18" s="18">
        <f t="shared" si="31"/>
        <v>44142871.5</v>
      </c>
      <c r="J18" s="43"/>
      <c r="L18" s="38" t="s">
        <v>33</v>
      </c>
      <c r="M18" s="40">
        <f>SUM(M6:M16)</f>
        <v>650</v>
      </c>
      <c r="N18" s="41">
        <f>SUM(N6:N16)</f>
        <v>9555000</v>
      </c>
      <c r="O18" s="41">
        <f>SUM(O6:O16)</f>
        <v>780000</v>
      </c>
      <c r="P18" s="42">
        <f>SUM(P6:P16)</f>
        <v>26759850</v>
      </c>
      <c r="Q18" s="28">
        <f>SUM(Q5:Q16)</f>
        <v>37094850</v>
      </c>
      <c r="R18" s="16">
        <f t="shared" ref="R18:S18" si="32">SUM(R5:R16)</f>
        <v>7048021.5000000009</v>
      </c>
      <c r="S18" s="18">
        <f t="shared" si="32"/>
        <v>44142871.5</v>
      </c>
      <c r="V18" s="64"/>
      <c r="W18" s="62"/>
      <c r="X18" s="62"/>
      <c r="Y18" s="62"/>
      <c r="Z18" s="62"/>
      <c r="AA18" s="62"/>
      <c r="AB18" s="62"/>
      <c r="AC18" s="62"/>
      <c r="AD18" s="63"/>
      <c r="AH18" t="s">
        <v>67</v>
      </c>
    </row>
    <row r="19" spans="2:34" ht="15" customHeight="1" x14ac:dyDescent="0.25">
      <c r="B19" s="20" t="s">
        <v>64</v>
      </c>
      <c r="C19" s="155"/>
      <c r="D19" s="156"/>
      <c r="E19" s="156"/>
      <c r="F19" s="156"/>
      <c r="G19" s="157"/>
      <c r="H19" s="158"/>
      <c r="I19" s="60">
        <f>I18</f>
        <v>44142871.5</v>
      </c>
      <c r="J19" s="65"/>
      <c r="L19" s="20" t="s">
        <v>64</v>
      </c>
      <c r="M19" s="155"/>
      <c r="N19" s="156"/>
      <c r="O19" s="156"/>
      <c r="P19" s="156"/>
      <c r="Q19" s="157"/>
      <c r="R19" s="158"/>
      <c r="S19" s="60">
        <f>S18</f>
        <v>44142871.5</v>
      </c>
      <c r="V19" s="64"/>
      <c r="W19" s="159"/>
      <c r="X19" s="159"/>
      <c r="Y19" s="159"/>
      <c r="Z19" s="159"/>
      <c r="AA19" s="159"/>
      <c r="AB19" s="159"/>
      <c r="AC19" s="62"/>
      <c r="AD19" s="63"/>
    </row>
    <row r="20" spans="2:34" x14ac:dyDescent="0.25">
      <c r="B20" s="125" t="s">
        <v>71</v>
      </c>
      <c r="C20" s="160"/>
      <c r="D20" s="161"/>
      <c r="E20" s="161"/>
      <c r="F20" s="161"/>
      <c r="G20" s="161"/>
      <c r="H20" s="162"/>
      <c r="I20" s="80">
        <f>S20</f>
        <v>37094850</v>
      </c>
      <c r="J20" s="79"/>
      <c r="L20" s="66" t="s">
        <v>65</v>
      </c>
      <c r="M20" s="67"/>
      <c r="N20" s="67"/>
      <c r="O20" s="67"/>
      <c r="P20" s="67"/>
      <c r="Q20" s="67"/>
      <c r="R20" s="67"/>
      <c r="S20" s="68">
        <f>S18-R18</f>
        <v>37094850</v>
      </c>
      <c r="V20" s="63"/>
      <c r="W20" s="63"/>
      <c r="X20" s="63"/>
      <c r="Y20" s="63"/>
      <c r="Z20" s="63"/>
      <c r="AA20" s="63"/>
      <c r="AB20" s="63"/>
      <c r="AC20" s="63"/>
      <c r="AD20" s="63"/>
    </row>
    <row r="21" spans="2:34" x14ac:dyDescent="0.25">
      <c r="B21" s="125" t="s">
        <v>72</v>
      </c>
      <c r="C21" s="160"/>
      <c r="D21" s="161"/>
      <c r="E21" s="161"/>
      <c r="F21" s="161"/>
      <c r="G21" s="161"/>
      <c r="H21" s="162"/>
      <c r="I21" s="82">
        <f>AC9</f>
        <v>79247610</v>
      </c>
      <c r="L21" s="144" t="s">
        <v>140</v>
      </c>
      <c r="M21" s="145"/>
      <c r="N21" s="145"/>
      <c r="O21" s="145"/>
      <c r="P21" s="145"/>
      <c r="Q21" s="145"/>
      <c r="R21" s="145"/>
      <c r="S21" s="146"/>
      <c r="V21" s="63"/>
      <c r="W21" s="63"/>
      <c r="X21" s="63"/>
      <c r="Y21" s="63"/>
      <c r="Z21" s="63"/>
      <c r="AA21" s="63"/>
      <c r="AB21" s="63"/>
      <c r="AC21" s="63"/>
      <c r="AD21" s="63"/>
    </row>
    <row r="22" spans="2:34" x14ac:dyDescent="0.25">
      <c r="B22" s="125" t="s">
        <v>73</v>
      </c>
      <c r="C22" s="160"/>
      <c r="D22" s="161"/>
      <c r="E22" s="161"/>
      <c r="F22" s="161"/>
      <c r="G22" s="161"/>
      <c r="H22" s="162"/>
      <c r="I22" s="82">
        <f>AL9</f>
        <v>90937938</v>
      </c>
      <c r="L22" s="147" t="s">
        <v>141</v>
      </c>
      <c r="M22" s="148"/>
      <c r="N22" s="148"/>
      <c r="O22" s="148"/>
      <c r="P22" s="148"/>
      <c r="Q22" s="148"/>
      <c r="R22" s="148"/>
      <c r="S22" s="149"/>
    </row>
    <row r="23" spans="2:34" x14ac:dyDescent="0.25">
      <c r="B23" s="125" t="s">
        <v>74</v>
      </c>
      <c r="C23" s="160"/>
      <c r="D23" s="161"/>
      <c r="E23" s="161"/>
      <c r="F23" s="161"/>
      <c r="G23" s="161"/>
      <c r="H23" s="162"/>
      <c r="I23" s="82">
        <f>AU9</f>
        <v>100290200.40000001</v>
      </c>
      <c r="L23" s="144" t="s">
        <v>80</v>
      </c>
      <c r="M23" s="145"/>
      <c r="N23" s="145"/>
      <c r="O23" s="145"/>
      <c r="P23" s="145"/>
      <c r="Q23" s="145"/>
      <c r="R23" s="145"/>
      <c r="S23" s="146"/>
    </row>
    <row r="24" spans="2:34" x14ac:dyDescent="0.25">
      <c r="B24" s="125" t="s">
        <v>75</v>
      </c>
      <c r="C24" s="160"/>
      <c r="D24" s="161"/>
      <c r="E24" s="161"/>
      <c r="F24" s="161"/>
      <c r="G24" s="161"/>
      <c r="H24" s="162"/>
      <c r="I24" s="82">
        <f>BD9</f>
        <v>107772010.31999999</v>
      </c>
      <c r="L24" s="150" t="s">
        <v>142</v>
      </c>
      <c r="M24" s="151"/>
      <c r="N24" s="151"/>
      <c r="O24" s="151"/>
      <c r="P24" s="151"/>
      <c r="Q24" s="151"/>
      <c r="R24" s="151"/>
      <c r="S24" s="152"/>
    </row>
    <row r="25" spans="2:34" x14ac:dyDescent="0.25">
      <c r="B25" s="186" t="s">
        <v>76</v>
      </c>
      <c r="C25" s="187"/>
      <c r="D25" s="187"/>
      <c r="E25" s="187"/>
      <c r="F25" s="187"/>
      <c r="G25" s="187"/>
      <c r="H25" s="188"/>
      <c r="I25" s="81">
        <f>SUM(I20:I24)</f>
        <v>415342608.71999997</v>
      </c>
    </row>
    <row r="26" spans="2:34" x14ac:dyDescent="0.25">
      <c r="B26" s="144" t="s">
        <v>140</v>
      </c>
      <c r="C26" s="145"/>
      <c r="D26" s="145"/>
      <c r="E26" s="145"/>
      <c r="F26" s="145"/>
      <c r="G26" s="145"/>
      <c r="H26" s="145"/>
      <c r="I26" s="146"/>
    </row>
    <row r="27" spans="2:34" x14ac:dyDescent="0.25">
      <c r="B27" s="147" t="s">
        <v>141</v>
      </c>
      <c r="C27" s="148"/>
      <c r="D27" s="148"/>
      <c r="E27" s="148"/>
      <c r="F27" s="148"/>
      <c r="G27" s="148"/>
      <c r="H27" s="148"/>
      <c r="I27" s="149"/>
    </row>
    <row r="28" spans="2:34" x14ac:dyDescent="0.25">
      <c r="B28" s="144" t="s">
        <v>80</v>
      </c>
      <c r="C28" s="145"/>
      <c r="D28" s="145"/>
      <c r="E28" s="145"/>
      <c r="F28" s="145"/>
      <c r="G28" s="145"/>
      <c r="H28" s="145"/>
      <c r="I28" s="146"/>
    </row>
    <row r="29" spans="2:34" x14ac:dyDescent="0.25">
      <c r="B29" s="150" t="s">
        <v>142</v>
      </c>
      <c r="C29" s="151"/>
      <c r="D29" s="151"/>
      <c r="E29" s="151"/>
      <c r="F29" s="151"/>
      <c r="G29" s="151"/>
      <c r="H29" s="151"/>
      <c r="I29" s="152"/>
    </row>
    <row r="32" spans="2:34" x14ac:dyDescent="0.25">
      <c r="F32" s="124"/>
      <c r="G32" s="124"/>
      <c r="H32" s="124"/>
      <c r="I32" s="124"/>
    </row>
  </sheetData>
  <mergeCells count="70">
    <mergeCell ref="C21:H21"/>
    <mergeCell ref="C22:H22"/>
    <mergeCell ref="B25:H25"/>
    <mergeCell ref="B1:I1"/>
    <mergeCell ref="B2:I2"/>
    <mergeCell ref="B3:B4"/>
    <mergeCell ref="C3:D3"/>
    <mergeCell ref="G3:G4"/>
    <mergeCell ref="H3:H4"/>
    <mergeCell ref="I3:I4"/>
    <mergeCell ref="AW8:BC8"/>
    <mergeCell ref="AW9:BC9"/>
    <mergeCell ref="AN1:AU1"/>
    <mergeCell ref="AN2:AU2"/>
    <mergeCell ref="AN3:AN4"/>
    <mergeCell ref="AO3:AP3"/>
    <mergeCell ref="AS3:AS4"/>
    <mergeCell ref="AW1:BD1"/>
    <mergeCell ref="AW2:BD2"/>
    <mergeCell ref="AW3:AW4"/>
    <mergeCell ref="AX3:AY3"/>
    <mergeCell ref="BB3:BB4"/>
    <mergeCell ref="BC3:BC4"/>
    <mergeCell ref="BD3:BD4"/>
    <mergeCell ref="AU3:AU4"/>
    <mergeCell ref="AE1:AL1"/>
    <mergeCell ref="AE2:AL2"/>
    <mergeCell ref="AE3:AE4"/>
    <mergeCell ref="AN8:AT8"/>
    <mergeCell ref="AN9:AT9"/>
    <mergeCell ref="AL3:AL4"/>
    <mergeCell ref="AE8:AK8"/>
    <mergeCell ref="AT3:AT4"/>
    <mergeCell ref="AE9:AK9"/>
    <mergeCell ref="AF3:AG3"/>
    <mergeCell ref="AJ3:AJ4"/>
    <mergeCell ref="AK3:AK4"/>
    <mergeCell ref="L1:S1"/>
    <mergeCell ref="V1:AC1"/>
    <mergeCell ref="L2:S2"/>
    <mergeCell ref="V2:AC2"/>
    <mergeCell ref="L3:L4"/>
    <mergeCell ref="M3:N3"/>
    <mergeCell ref="Q3:Q4"/>
    <mergeCell ref="R3:R4"/>
    <mergeCell ref="S3:S4"/>
    <mergeCell ref="V3:V4"/>
    <mergeCell ref="V17:Z17"/>
    <mergeCell ref="AA3:AA4"/>
    <mergeCell ref="AB3:AB4"/>
    <mergeCell ref="AC3:AC4"/>
    <mergeCell ref="L17:P17"/>
    <mergeCell ref="V8:AB8"/>
    <mergeCell ref="V9:AB9"/>
    <mergeCell ref="B26:I26"/>
    <mergeCell ref="B27:I27"/>
    <mergeCell ref="B28:I28"/>
    <mergeCell ref="B29:I29"/>
    <mergeCell ref="W3:X3"/>
    <mergeCell ref="L24:S24"/>
    <mergeCell ref="M19:R19"/>
    <mergeCell ref="W19:AB19"/>
    <mergeCell ref="L21:S21"/>
    <mergeCell ref="L22:S22"/>
    <mergeCell ref="L23:S23"/>
    <mergeCell ref="C23:H23"/>
    <mergeCell ref="C24:H24"/>
    <mergeCell ref="B17:F17"/>
    <mergeCell ref="C19:H19"/>
    <mergeCell ref="C20:H2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6"/>
  <sheetViews>
    <sheetView workbookViewId="0">
      <selection activeCell="K40" sqref="K40"/>
    </sheetView>
  </sheetViews>
  <sheetFormatPr baseColWidth="10" defaultRowHeight="15" x14ac:dyDescent="0.25"/>
  <cols>
    <col min="2" max="2" width="10.28515625" customWidth="1"/>
    <col min="3" max="3" width="44.5703125" customWidth="1"/>
    <col min="4" max="4" width="9.7109375" style="1" customWidth="1"/>
    <col min="5" max="5" width="7.28515625" style="1" bestFit="1" customWidth="1"/>
    <col min="6" max="6" width="6.28515625" style="48" bestFit="1" customWidth="1"/>
    <col min="7" max="7" width="10.140625" style="1" bestFit="1" customWidth="1"/>
    <col min="8" max="8" width="12.140625" style="1" bestFit="1" customWidth="1"/>
    <col min="10" max="10" width="10.85546875" bestFit="1" customWidth="1"/>
    <col min="11" max="11" width="35.42578125" bestFit="1" customWidth="1"/>
    <col min="12" max="12" width="9.140625" bestFit="1" customWidth="1"/>
    <col min="13" max="13" width="11.5703125" bestFit="1" customWidth="1"/>
    <col min="14" max="14" width="6.28515625" bestFit="1" customWidth="1"/>
    <col min="15" max="15" width="9" style="55" bestFit="1" customWidth="1"/>
    <col min="16" max="16" width="9.140625" style="1" bestFit="1" customWidth="1"/>
    <col min="17" max="17" width="10.140625" bestFit="1" customWidth="1"/>
    <col min="20" max="20" width="45.28515625" customWidth="1"/>
  </cols>
  <sheetData>
    <row r="1" spans="2:26" x14ac:dyDescent="0.25">
      <c r="B1" s="204" t="s">
        <v>147</v>
      </c>
      <c r="C1" s="205"/>
      <c r="D1" s="205"/>
      <c r="E1" s="205"/>
      <c r="F1" s="205"/>
      <c r="G1" s="205"/>
      <c r="H1" s="206"/>
      <c r="J1" s="201" t="s">
        <v>57</v>
      </c>
      <c r="K1" s="202"/>
      <c r="L1" s="202"/>
      <c r="M1" s="202"/>
      <c r="N1" s="202"/>
      <c r="O1" s="202"/>
      <c r="P1" s="202"/>
      <c r="Q1" s="202"/>
      <c r="S1" s="201" t="s">
        <v>57</v>
      </c>
      <c r="T1" s="202"/>
      <c r="U1" s="202"/>
      <c r="V1" s="202"/>
      <c r="W1" s="202"/>
      <c r="X1" s="202"/>
      <c r="Y1" s="202"/>
      <c r="Z1" s="202"/>
    </row>
    <row r="2" spans="2:26" s="49" customFormat="1" x14ac:dyDescent="0.25">
      <c r="B2" s="203" t="s">
        <v>148</v>
      </c>
      <c r="C2" s="203"/>
      <c r="D2" s="12" t="s">
        <v>7</v>
      </c>
      <c r="E2" s="12" t="s">
        <v>146</v>
      </c>
      <c r="F2" s="51" t="s">
        <v>48</v>
      </c>
      <c r="G2" s="12" t="s">
        <v>50</v>
      </c>
      <c r="H2" s="12" t="s">
        <v>61</v>
      </c>
      <c r="I2" s="3"/>
      <c r="J2" s="203" t="s">
        <v>27</v>
      </c>
      <c r="K2" s="203"/>
      <c r="L2" s="87" t="s">
        <v>7</v>
      </c>
      <c r="M2" s="87" t="s">
        <v>46</v>
      </c>
      <c r="N2" s="51" t="s">
        <v>48</v>
      </c>
      <c r="O2" s="52" t="s">
        <v>58</v>
      </c>
      <c r="P2" s="86" t="s">
        <v>33</v>
      </c>
      <c r="Q2" s="87" t="s">
        <v>15</v>
      </c>
      <c r="S2" s="203" t="s">
        <v>27</v>
      </c>
      <c r="T2" s="203"/>
      <c r="U2" s="12" t="s">
        <v>7</v>
      </c>
      <c r="V2" s="12" t="s">
        <v>46</v>
      </c>
      <c r="W2" s="51" t="s">
        <v>48</v>
      </c>
      <c r="X2" s="52" t="s">
        <v>58</v>
      </c>
      <c r="Y2" s="11" t="s">
        <v>33</v>
      </c>
      <c r="Z2" s="12" t="s">
        <v>15</v>
      </c>
    </row>
    <row r="3" spans="2:26" x14ac:dyDescent="0.25">
      <c r="B3" s="44" t="s">
        <v>55</v>
      </c>
      <c r="C3" s="45" t="s">
        <v>54</v>
      </c>
      <c r="D3" s="2">
        <v>300000</v>
      </c>
      <c r="E3" s="2" t="s">
        <v>145</v>
      </c>
      <c r="F3" s="50">
        <v>11</v>
      </c>
      <c r="G3" s="2">
        <f t="shared" ref="G3:G17" si="0">D3*F3</f>
        <v>3300000</v>
      </c>
      <c r="H3" s="2">
        <f>D3</f>
        <v>300000</v>
      </c>
      <c r="I3" s="1"/>
      <c r="J3" s="89" t="s">
        <v>55</v>
      </c>
      <c r="K3" s="45" t="s">
        <v>54</v>
      </c>
      <c r="L3" s="2">
        <v>300000</v>
      </c>
      <c r="M3" s="2" t="s">
        <v>52</v>
      </c>
      <c r="N3" s="50">
        <v>12</v>
      </c>
      <c r="O3" s="53">
        <v>0.05</v>
      </c>
      <c r="P3" s="88">
        <f>(5*L3/100)+L3</f>
        <v>315000</v>
      </c>
      <c r="Q3" s="2">
        <f>N3*P3</f>
        <v>3780000</v>
      </c>
      <c r="S3" s="44" t="s">
        <v>55</v>
      </c>
      <c r="T3" s="45" t="s">
        <v>54</v>
      </c>
      <c r="U3" s="2">
        <v>300000</v>
      </c>
      <c r="V3" s="2" t="s">
        <v>52</v>
      </c>
      <c r="W3" s="50">
        <v>12</v>
      </c>
      <c r="X3" s="53">
        <v>0.05</v>
      </c>
      <c r="Y3" s="13">
        <f>(5*U3/100)+U3</f>
        <v>315000</v>
      </c>
      <c r="Z3" s="2">
        <f>W3*Y3</f>
        <v>3780000</v>
      </c>
    </row>
    <row r="4" spans="2:26" x14ac:dyDescent="0.25">
      <c r="B4" s="199" t="s">
        <v>42</v>
      </c>
      <c r="C4" s="45" t="s">
        <v>16</v>
      </c>
      <c r="D4" s="2">
        <v>60000</v>
      </c>
      <c r="E4" s="2" t="s">
        <v>145</v>
      </c>
      <c r="F4" s="50">
        <v>11</v>
      </c>
      <c r="G4" s="2">
        <f t="shared" si="0"/>
        <v>660000</v>
      </c>
      <c r="H4" s="2">
        <f>D4</f>
        <v>60000</v>
      </c>
      <c r="J4" s="199" t="s">
        <v>42</v>
      </c>
      <c r="K4" s="45" t="s">
        <v>16</v>
      </c>
      <c r="L4" s="2">
        <v>60000</v>
      </c>
      <c r="M4" s="2" t="s">
        <v>52</v>
      </c>
      <c r="N4" s="50">
        <v>12</v>
      </c>
      <c r="O4" s="53">
        <v>0.05</v>
      </c>
      <c r="P4" s="88">
        <f t="shared" ref="P4:P7" si="1">(5*L4/100)+L4</f>
        <v>63000</v>
      </c>
      <c r="Q4" s="2">
        <f t="shared" ref="Q4:Q8" si="2">N4*P4</f>
        <v>756000</v>
      </c>
      <c r="S4" s="199" t="s">
        <v>42</v>
      </c>
      <c r="T4" s="45" t="s">
        <v>16</v>
      </c>
      <c r="U4" s="2">
        <v>60000</v>
      </c>
      <c r="V4" s="2" t="s">
        <v>52</v>
      </c>
      <c r="W4" s="50">
        <v>12</v>
      </c>
      <c r="X4" s="53">
        <v>0.05</v>
      </c>
      <c r="Y4" s="13">
        <f t="shared" ref="Y4:Y9" si="3">(5*U4/100)+U4</f>
        <v>63000</v>
      </c>
      <c r="Z4" s="2">
        <f t="shared" ref="Z4:Z17" si="4">W4*Y4</f>
        <v>756000</v>
      </c>
    </row>
    <row r="5" spans="2:26" x14ac:dyDescent="0.25">
      <c r="B5" s="199"/>
      <c r="C5" s="45" t="s">
        <v>17</v>
      </c>
      <c r="D5" s="2">
        <v>30000</v>
      </c>
      <c r="E5" s="2" t="s">
        <v>145</v>
      </c>
      <c r="F5" s="50">
        <v>11</v>
      </c>
      <c r="G5" s="2">
        <f t="shared" si="0"/>
        <v>330000</v>
      </c>
      <c r="H5" s="2">
        <f>D5</f>
        <v>30000</v>
      </c>
      <c r="J5" s="199"/>
      <c r="K5" s="45" t="s">
        <v>17</v>
      </c>
      <c r="L5" s="2">
        <v>30000</v>
      </c>
      <c r="M5" s="2" t="s">
        <v>52</v>
      </c>
      <c r="N5" s="50">
        <v>12</v>
      </c>
      <c r="O5" s="53">
        <v>0.05</v>
      </c>
      <c r="P5" s="88">
        <f t="shared" si="1"/>
        <v>31500</v>
      </c>
      <c r="Q5" s="2">
        <f t="shared" si="2"/>
        <v>378000</v>
      </c>
      <c r="S5" s="199"/>
      <c r="T5" s="45" t="s">
        <v>17</v>
      </c>
      <c r="U5" s="2">
        <v>30000</v>
      </c>
      <c r="V5" s="2" t="s">
        <v>52</v>
      </c>
      <c r="W5" s="50">
        <v>12</v>
      </c>
      <c r="X5" s="53">
        <v>0.05</v>
      </c>
      <c r="Y5" s="13">
        <f t="shared" si="3"/>
        <v>31500</v>
      </c>
      <c r="Z5" s="2">
        <f t="shared" si="4"/>
        <v>378000</v>
      </c>
    </row>
    <row r="6" spans="2:26" x14ac:dyDescent="0.25">
      <c r="B6" s="199"/>
      <c r="C6" s="45" t="s">
        <v>18</v>
      </c>
      <c r="D6" s="2">
        <v>80000</v>
      </c>
      <c r="E6" s="2" t="s">
        <v>145</v>
      </c>
      <c r="F6" s="50">
        <v>11</v>
      </c>
      <c r="G6" s="2">
        <f t="shared" si="0"/>
        <v>880000</v>
      </c>
      <c r="H6" s="2">
        <f>D6</f>
        <v>80000</v>
      </c>
      <c r="J6" s="199"/>
      <c r="K6" s="45" t="s">
        <v>18</v>
      </c>
      <c r="L6" s="2">
        <v>80000</v>
      </c>
      <c r="M6" s="2" t="s">
        <v>52</v>
      </c>
      <c r="N6" s="50">
        <v>12</v>
      </c>
      <c r="O6" s="53">
        <v>0.05</v>
      </c>
      <c r="P6" s="88">
        <f t="shared" si="1"/>
        <v>84000</v>
      </c>
      <c r="Q6" s="2">
        <f t="shared" si="2"/>
        <v>1008000</v>
      </c>
      <c r="S6" s="199"/>
      <c r="T6" s="45" t="s">
        <v>18</v>
      </c>
      <c r="U6" s="2">
        <v>80000</v>
      </c>
      <c r="V6" s="2" t="s">
        <v>52</v>
      </c>
      <c r="W6" s="50">
        <v>12</v>
      </c>
      <c r="X6" s="53">
        <v>0.05</v>
      </c>
      <c r="Y6" s="13">
        <f t="shared" si="3"/>
        <v>84000</v>
      </c>
      <c r="Z6" s="2">
        <f t="shared" si="4"/>
        <v>1008000</v>
      </c>
    </row>
    <row r="7" spans="2:26" x14ac:dyDescent="0.25">
      <c r="B7" s="199" t="s">
        <v>40</v>
      </c>
      <c r="C7" s="126" t="s">
        <v>19</v>
      </c>
      <c r="D7" s="2">
        <v>3500000</v>
      </c>
      <c r="E7" s="2" t="s">
        <v>144</v>
      </c>
      <c r="F7" s="50">
        <v>4</v>
      </c>
      <c r="G7" s="2">
        <f t="shared" si="0"/>
        <v>14000000</v>
      </c>
      <c r="H7" s="2">
        <v>0</v>
      </c>
      <c r="I7" s="1"/>
      <c r="J7" s="89" t="s">
        <v>40</v>
      </c>
      <c r="K7" s="45" t="s">
        <v>56</v>
      </c>
      <c r="L7" s="2">
        <v>1600000</v>
      </c>
      <c r="M7" s="2" t="s">
        <v>53</v>
      </c>
      <c r="N7" s="50">
        <v>12</v>
      </c>
      <c r="O7" s="54">
        <v>0.05</v>
      </c>
      <c r="P7" s="88">
        <f t="shared" si="1"/>
        <v>1680000</v>
      </c>
      <c r="Q7" s="2">
        <f t="shared" si="2"/>
        <v>20160000</v>
      </c>
      <c r="S7" s="199" t="s">
        <v>40</v>
      </c>
      <c r="T7" s="45" t="s">
        <v>19</v>
      </c>
      <c r="U7" s="2">
        <v>3500000</v>
      </c>
      <c r="V7" s="2" t="s">
        <v>53</v>
      </c>
      <c r="W7" s="50">
        <v>0</v>
      </c>
      <c r="X7" s="53"/>
      <c r="Y7" s="13"/>
      <c r="Z7" s="2">
        <f t="shared" si="4"/>
        <v>0</v>
      </c>
    </row>
    <row r="8" spans="2:26" x14ac:dyDescent="0.25">
      <c r="B8" s="199"/>
      <c r="C8" s="45" t="s">
        <v>20</v>
      </c>
      <c r="D8" s="2">
        <v>4500000</v>
      </c>
      <c r="E8" s="2" t="s">
        <v>144</v>
      </c>
      <c r="F8" s="50">
        <v>3</v>
      </c>
      <c r="G8" s="2">
        <f t="shared" si="0"/>
        <v>13500000</v>
      </c>
      <c r="H8" s="2">
        <f>D8</f>
        <v>4500000</v>
      </c>
      <c r="J8" s="89" t="s">
        <v>28</v>
      </c>
      <c r="K8" s="47" t="s">
        <v>41</v>
      </c>
      <c r="L8" s="2">
        <v>2000000</v>
      </c>
      <c r="M8" s="2" t="s">
        <v>14</v>
      </c>
      <c r="N8" s="50">
        <v>1</v>
      </c>
      <c r="O8" s="53"/>
      <c r="P8" s="88">
        <v>2000000</v>
      </c>
      <c r="Q8" s="2">
        <f t="shared" si="2"/>
        <v>2000000</v>
      </c>
      <c r="S8" s="199"/>
      <c r="T8" s="45" t="s">
        <v>20</v>
      </c>
      <c r="U8" s="2">
        <v>4500000</v>
      </c>
      <c r="V8" s="2" t="s">
        <v>53</v>
      </c>
      <c r="W8" s="50">
        <v>0</v>
      </c>
      <c r="X8" s="53"/>
      <c r="Y8" s="13"/>
      <c r="Z8" s="2">
        <f t="shared" si="4"/>
        <v>0</v>
      </c>
    </row>
    <row r="9" spans="2:26" x14ac:dyDescent="0.25">
      <c r="B9" s="199"/>
      <c r="C9" s="126" t="s">
        <v>56</v>
      </c>
      <c r="D9" s="2">
        <v>1600000</v>
      </c>
      <c r="E9" s="2" t="s">
        <v>144</v>
      </c>
      <c r="F9" s="50">
        <v>6</v>
      </c>
      <c r="G9" s="2">
        <f t="shared" si="0"/>
        <v>9600000</v>
      </c>
      <c r="H9" s="2">
        <v>0</v>
      </c>
      <c r="Q9" s="1">
        <f>SUM(Q3:Q8)</f>
        <v>28082000</v>
      </c>
      <c r="S9" s="199"/>
      <c r="T9" s="45" t="s">
        <v>56</v>
      </c>
      <c r="U9" s="2">
        <v>1600000</v>
      </c>
      <c r="V9" s="2" t="s">
        <v>53</v>
      </c>
      <c r="W9" s="50">
        <v>12</v>
      </c>
      <c r="X9" s="54">
        <v>0.05</v>
      </c>
      <c r="Y9" s="13">
        <f t="shared" si="3"/>
        <v>1680000</v>
      </c>
      <c r="Z9" s="2">
        <f t="shared" si="4"/>
        <v>20160000</v>
      </c>
    </row>
    <row r="10" spans="2:26" x14ac:dyDescent="0.25">
      <c r="B10" s="199"/>
      <c r="C10" s="45" t="s">
        <v>44</v>
      </c>
      <c r="D10" s="2">
        <v>4000000</v>
      </c>
      <c r="E10" s="2" t="s">
        <v>144</v>
      </c>
      <c r="F10" s="50">
        <v>3</v>
      </c>
      <c r="G10" s="2">
        <f t="shared" si="0"/>
        <v>12000000</v>
      </c>
      <c r="H10" s="2">
        <v>0</v>
      </c>
      <c r="S10" s="199"/>
      <c r="T10" s="45" t="s">
        <v>44</v>
      </c>
      <c r="U10" s="2">
        <v>4000000</v>
      </c>
      <c r="V10" s="2" t="s">
        <v>53</v>
      </c>
      <c r="W10" s="50">
        <v>0</v>
      </c>
      <c r="X10" s="53"/>
      <c r="Y10" s="13"/>
      <c r="Z10" s="2">
        <f t="shared" si="4"/>
        <v>0</v>
      </c>
    </row>
    <row r="11" spans="2:26" x14ac:dyDescent="0.25">
      <c r="B11" s="208" t="s">
        <v>43</v>
      </c>
      <c r="C11" s="128" t="s">
        <v>22</v>
      </c>
      <c r="D11" s="2">
        <v>2200000</v>
      </c>
      <c r="E11" s="2" t="s">
        <v>47</v>
      </c>
      <c r="F11" s="50">
        <v>2</v>
      </c>
      <c r="G11" s="2">
        <f t="shared" si="0"/>
        <v>4400000</v>
      </c>
      <c r="H11" s="2">
        <f>G11</f>
        <v>4400000</v>
      </c>
      <c r="I11" s="1"/>
      <c r="J11" s="201" t="s">
        <v>77</v>
      </c>
      <c r="K11" s="202"/>
      <c r="L11" s="202"/>
      <c r="M11" s="202"/>
      <c r="N11" s="202"/>
      <c r="O11" s="202"/>
      <c r="P11" s="202"/>
      <c r="Q11" s="202"/>
      <c r="S11" s="199" t="s">
        <v>43</v>
      </c>
      <c r="T11" s="46" t="s">
        <v>22</v>
      </c>
      <c r="U11" s="2">
        <v>2200000</v>
      </c>
      <c r="V11" s="2" t="s">
        <v>47</v>
      </c>
      <c r="W11" s="50">
        <v>0</v>
      </c>
      <c r="X11" s="53"/>
      <c r="Y11" s="13"/>
      <c r="Z11" s="2">
        <f t="shared" si="4"/>
        <v>0</v>
      </c>
    </row>
    <row r="12" spans="2:26" x14ac:dyDescent="0.25">
      <c r="B12" s="209"/>
      <c r="C12" s="127" t="s">
        <v>23</v>
      </c>
      <c r="D12" s="2">
        <v>3000000</v>
      </c>
      <c r="E12" s="2" t="s">
        <v>47</v>
      </c>
      <c r="F12" s="50">
        <v>2</v>
      </c>
      <c r="G12" s="2">
        <f t="shared" si="0"/>
        <v>6000000</v>
      </c>
      <c r="H12" s="2">
        <f t="shared" ref="H12:H17" si="5">G12</f>
        <v>6000000</v>
      </c>
      <c r="J12" s="203" t="s">
        <v>27</v>
      </c>
      <c r="K12" s="203"/>
      <c r="L12" s="87" t="s">
        <v>7</v>
      </c>
      <c r="M12" s="87" t="s">
        <v>46</v>
      </c>
      <c r="N12" s="51" t="s">
        <v>48</v>
      </c>
      <c r="O12" s="52" t="s">
        <v>58</v>
      </c>
      <c r="P12" s="86" t="s">
        <v>33</v>
      </c>
      <c r="Q12" s="87" t="s">
        <v>15</v>
      </c>
      <c r="S12" s="199"/>
      <c r="T12" s="46" t="s">
        <v>23</v>
      </c>
      <c r="U12" s="2">
        <v>3000000</v>
      </c>
      <c r="V12" s="2" t="s">
        <v>47</v>
      </c>
      <c r="W12" s="50">
        <v>0</v>
      </c>
      <c r="X12" s="53"/>
      <c r="Y12" s="13"/>
      <c r="Z12" s="2">
        <f t="shared" si="4"/>
        <v>0</v>
      </c>
    </row>
    <row r="13" spans="2:26" x14ac:dyDescent="0.25">
      <c r="B13" s="209"/>
      <c r="C13" s="46" t="s">
        <v>21</v>
      </c>
      <c r="D13" s="2">
        <v>1800000</v>
      </c>
      <c r="E13" s="2" t="s">
        <v>47</v>
      </c>
      <c r="F13" s="50">
        <v>1</v>
      </c>
      <c r="G13" s="2">
        <f t="shared" si="0"/>
        <v>1800000</v>
      </c>
      <c r="H13" s="2">
        <f t="shared" si="5"/>
        <v>1800000</v>
      </c>
      <c r="J13" s="89" t="s">
        <v>55</v>
      </c>
      <c r="K13" s="45" t="s">
        <v>54</v>
      </c>
      <c r="L13" s="2">
        <f>P3</f>
        <v>315000</v>
      </c>
      <c r="M13" s="2" t="s">
        <v>52</v>
      </c>
      <c r="N13" s="50">
        <v>12</v>
      </c>
      <c r="O13" s="53">
        <v>0.05</v>
      </c>
      <c r="P13" s="88">
        <f>(5*L13/100)+L13</f>
        <v>330750</v>
      </c>
      <c r="Q13" s="2">
        <f>N13*P13</f>
        <v>3969000</v>
      </c>
      <c r="S13" s="199"/>
      <c r="T13" s="46" t="s">
        <v>21</v>
      </c>
      <c r="U13" s="2">
        <v>1800000</v>
      </c>
      <c r="V13" s="2" t="s">
        <v>47</v>
      </c>
      <c r="W13" s="50">
        <v>0</v>
      </c>
      <c r="X13" s="53"/>
      <c r="Y13" s="13"/>
      <c r="Z13" s="2">
        <f t="shared" si="4"/>
        <v>0</v>
      </c>
    </row>
    <row r="14" spans="2:26" x14ac:dyDescent="0.25">
      <c r="B14" s="209"/>
      <c r="C14" s="46" t="s">
        <v>24</v>
      </c>
      <c r="D14" s="2">
        <v>900000</v>
      </c>
      <c r="E14" s="2" t="s">
        <v>47</v>
      </c>
      <c r="F14" s="50">
        <v>1</v>
      </c>
      <c r="G14" s="2">
        <f t="shared" si="0"/>
        <v>900000</v>
      </c>
      <c r="H14" s="2">
        <f t="shared" si="5"/>
        <v>900000</v>
      </c>
      <c r="J14" s="199" t="s">
        <v>42</v>
      </c>
      <c r="K14" s="45" t="s">
        <v>16</v>
      </c>
      <c r="L14" s="2">
        <f t="shared" ref="L14:L17" si="6">P4</f>
        <v>63000</v>
      </c>
      <c r="M14" s="2" t="s">
        <v>52</v>
      </c>
      <c r="N14" s="50">
        <v>12</v>
      </c>
      <c r="O14" s="53">
        <v>0.05</v>
      </c>
      <c r="P14" s="88">
        <f t="shared" ref="P14:P17" si="7">(5*L14/100)+L14</f>
        <v>66150</v>
      </c>
      <c r="Q14" s="2">
        <f t="shared" ref="Q14:Q17" si="8">N14*P14</f>
        <v>793800</v>
      </c>
      <c r="S14" s="199"/>
      <c r="T14" s="46" t="s">
        <v>24</v>
      </c>
      <c r="U14" s="2">
        <v>900000</v>
      </c>
      <c r="V14" s="2" t="s">
        <v>47</v>
      </c>
      <c r="W14" s="50">
        <v>0</v>
      </c>
      <c r="X14" s="53"/>
      <c r="Y14" s="13"/>
      <c r="Z14" s="2">
        <f t="shared" si="4"/>
        <v>0</v>
      </c>
    </row>
    <row r="15" spans="2:26" x14ac:dyDescent="0.25">
      <c r="B15" s="209"/>
      <c r="C15" s="127" t="s">
        <v>153</v>
      </c>
      <c r="D15" s="2">
        <v>1800000</v>
      </c>
      <c r="E15" s="2" t="s">
        <v>47</v>
      </c>
      <c r="F15" s="50">
        <v>2</v>
      </c>
      <c r="G15" s="2">
        <f t="shared" si="0"/>
        <v>3600000</v>
      </c>
      <c r="H15" s="2">
        <f t="shared" si="5"/>
        <v>3600000</v>
      </c>
      <c r="J15" s="199"/>
      <c r="K15" s="45" t="s">
        <v>17</v>
      </c>
      <c r="L15" s="2">
        <f t="shared" si="6"/>
        <v>31500</v>
      </c>
      <c r="M15" s="2" t="s">
        <v>52</v>
      </c>
      <c r="N15" s="50">
        <v>12</v>
      </c>
      <c r="O15" s="53">
        <v>0.05</v>
      </c>
      <c r="P15" s="88">
        <f t="shared" si="7"/>
        <v>33075</v>
      </c>
      <c r="Q15" s="2">
        <f t="shared" si="8"/>
        <v>396900</v>
      </c>
      <c r="S15" s="199"/>
      <c r="T15" s="46" t="s">
        <v>25</v>
      </c>
      <c r="U15" s="2">
        <v>1800000</v>
      </c>
      <c r="V15" s="2" t="s">
        <v>47</v>
      </c>
      <c r="W15" s="50">
        <v>0</v>
      </c>
      <c r="X15" s="53"/>
      <c r="Y15" s="13"/>
      <c r="Z15" s="2">
        <f t="shared" si="4"/>
        <v>0</v>
      </c>
    </row>
    <row r="16" spans="2:26" x14ac:dyDescent="0.25">
      <c r="B16" s="210"/>
      <c r="C16" s="127" t="s">
        <v>45</v>
      </c>
      <c r="D16" s="2">
        <v>2000000</v>
      </c>
      <c r="E16" s="2" t="s">
        <v>14</v>
      </c>
      <c r="F16" s="50">
        <v>1</v>
      </c>
      <c r="G16" s="2">
        <f t="shared" si="0"/>
        <v>2000000</v>
      </c>
      <c r="H16" s="2">
        <f t="shared" si="5"/>
        <v>2000000</v>
      </c>
      <c r="J16" s="199"/>
      <c r="K16" s="45" t="s">
        <v>18</v>
      </c>
      <c r="L16" s="2">
        <f t="shared" si="6"/>
        <v>84000</v>
      </c>
      <c r="M16" s="2" t="s">
        <v>52</v>
      </c>
      <c r="N16" s="50">
        <v>12</v>
      </c>
      <c r="O16" s="53">
        <v>0.05</v>
      </c>
      <c r="P16" s="88">
        <f t="shared" si="7"/>
        <v>88200</v>
      </c>
      <c r="Q16" s="2">
        <f t="shared" si="8"/>
        <v>1058400</v>
      </c>
      <c r="S16" s="199"/>
      <c r="T16" s="46" t="s">
        <v>45</v>
      </c>
      <c r="U16" s="2">
        <v>2000000</v>
      </c>
      <c r="V16" s="2" t="s">
        <v>14</v>
      </c>
      <c r="W16" s="50">
        <v>0</v>
      </c>
      <c r="X16" s="53"/>
      <c r="Y16" s="13"/>
      <c r="Z16" s="2">
        <f t="shared" si="4"/>
        <v>0</v>
      </c>
    </row>
    <row r="17" spans="2:26" x14ac:dyDescent="0.25">
      <c r="B17" s="96" t="s">
        <v>28</v>
      </c>
      <c r="C17" s="47" t="s">
        <v>41</v>
      </c>
      <c r="D17" s="2">
        <v>3000000</v>
      </c>
      <c r="E17" s="2" t="s">
        <v>14</v>
      </c>
      <c r="F17" s="50">
        <v>1</v>
      </c>
      <c r="G17" s="2">
        <f t="shared" si="0"/>
        <v>3000000</v>
      </c>
      <c r="H17" s="2">
        <f t="shared" si="5"/>
        <v>3000000</v>
      </c>
      <c r="J17" s="89" t="s">
        <v>40</v>
      </c>
      <c r="K17" s="45" t="s">
        <v>56</v>
      </c>
      <c r="L17" s="2">
        <f t="shared" si="6"/>
        <v>1680000</v>
      </c>
      <c r="M17" s="2" t="s">
        <v>53</v>
      </c>
      <c r="N17" s="50">
        <v>12</v>
      </c>
      <c r="O17" s="54">
        <v>0.05</v>
      </c>
      <c r="P17" s="88">
        <f t="shared" si="7"/>
        <v>1764000</v>
      </c>
      <c r="Q17" s="2">
        <f t="shared" si="8"/>
        <v>21168000</v>
      </c>
      <c r="S17" s="199"/>
      <c r="T17" s="47" t="s">
        <v>41</v>
      </c>
      <c r="U17" s="2">
        <v>2000000</v>
      </c>
      <c r="V17" s="2" t="s">
        <v>14</v>
      </c>
      <c r="W17" s="50">
        <v>1</v>
      </c>
      <c r="X17" s="53"/>
      <c r="Y17" s="13">
        <v>2000000</v>
      </c>
      <c r="Z17" s="2">
        <f t="shared" si="4"/>
        <v>2000000</v>
      </c>
    </row>
    <row r="18" spans="2:26" x14ac:dyDescent="0.25">
      <c r="B18" s="9"/>
      <c r="C18" s="9"/>
      <c r="Q18" s="1">
        <f>SUM(Q13:Q17)</f>
        <v>27386100</v>
      </c>
    </row>
    <row r="19" spans="2:26" x14ac:dyDescent="0.25">
      <c r="B19" s="9"/>
      <c r="C19" s="9"/>
      <c r="D19" s="129"/>
      <c r="E19" s="130"/>
      <c r="F19" s="207" t="s">
        <v>59</v>
      </c>
      <c r="G19" s="207"/>
      <c r="H19" s="2">
        <f>SUM(G3:G6)</f>
        <v>5170000</v>
      </c>
    </row>
    <row r="20" spans="2:26" x14ac:dyDescent="0.25">
      <c r="B20" s="9"/>
      <c r="C20" s="10"/>
      <c r="D20" s="131"/>
      <c r="E20" s="132"/>
      <c r="F20" s="207" t="s">
        <v>60</v>
      </c>
      <c r="G20" s="207"/>
      <c r="H20" s="2">
        <f>SUM(G7:G10)</f>
        <v>49100000</v>
      </c>
      <c r="J20" s="201" t="s">
        <v>78</v>
      </c>
      <c r="K20" s="202"/>
      <c r="L20" s="202"/>
      <c r="M20" s="202"/>
      <c r="N20" s="202"/>
      <c r="O20" s="202"/>
      <c r="P20" s="202"/>
      <c r="Q20" s="202"/>
    </row>
    <row r="21" spans="2:26" x14ac:dyDescent="0.25">
      <c r="B21" s="9"/>
      <c r="C21" s="9"/>
      <c r="D21" s="197" t="s">
        <v>149</v>
      </c>
      <c r="E21" s="198"/>
      <c r="F21" s="207" t="s">
        <v>150</v>
      </c>
      <c r="G21" s="207"/>
      <c r="H21" s="2">
        <f>SUM(G11:G17)</f>
        <v>21700000</v>
      </c>
      <c r="J21" s="203" t="s">
        <v>27</v>
      </c>
      <c r="K21" s="203"/>
      <c r="L21" s="87" t="s">
        <v>7</v>
      </c>
      <c r="M21" s="87" t="s">
        <v>46</v>
      </c>
      <c r="N21" s="51" t="s">
        <v>48</v>
      </c>
      <c r="O21" s="52" t="s">
        <v>58</v>
      </c>
      <c r="P21" s="86" t="s">
        <v>33</v>
      </c>
      <c r="Q21" s="87" t="s">
        <v>15</v>
      </c>
    </row>
    <row r="22" spans="2:26" x14ac:dyDescent="0.25">
      <c r="B22" s="9"/>
      <c r="C22" s="9"/>
      <c r="D22" s="131"/>
      <c r="E22" s="132"/>
      <c r="F22" s="207" t="s">
        <v>49</v>
      </c>
      <c r="G22" s="207"/>
      <c r="H22" s="2">
        <f>SUM(H3:H17)</f>
        <v>26670000</v>
      </c>
      <c r="J22" s="89" t="s">
        <v>55</v>
      </c>
      <c r="K22" s="45" t="s">
        <v>54</v>
      </c>
      <c r="L22" s="2">
        <f>P13</f>
        <v>330750</v>
      </c>
      <c r="M22" s="2" t="s">
        <v>52</v>
      </c>
      <c r="N22" s="50">
        <v>12</v>
      </c>
      <c r="O22" s="53">
        <v>0.05</v>
      </c>
      <c r="P22" s="88">
        <f>(5*L22/100)+L22</f>
        <v>347287.5</v>
      </c>
      <c r="Q22" s="2">
        <f>N22*P22</f>
        <v>4167450</v>
      </c>
    </row>
    <row r="23" spans="2:26" x14ac:dyDescent="0.25">
      <c r="B23" s="9"/>
      <c r="C23" s="9"/>
      <c r="D23" s="133"/>
      <c r="E23" s="134"/>
      <c r="F23" s="200" t="s">
        <v>51</v>
      </c>
      <c r="G23" s="200"/>
      <c r="H23" s="4">
        <f>SUM(G3:G17)</f>
        <v>75970000</v>
      </c>
      <c r="J23" s="199" t="s">
        <v>42</v>
      </c>
      <c r="K23" s="45" t="s">
        <v>16</v>
      </c>
      <c r="L23" s="2">
        <f t="shared" ref="L23:L26" si="9">P14</f>
        <v>66150</v>
      </c>
      <c r="M23" s="2" t="s">
        <v>52</v>
      </c>
      <c r="N23" s="50">
        <v>12</v>
      </c>
      <c r="O23" s="53">
        <v>0.05</v>
      </c>
      <c r="P23" s="88">
        <f t="shared" ref="P23:P26" si="10">(5*L23/100)+L23</f>
        <v>69457.5</v>
      </c>
      <c r="Q23" s="2">
        <f t="shared" ref="Q23:Q26" si="11">N23*P23</f>
        <v>833490</v>
      </c>
    </row>
    <row r="24" spans="2:26" x14ac:dyDescent="0.25">
      <c r="B24" s="9"/>
      <c r="C24" s="9"/>
      <c r="D24" s="191" t="s">
        <v>92</v>
      </c>
      <c r="E24" s="192"/>
      <c r="F24" s="192"/>
      <c r="G24" s="193"/>
      <c r="H24" s="5">
        <f>Q9</f>
        <v>28082000</v>
      </c>
      <c r="J24" s="199"/>
      <c r="K24" s="45" t="s">
        <v>17</v>
      </c>
      <c r="L24" s="2">
        <f t="shared" si="9"/>
        <v>33075</v>
      </c>
      <c r="M24" s="2" t="s">
        <v>52</v>
      </c>
      <c r="N24" s="50">
        <v>12</v>
      </c>
      <c r="O24" s="53">
        <v>0.05</v>
      </c>
      <c r="P24" s="88">
        <f t="shared" si="10"/>
        <v>34728.75</v>
      </c>
      <c r="Q24" s="2">
        <f t="shared" si="11"/>
        <v>416745</v>
      </c>
    </row>
    <row r="25" spans="2:26" x14ac:dyDescent="0.25">
      <c r="B25" s="9"/>
      <c r="C25" s="9"/>
      <c r="D25" s="191" t="s">
        <v>93</v>
      </c>
      <c r="E25" s="192"/>
      <c r="F25" s="192"/>
      <c r="G25" s="193"/>
      <c r="H25" s="5">
        <f>Q18</f>
        <v>27386100</v>
      </c>
      <c r="J25" s="199"/>
      <c r="K25" s="45" t="s">
        <v>18</v>
      </c>
      <c r="L25" s="2">
        <f t="shared" si="9"/>
        <v>88200</v>
      </c>
      <c r="M25" s="2" t="s">
        <v>52</v>
      </c>
      <c r="N25" s="50">
        <v>12</v>
      </c>
      <c r="O25" s="53">
        <v>0.05</v>
      </c>
      <c r="P25" s="88">
        <f t="shared" si="10"/>
        <v>92610</v>
      </c>
      <c r="Q25" s="2">
        <f t="shared" si="11"/>
        <v>1111320</v>
      </c>
    </row>
    <row r="26" spans="2:26" x14ac:dyDescent="0.25">
      <c r="B26" s="9"/>
      <c r="C26" s="9"/>
      <c r="D26" s="191" t="s">
        <v>94</v>
      </c>
      <c r="E26" s="192"/>
      <c r="F26" s="192"/>
      <c r="G26" s="193"/>
      <c r="H26" s="5">
        <f>Q27</f>
        <v>28755405</v>
      </c>
      <c r="J26" s="89" t="s">
        <v>40</v>
      </c>
      <c r="K26" s="45" t="s">
        <v>56</v>
      </c>
      <c r="L26" s="2">
        <f t="shared" si="9"/>
        <v>1764000</v>
      </c>
      <c r="M26" s="2" t="s">
        <v>53</v>
      </c>
      <c r="N26" s="50">
        <v>12</v>
      </c>
      <c r="O26" s="54">
        <v>0.05</v>
      </c>
      <c r="P26" s="88">
        <f t="shared" si="10"/>
        <v>1852200</v>
      </c>
      <c r="Q26" s="2">
        <f t="shared" si="11"/>
        <v>22226400</v>
      </c>
    </row>
    <row r="27" spans="2:26" ht="15" customHeight="1" x14ac:dyDescent="0.25">
      <c r="B27" s="9"/>
      <c r="C27" s="9"/>
      <c r="D27" s="191" t="s">
        <v>95</v>
      </c>
      <c r="E27" s="192"/>
      <c r="F27" s="192"/>
      <c r="G27" s="193"/>
      <c r="H27" s="5">
        <f>Q36</f>
        <v>30193175.25</v>
      </c>
      <c r="Q27" s="1">
        <f>SUM(Q22:Q26)</f>
        <v>28755405</v>
      </c>
    </row>
    <row r="28" spans="2:26" x14ac:dyDescent="0.25">
      <c r="B28" s="9"/>
      <c r="C28" s="9"/>
      <c r="D28" s="194" t="s">
        <v>96</v>
      </c>
      <c r="E28" s="195"/>
      <c r="F28" s="195"/>
      <c r="G28" s="196"/>
      <c r="H28" s="8">
        <f>SUM(H23:H27)</f>
        <v>190386680.25</v>
      </c>
    </row>
    <row r="29" spans="2:26" x14ac:dyDescent="0.25">
      <c r="J29" s="201" t="s">
        <v>79</v>
      </c>
      <c r="K29" s="202"/>
      <c r="L29" s="202"/>
      <c r="M29" s="202"/>
      <c r="N29" s="202"/>
      <c r="O29" s="202"/>
      <c r="P29" s="202"/>
      <c r="Q29" s="202"/>
    </row>
    <row r="30" spans="2:26" x14ac:dyDescent="0.25">
      <c r="J30" s="203" t="s">
        <v>27</v>
      </c>
      <c r="K30" s="203"/>
      <c r="L30" s="87" t="s">
        <v>7</v>
      </c>
      <c r="M30" s="87" t="s">
        <v>46</v>
      </c>
      <c r="N30" s="51" t="s">
        <v>48</v>
      </c>
      <c r="O30" s="52" t="s">
        <v>58</v>
      </c>
      <c r="P30" s="86" t="s">
        <v>33</v>
      </c>
      <c r="Q30" s="87" t="s">
        <v>15</v>
      </c>
    </row>
    <row r="31" spans="2:26" x14ac:dyDescent="0.25">
      <c r="J31" s="89" t="s">
        <v>55</v>
      </c>
      <c r="K31" s="45" t="s">
        <v>54</v>
      </c>
      <c r="L31" s="2">
        <f>P22</f>
        <v>347287.5</v>
      </c>
      <c r="M31" s="2" t="s">
        <v>52</v>
      </c>
      <c r="N31" s="50">
        <v>12</v>
      </c>
      <c r="O31" s="53">
        <v>0.05</v>
      </c>
      <c r="P31" s="88">
        <f>(5*L31/100)+L31</f>
        <v>364651.875</v>
      </c>
      <c r="Q31" s="2">
        <f>N31*P31</f>
        <v>4375822.5</v>
      </c>
    </row>
    <row r="32" spans="2:26" x14ac:dyDescent="0.25">
      <c r="J32" s="199" t="s">
        <v>42</v>
      </c>
      <c r="K32" s="45" t="s">
        <v>16</v>
      </c>
      <c r="L32" s="2">
        <f t="shared" ref="L32:L35" si="12">P23</f>
        <v>69457.5</v>
      </c>
      <c r="M32" s="2" t="s">
        <v>52</v>
      </c>
      <c r="N32" s="50">
        <v>12</v>
      </c>
      <c r="O32" s="53">
        <v>0.05</v>
      </c>
      <c r="P32" s="88">
        <f t="shared" ref="P32:P35" si="13">(5*L32/100)+L32</f>
        <v>72930.375</v>
      </c>
      <c r="Q32" s="2">
        <f t="shared" ref="Q32:Q35" si="14">N32*P32</f>
        <v>875164.5</v>
      </c>
    </row>
    <row r="33" spans="10:17" x14ac:dyDescent="0.25">
      <c r="J33" s="199"/>
      <c r="K33" s="45" t="s">
        <v>17</v>
      </c>
      <c r="L33" s="2">
        <f t="shared" si="12"/>
        <v>34728.75</v>
      </c>
      <c r="M33" s="2" t="s">
        <v>52</v>
      </c>
      <c r="N33" s="50">
        <v>12</v>
      </c>
      <c r="O33" s="53">
        <v>0.05</v>
      </c>
      <c r="P33" s="88">
        <f t="shared" si="13"/>
        <v>36465.1875</v>
      </c>
      <c r="Q33" s="2">
        <f t="shared" si="14"/>
        <v>437582.25</v>
      </c>
    </row>
    <row r="34" spans="10:17" x14ac:dyDescent="0.25">
      <c r="J34" s="199"/>
      <c r="K34" s="45" t="s">
        <v>18</v>
      </c>
      <c r="L34" s="2">
        <f t="shared" si="12"/>
        <v>92610</v>
      </c>
      <c r="M34" s="2" t="s">
        <v>52</v>
      </c>
      <c r="N34" s="50">
        <v>12</v>
      </c>
      <c r="O34" s="53">
        <v>0.05</v>
      </c>
      <c r="P34" s="88">
        <f t="shared" si="13"/>
        <v>97240.5</v>
      </c>
      <c r="Q34" s="2">
        <f t="shared" si="14"/>
        <v>1166886</v>
      </c>
    </row>
    <row r="35" spans="10:17" x14ac:dyDescent="0.25">
      <c r="J35" s="89" t="s">
        <v>40</v>
      </c>
      <c r="K35" s="45" t="s">
        <v>56</v>
      </c>
      <c r="L35" s="2">
        <f t="shared" si="12"/>
        <v>1852200</v>
      </c>
      <c r="M35" s="2" t="s">
        <v>53</v>
      </c>
      <c r="N35" s="50">
        <v>12</v>
      </c>
      <c r="O35" s="54">
        <v>0.05</v>
      </c>
      <c r="P35" s="88">
        <f t="shared" si="13"/>
        <v>1944810</v>
      </c>
      <c r="Q35" s="2">
        <f t="shared" si="14"/>
        <v>23337720</v>
      </c>
    </row>
    <row r="36" spans="10:17" x14ac:dyDescent="0.25">
      <c r="Q36" s="1">
        <f>SUM(Q31:Q35)</f>
        <v>30193175.25</v>
      </c>
    </row>
  </sheetData>
  <mergeCells count="33">
    <mergeCell ref="B2:C2"/>
    <mergeCell ref="B7:B10"/>
    <mergeCell ref="B1:H1"/>
    <mergeCell ref="F22:G22"/>
    <mergeCell ref="B11:B16"/>
    <mergeCell ref="B4:B6"/>
    <mergeCell ref="F19:G19"/>
    <mergeCell ref="F20:G20"/>
    <mergeCell ref="F21:G21"/>
    <mergeCell ref="J29:Q29"/>
    <mergeCell ref="J30:K30"/>
    <mergeCell ref="J32:J34"/>
    <mergeCell ref="S1:Z1"/>
    <mergeCell ref="S2:T2"/>
    <mergeCell ref="S4:S6"/>
    <mergeCell ref="S7:S10"/>
    <mergeCell ref="S11:S17"/>
    <mergeCell ref="J1:Q1"/>
    <mergeCell ref="J2:K2"/>
    <mergeCell ref="J4:J6"/>
    <mergeCell ref="J11:Q11"/>
    <mergeCell ref="J12:K12"/>
    <mergeCell ref="J14:J16"/>
    <mergeCell ref="J20:Q20"/>
    <mergeCell ref="J21:K21"/>
    <mergeCell ref="D26:G26"/>
    <mergeCell ref="D27:G27"/>
    <mergeCell ref="D28:G28"/>
    <mergeCell ref="D21:E21"/>
    <mergeCell ref="J23:J25"/>
    <mergeCell ref="F23:G23"/>
    <mergeCell ref="D24:G24"/>
    <mergeCell ref="D25:G25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4"/>
  <sheetViews>
    <sheetView topLeftCell="A7" workbookViewId="0">
      <selection activeCell="K16" sqref="K16"/>
    </sheetView>
  </sheetViews>
  <sheetFormatPr baseColWidth="10" defaultRowHeight="15" x14ac:dyDescent="0.25"/>
  <cols>
    <col min="2" max="2" width="17.42578125" bestFit="1" customWidth="1"/>
    <col min="3" max="3" width="13.28515625" style="1" bestFit="1" customWidth="1"/>
    <col min="4" max="4" width="12.28515625" style="1" customWidth="1"/>
    <col min="5" max="5" width="12.42578125" style="1" customWidth="1"/>
    <col min="6" max="6" width="12.28515625" bestFit="1" customWidth="1"/>
    <col min="7" max="7" width="13.42578125" style="1" bestFit="1" customWidth="1"/>
    <col min="8" max="8" width="8.5703125" bestFit="1" customWidth="1"/>
    <col min="9" max="9" width="9.42578125" bestFit="1" customWidth="1"/>
    <col min="10" max="10" width="12.85546875" bestFit="1" customWidth="1"/>
  </cols>
  <sheetData>
    <row r="1" spans="2:10" x14ac:dyDescent="0.25">
      <c r="B1" s="211" t="s">
        <v>152</v>
      </c>
      <c r="C1" s="212"/>
      <c r="D1" s="212"/>
      <c r="E1" s="212"/>
      <c r="F1" s="212"/>
      <c r="G1" s="213"/>
    </row>
    <row r="2" spans="2:10" x14ac:dyDescent="0.25">
      <c r="B2" s="214" t="s">
        <v>27</v>
      </c>
      <c r="C2" s="215"/>
      <c r="D2" s="215"/>
      <c r="E2" s="216"/>
      <c r="F2" s="135" t="s">
        <v>50</v>
      </c>
      <c r="G2" s="136" t="s">
        <v>82</v>
      </c>
      <c r="H2" s="91"/>
      <c r="J2" s="91"/>
    </row>
    <row r="3" spans="2:10" ht="15" customHeight="1" x14ac:dyDescent="0.25">
      <c r="B3" s="93" t="s">
        <v>40</v>
      </c>
      <c r="C3" s="137" t="s">
        <v>20</v>
      </c>
      <c r="D3" s="138"/>
      <c r="E3" s="139"/>
      <c r="F3" s="2">
        <v>13500000</v>
      </c>
      <c r="G3" s="217">
        <f>SUM(F3:F10)</f>
        <v>35200000</v>
      </c>
      <c r="I3" t="s">
        <v>81</v>
      </c>
    </row>
    <row r="4" spans="2:10" x14ac:dyDescent="0.25">
      <c r="B4" s="199" t="s">
        <v>43</v>
      </c>
      <c r="C4" s="137" t="s">
        <v>22</v>
      </c>
      <c r="D4" s="138"/>
      <c r="E4" s="139"/>
      <c r="F4" s="2">
        <v>4400000</v>
      </c>
      <c r="G4" s="217"/>
    </row>
    <row r="5" spans="2:10" x14ac:dyDescent="0.25">
      <c r="B5" s="199"/>
      <c r="C5" s="137" t="s">
        <v>23</v>
      </c>
      <c r="D5" s="138"/>
      <c r="E5" s="139"/>
      <c r="F5" s="2">
        <v>6000000</v>
      </c>
      <c r="G5" s="217"/>
    </row>
    <row r="6" spans="2:10" x14ac:dyDescent="0.25">
      <c r="B6" s="199"/>
      <c r="C6" s="137" t="s">
        <v>21</v>
      </c>
      <c r="D6" s="138"/>
      <c r="E6" s="139"/>
      <c r="F6" s="2">
        <v>1800000</v>
      </c>
      <c r="G6" s="217"/>
    </row>
    <row r="7" spans="2:10" x14ac:dyDescent="0.25">
      <c r="B7" s="199"/>
      <c r="C7" s="137" t="s">
        <v>24</v>
      </c>
      <c r="D7" s="138"/>
      <c r="E7" s="139"/>
      <c r="F7" s="2">
        <v>900000</v>
      </c>
      <c r="G7" s="217"/>
    </row>
    <row r="8" spans="2:10" x14ac:dyDescent="0.25">
      <c r="B8" s="199"/>
      <c r="C8" s="137" t="s">
        <v>25</v>
      </c>
      <c r="D8" s="138"/>
      <c r="E8" s="139"/>
      <c r="F8" s="2">
        <v>3600000</v>
      </c>
      <c r="G8" s="217"/>
    </row>
    <row r="9" spans="2:10" x14ac:dyDescent="0.25">
      <c r="B9" s="199"/>
      <c r="C9" s="137" t="s">
        <v>45</v>
      </c>
      <c r="D9" s="138"/>
      <c r="E9" s="139"/>
      <c r="F9" s="2">
        <v>2000000</v>
      </c>
      <c r="G9" s="217"/>
    </row>
    <row r="10" spans="2:10" x14ac:dyDescent="0.25">
      <c r="B10" s="93" t="s">
        <v>28</v>
      </c>
      <c r="C10" s="137" t="s">
        <v>41</v>
      </c>
      <c r="D10" s="138"/>
      <c r="E10" s="139"/>
      <c r="F10" s="2">
        <v>3000000</v>
      </c>
      <c r="G10" s="217"/>
    </row>
    <row r="11" spans="2:10" x14ac:dyDescent="0.25">
      <c r="B11" s="218" t="s">
        <v>89</v>
      </c>
      <c r="C11" s="218"/>
      <c r="D11" s="218"/>
      <c r="E11" s="218"/>
      <c r="F11" s="218"/>
      <c r="G11" s="218"/>
    </row>
    <row r="12" spans="2:10" x14ac:dyDescent="0.25">
      <c r="B12" s="142" t="s">
        <v>83</v>
      </c>
      <c r="C12" s="142"/>
      <c r="D12" s="142"/>
      <c r="E12" s="142"/>
      <c r="F12" s="142"/>
      <c r="G12" s="7">
        <v>21.6</v>
      </c>
    </row>
    <row r="13" spans="2:10" x14ac:dyDescent="0.25">
      <c r="B13" s="143" t="s">
        <v>84</v>
      </c>
      <c r="C13" s="143"/>
      <c r="D13" s="143"/>
      <c r="E13" s="143"/>
      <c r="F13" s="143"/>
      <c r="G13" s="7">
        <f>G12/12</f>
        <v>1.8</v>
      </c>
    </row>
    <row r="14" spans="2:10" x14ac:dyDescent="0.25">
      <c r="B14" s="6" t="s">
        <v>85</v>
      </c>
      <c r="C14" s="6" t="s">
        <v>86</v>
      </c>
      <c r="D14" s="6" t="s">
        <v>87</v>
      </c>
      <c r="E14" s="84" t="s">
        <v>91</v>
      </c>
      <c r="F14" s="84" t="s">
        <v>90</v>
      </c>
      <c r="G14" s="84" t="s">
        <v>88</v>
      </c>
    </row>
    <row r="15" spans="2:10" x14ac:dyDescent="0.25">
      <c r="B15" s="93">
        <v>2018</v>
      </c>
      <c r="C15" s="85">
        <f>G3/5</f>
        <v>7040000</v>
      </c>
      <c r="D15" s="2">
        <f>G12*G3/100</f>
        <v>7603200</v>
      </c>
      <c r="E15" s="8">
        <f>C15+D15</f>
        <v>14643200</v>
      </c>
      <c r="F15" s="2">
        <f>E15/12</f>
        <v>1220266.6666666667</v>
      </c>
      <c r="G15" s="2">
        <f>G3-C15</f>
        <v>28160000</v>
      </c>
    </row>
    <row r="16" spans="2:10" x14ac:dyDescent="0.25">
      <c r="B16" s="93">
        <v>2019</v>
      </c>
      <c r="C16" s="85">
        <f>G15/4</f>
        <v>7040000</v>
      </c>
      <c r="D16" s="2">
        <f>$G$12*G15/100</f>
        <v>6082560</v>
      </c>
      <c r="E16" s="8">
        <f>C16+D16</f>
        <v>13122560</v>
      </c>
      <c r="F16" s="2">
        <f>E16/12</f>
        <v>1093546.6666666667</v>
      </c>
      <c r="G16" s="2">
        <f>G15-C16</f>
        <v>21120000</v>
      </c>
    </row>
    <row r="17" spans="2:7" x14ac:dyDescent="0.25">
      <c r="B17" s="93">
        <v>2020</v>
      </c>
      <c r="C17" s="85">
        <f>G16/3</f>
        <v>7040000</v>
      </c>
      <c r="D17" s="2">
        <f>$G$12*G16/100</f>
        <v>4561920.0000000009</v>
      </c>
      <c r="E17" s="8">
        <f>C17+D17</f>
        <v>11601920</v>
      </c>
      <c r="F17" s="2">
        <f>E17/12</f>
        <v>966826.66666666663</v>
      </c>
      <c r="G17" s="2">
        <f>G16-C17</f>
        <v>14080000</v>
      </c>
    </row>
    <row r="18" spans="2:7" x14ac:dyDescent="0.25">
      <c r="B18" s="93">
        <v>2021</v>
      </c>
      <c r="C18" s="85">
        <f>G17/2</f>
        <v>7040000</v>
      </c>
      <c r="D18" s="2">
        <f>$G$12*G17/100</f>
        <v>3041280</v>
      </c>
      <c r="E18" s="8">
        <f>C18+D18</f>
        <v>10081280</v>
      </c>
      <c r="F18" s="2">
        <f>E18/12</f>
        <v>840106.66666666663</v>
      </c>
      <c r="G18" s="2">
        <f>G17-C18</f>
        <v>7040000</v>
      </c>
    </row>
    <row r="19" spans="2:7" x14ac:dyDescent="0.25">
      <c r="B19" s="93">
        <v>2022</v>
      </c>
      <c r="C19" s="85">
        <f>G18/1</f>
        <v>7040000</v>
      </c>
      <c r="D19" s="2">
        <f>$G$12*G18/100</f>
        <v>1520640</v>
      </c>
      <c r="E19" s="8">
        <f>C19+D19</f>
        <v>8560640</v>
      </c>
      <c r="F19" s="2">
        <f>E19/12</f>
        <v>713386.66666666663</v>
      </c>
      <c r="G19" s="2">
        <f>G18-C19</f>
        <v>0</v>
      </c>
    </row>
    <row r="20" spans="2:7" x14ac:dyDescent="0.25">
      <c r="F20" s="1"/>
    </row>
    <row r="21" spans="2:7" x14ac:dyDescent="0.25">
      <c r="B21" s="92" t="s">
        <v>107</v>
      </c>
      <c r="C21" s="2">
        <v>35200000</v>
      </c>
      <c r="D21" s="8" t="s">
        <v>151</v>
      </c>
      <c r="E21" s="2">
        <f>C23-C24</f>
        <v>-3675150</v>
      </c>
    </row>
    <row r="22" spans="2:7" x14ac:dyDescent="0.25">
      <c r="B22" s="92" t="s">
        <v>106</v>
      </c>
      <c r="C22" s="2">
        <f>Ingresos!I20</f>
        <v>37094850</v>
      </c>
      <c r="D22" s="92" t="s">
        <v>98</v>
      </c>
      <c r="E22" s="2">
        <v>3675150</v>
      </c>
    </row>
    <row r="23" spans="2:7" x14ac:dyDescent="0.25">
      <c r="B23" s="92" t="s">
        <v>15</v>
      </c>
      <c r="C23" s="2">
        <f>C21+C22</f>
        <v>72294850</v>
      </c>
      <c r="D23" s="8" t="s">
        <v>15</v>
      </c>
      <c r="E23" s="2">
        <v>0</v>
      </c>
    </row>
    <row r="24" spans="2:7" x14ac:dyDescent="0.25">
      <c r="B24" s="92" t="s">
        <v>97</v>
      </c>
      <c r="C24" s="2">
        <f>Gastos!H23</f>
        <v>75970000</v>
      </c>
    </row>
  </sheetData>
  <mergeCells count="15">
    <mergeCell ref="B13:F13"/>
    <mergeCell ref="B11:G11"/>
    <mergeCell ref="C5:E5"/>
    <mergeCell ref="C4:E4"/>
    <mergeCell ref="C3:E3"/>
    <mergeCell ref="B12:F12"/>
    <mergeCell ref="B1:G1"/>
    <mergeCell ref="B2:E2"/>
    <mergeCell ref="B4:B9"/>
    <mergeCell ref="C10:E10"/>
    <mergeCell ref="C9:E9"/>
    <mergeCell ref="C8:E8"/>
    <mergeCell ref="C7:E7"/>
    <mergeCell ref="C6:E6"/>
    <mergeCell ref="G3:G10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J16" sqref="J16"/>
    </sheetView>
  </sheetViews>
  <sheetFormatPr baseColWidth="10" defaultRowHeight="15" x14ac:dyDescent="0.25"/>
  <cols>
    <col min="2" max="2" width="32.5703125" bestFit="1" customWidth="1"/>
    <col min="3" max="3" width="10.85546875" bestFit="1" customWidth="1"/>
    <col min="4" max="5" width="10.140625" bestFit="1" customWidth="1"/>
    <col min="6" max="7" width="11.140625" bestFit="1" customWidth="1"/>
    <col min="8" max="8" width="13.28515625" customWidth="1"/>
  </cols>
  <sheetData>
    <row r="1" spans="2:7" x14ac:dyDescent="0.25">
      <c r="B1" s="211" t="s">
        <v>99</v>
      </c>
      <c r="C1" s="212"/>
      <c r="D1" s="212"/>
      <c r="E1" s="212"/>
      <c r="F1" s="212"/>
      <c r="G1" s="213"/>
    </row>
    <row r="2" spans="2:7" x14ac:dyDescent="0.25">
      <c r="B2" s="220" t="s">
        <v>100</v>
      </c>
      <c r="C2" s="219" t="s">
        <v>85</v>
      </c>
      <c r="D2" s="219"/>
      <c r="E2" s="219"/>
      <c r="F2" s="219"/>
      <c r="G2" s="219"/>
    </row>
    <row r="3" spans="2:7" x14ac:dyDescent="0.25">
      <c r="B3" s="221"/>
      <c r="C3" s="7">
        <v>2018</v>
      </c>
      <c r="D3" s="7">
        <v>2019</v>
      </c>
      <c r="E3" s="7">
        <v>2020</v>
      </c>
      <c r="F3" s="7">
        <v>2021</v>
      </c>
      <c r="G3" s="7">
        <v>2022</v>
      </c>
    </row>
    <row r="4" spans="2:7" x14ac:dyDescent="0.25">
      <c r="B4" s="7" t="s">
        <v>102</v>
      </c>
      <c r="C4" s="2">
        <f>Ingresos!I20</f>
        <v>37094850</v>
      </c>
      <c r="D4" s="2">
        <f>Ingresos!I21</f>
        <v>79247610</v>
      </c>
      <c r="E4" s="2">
        <f>Ingresos!I22</f>
        <v>90937938</v>
      </c>
      <c r="F4" s="2">
        <f>Ingresos!I23</f>
        <v>100290200.40000001</v>
      </c>
      <c r="G4" s="2">
        <f>Ingresos!I24</f>
        <v>107772010.31999999</v>
      </c>
    </row>
    <row r="5" spans="2:7" x14ac:dyDescent="0.25">
      <c r="B5" s="7" t="s">
        <v>103</v>
      </c>
      <c r="C5" s="2">
        <f>Finanaciamiento!G3</f>
        <v>35200000</v>
      </c>
      <c r="D5" s="7">
        <v>0</v>
      </c>
      <c r="E5" s="7">
        <v>0</v>
      </c>
      <c r="F5" s="7">
        <v>0</v>
      </c>
      <c r="G5" s="7">
        <v>0</v>
      </c>
    </row>
    <row r="6" spans="2:7" x14ac:dyDescent="0.25">
      <c r="B6" s="7" t="s">
        <v>104</v>
      </c>
      <c r="C6" s="2">
        <f>Finanaciamiento!E22</f>
        <v>3675150</v>
      </c>
      <c r="D6" s="7">
        <v>0</v>
      </c>
      <c r="E6" s="7">
        <v>0</v>
      </c>
      <c r="F6" s="7">
        <v>0</v>
      </c>
      <c r="G6" s="7">
        <v>0</v>
      </c>
    </row>
    <row r="7" spans="2:7" x14ac:dyDescent="0.25">
      <c r="B7" s="7" t="s">
        <v>101</v>
      </c>
      <c r="C7" s="2">
        <f>Gastos!H23</f>
        <v>75970000</v>
      </c>
      <c r="D7" s="2">
        <f>Gastos!H24</f>
        <v>28082000</v>
      </c>
      <c r="E7" s="2">
        <f>Gastos!H25</f>
        <v>27386100</v>
      </c>
      <c r="F7" s="2">
        <f>Gastos!H26</f>
        <v>28755405</v>
      </c>
      <c r="G7" s="2">
        <f>Gastos!H27</f>
        <v>30193175.25</v>
      </c>
    </row>
    <row r="8" spans="2:7" x14ac:dyDescent="0.25">
      <c r="B8" s="7" t="s">
        <v>81</v>
      </c>
      <c r="C8" s="2">
        <f>Finanaciamiento!E15</f>
        <v>14643200</v>
      </c>
      <c r="D8" s="2">
        <f>Finanaciamiento!E16</f>
        <v>13122560</v>
      </c>
      <c r="E8" s="2">
        <f>Finanaciamiento!E17</f>
        <v>11601920</v>
      </c>
      <c r="F8" s="2">
        <f>Finanaciamiento!E18</f>
        <v>10081280</v>
      </c>
      <c r="G8" s="2">
        <f>Finanaciamiento!E19</f>
        <v>8560640</v>
      </c>
    </row>
    <row r="9" spans="2:7" x14ac:dyDescent="0.25">
      <c r="B9" s="92" t="s">
        <v>105</v>
      </c>
      <c r="C9" s="8">
        <f>SUM(C4:C6)-SUM(C7:C8)</f>
        <v>-14643200</v>
      </c>
      <c r="D9" s="8">
        <f>SUM(D4:D6)-SUM(D7:D8)</f>
        <v>38043050</v>
      </c>
      <c r="E9" s="8">
        <f>SUM(E4:E6)-SUM(E7:E8)</f>
        <v>51949918</v>
      </c>
      <c r="F9" s="8">
        <f>SUM(F4:F6)-SUM(F7:F8)</f>
        <v>61453515.400000006</v>
      </c>
      <c r="G9" s="8">
        <f>SUM(G4:G6)-SUM(G7:G8)</f>
        <v>69018195.069999993</v>
      </c>
    </row>
  </sheetData>
  <mergeCells count="3">
    <mergeCell ref="C2:G2"/>
    <mergeCell ref="B1:G1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workbookViewId="0">
      <selection activeCell="K18" sqref="K18"/>
    </sheetView>
  </sheetViews>
  <sheetFormatPr baseColWidth="10" defaultRowHeight="15" x14ac:dyDescent="0.25"/>
  <cols>
    <col min="2" max="2" width="18" customWidth="1"/>
    <col min="3" max="4" width="12.5703125" bestFit="1" customWidth="1"/>
    <col min="5" max="7" width="10.140625" bestFit="1" customWidth="1"/>
    <col min="8" max="8" width="5.7109375" customWidth="1"/>
    <col min="9" max="9" width="5.42578125" bestFit="1" customWidth="1"/>
    <col min="10" max="10" width="27.42578125" customWidth="1"/>
    <col min="11" max="11" width="21.28515625" bestFit="1" customWidth="1"/>
    <col min="12" max="12" width="6.42578125" customWidth="1"/>
    <col min="13" max="13" width="5.42578125" bestFit="1" customWidth="1"/>
    <col min="14" max="14" width="21.7109375" customWidth="1"/>
    <col min="15" max="15" width="19" customWidth="1"/>
    <col min="16" max="16" width="15.140625" bestFit="1" customWidth="1"/>
    <col min="17" max="17" width="3.42578125" customWidth="1"/>
    <col min="18" max="18" width="15.140625" bestFit="1" customWidth="1"/>
  </cols>
  <sheetData>
    <row r="1" spans="2:18" x14ac:dyDescent="0.25">
      <c r="B1" s="222" t="s">
        <v>132</v>
      </c>
      <c r="C1" s="223"/>
      <c r="D1" s="223"/>
      <c r="E1" s="223"/>
      <c r="F1" s="223"/>
      <c r="G1" s="224"/>
      <c r="I1" s="222" t="s">
        <v>131</v>
      </c>
      <c r="J1" s="223"/>
      <c r="K1" s="224"/>
      <c r="M1" s="222" t="s">
        <v>136</v>
      </c>
      <c r="N1" s="223"/>
      <c r="O1" s="223"/>
      <c r="P1" s="223"/>
      <c r="Q1" s="223"/>
      <c r="R1" s="224"/>
    </row>
    <row r="2" spans="2:18" x14ac:dyDescent="0.25">
      <c r="B2" s="95"/>
      <c r="C2" s="94" t="s">
        <v>109</v>
      </c>
      <c r="D2" s="94" t="s">
        <v>110</v>
      </c>
      <c r="E2" s="94" t="s">
        <v>111</v>
      </c>
      <c r="F2" s="94" t="s">
        <v>112</v>
      </c>
      <c r="G2" s="94" t="s">
        <v>113</v>
      </c>
      <c r="I2" s="111" t="s">
        <v>125</v>
      </c>
      <c r="J2" s="7" t="s">
        <v>137</v>
      </c>
      <c r="K2" s="110">
        <v>0.111</v>
      </c>
      <c r="M2" s="232" t="s">
        <v>125</v>
      </c>
      <c r="N2" s="234" t="s">
        <v>137</v>
      </c>
      <c r="O2" s="235"/>
      <c r="P2" s="110">
        <v>0.111</v>
      </c>
      <c r="Q2" s="228" t="s">
        <v>135</v>
      </c>
      <c r="R2" s="229"/>
    </row>
    <row r="3" spans="2:18" x14ac:dyDescent="0.25">
      <c r="B3" s="97" t="s">
        <v>108</v>
      </c>
      <c r="C3" s="98">
        <f>'Pérdidas y Ganancias'!C9</f>
        <v>-14643200</v>
      </c>
      <c r="D3" s="98">
        <f>'Pérdidas y Ganancias'!D9</f>
        <v>38043050</v>
      </c>
      <c r="E3" s="98">
        <f>'Pérdidas y Ganancias'!E9</f>
        <v>51949918</v>
      </c>
      <c r="F3" s="98">
        <f>'Pérdidas y Ganancias'!F9</f>
        <v>61453515.400000006</v>
      </c>
      <c r="G3" s="98">
        <f>'Pérdidas y Ganancias'!G9</f>
        <v>69018195.069999993</v>
      </c>
      <c r="I3" s="112"/>
      <c r="J3" s="94" t="s">
        <v>126</v>
      </c>
      <c r="K3" s="94" t="s">
        <v>127</v>
      </c>
      <c r="M3" s="233"/>
      <c r="N3" s="94" t="s">
        <v>126</v>
      </c>
      <c r="O3" s="94" t="s">
        <v>133</v>
      </c>
      <c r="P3" s="94" t="s">
        <v>134</v>
      </c>
      <c r="Q3" s="230"/>
      <c r="R3" s="231"/>
    </row>
    <row r="4" spans="2:18" x14ac:dyDescent="0.25">
      <c r="B4" s="123"/>
      <c r="C4" s="105"/>
      <c r="D4" s="105"/>
      <c r="E4" s="122"/>
      <c r="F4" s="122"/>
      <c r="G4" s="122"/>
      <c r="I4" s="107">
        <v>0</v>
      </c>
      <c r="J4" s="101">
        <f>C7</f>
        <v>-14643200</v>
      </c>
      <c r="K4" s="108">
        <f>J4</f>
        <v>-14643200</v>
      </c>
      <c r="M4" s="107">
        <v>0</v>
      </c>
      <c r="N4" s="102">
        <f>J4</f>
        <v>-14643200</v>
      </c>
      <c r="O4" s="114">
        <f>N4</f>
        <v>-14643200</v>
      </c>
      <c r="P4" s="113">
        <f>O4</f>
        <v>-14643200</v>
      </c>
      <c r="Q4" s="7"/>
      <c r="R4" s="7"/>
    </row>
    <row r="5" spans="2:18" ht="17.25" x14ac:dyDescent="0.4">
      <c r="B5" s="222" t="s">
        <v>123</v>
      </c>
      <c r="C5" s="223"/>
      <c r="D5" s="223"/>
      <c r="E5" s="120"/>
      <c r="F5" s="121"/>
      <c r="G5" s="121"/>
      <c r="I5" s="107">
        <v>1</v>
      </c>
      <c r="J5" s="101">
        <f>C8</f>
        <v>38043050</v>
      </c>
      <c r="K5" s="7">
        <f>J5*(1+$K$2)^-I5</f>
        <v>34242169.216921695</v>
      </c>
      <c r="M5" s="107">
        <v>1</v>
      </c>
      <c r="N5" s="102">
        <f t="shared" ref="N5:N8" si="0">J5</f>
        <v>38043050</v>
      </c>
      <c r="O5" s="114">
        <f>N5*(1+$P$2)^-M5</f>
        <v>34242169.216921695</v>
      </c>
      <c r="P5" s="113">
        <f>P4+O5</f>
        <v>19598969.216921695</v>
      </c>
      <c r="Q5" s="7">
        <v>1</v>
      </c>
      <c r="R5" s="118">
        <f>P4*-1</f>
        <v>14643200</v>
      </c>
    </row>
    <row r="6" spans="2:18" x14ac:dyDescent="0.25">
      <c r="B6" s="141" t="s">
        <v>114</v>
      </c>
      <c r="C6" s="141"/>
      <c r="D6" s="100">
        <v>0.111</v>
      </c>
      <c r="I6" s="107">
        <v>2</v>
      </c>
      <c r="J6" s="101">
        <f>C9</f>
        <v>51949918</v>
      </c>
      <c r="K6" s="7">
        <f>J6*(1+$K$2)^-I6</f>
        <v>42087850.729267344</v>
      </c>
      <c r="M6" s="107">
        <v>2</v>
      </c>
      <c r="N6" s="102">
        <f t="shared" si="0"/>
        <v>51949918</v>
      </c>
      <c r="O6" s="114">
        <f t="shared" ref="O6:O8" si="1">N6*(1+$P$2)^-M6</f>
        <v>42087850.729267344</v>
      </c>
      <c r="P6" s="113">
        <f>P5+O6</f>
        <v>61686819.946189038</v>
      </c>
      <c r="Q6" s="7"/>
      <c r="R6" s="108">
        <f>O5</f>
        <v>34242169.216921695</v>
      </c>
    </row>
    <row r="7" spans="2:18" x14ac:dyDescent="0.25">
      <c r="B7" s="101" t="s">
        <v>115</v>
      </c>
      <c r="C7" s="102">
        <f>C3</f>
        <v>-14643200</v>
      </c>
      <c r="D7" s="90" t="s">
        <v>116</v>
      </c>
      <c r="I7" s="107">
        <v>3</v>
      </c>
      <c r="J7" s="101">
        <f>C10</f>
        <v>61453515.400000006</v>
      </c>
      <c r="K7" s="7">
        <f>J7*(1+$K$2)^-I7</f>
        <v>44813055.29884281</v>
      </c>
      <c r="M7" s="107">
        <v>3</v>
      </c>
      <c r="N7" s="102">
        <f t="shared" si="0"/>
        <v>61453515.400000006</v>
      </c>
      <c r="O7" s="114">
        <f t="shared" si="1"/>
        <v>44813055.29884281</v>
      </c>
      <c r="P7" s="113">
        <f>P6+O7</f>
        <v>106499875.24503185</v>
      </c>
      <c r="Q7" s="7"/>
      <c r="R7" s="7"/>
    </row>
    <row r="8" spans="2:18" x14ac:dyDescent="0.25">
      <c r="B8" s="101" t="s">
        <v>117</v>
      </c>
      <c r="C8" s="102">
        <f>D3</f>
        <v>38043050</v>
      </c>
      <c r="D8" s="140" t="s">
        <v>118</v>
      </c>
      <c r="I8" s="107">
        <v>4</v>
      </c>
      <c r="J8" s="101">
        <f>C11</f>
        <v>69018195.069999993</v>
      </c>
      <c r="K8" s="7">
        <f>J8*(1+$K$2)^-I8</f>
        <v>45300955.449730754</v>
      </c>
      <c r="M8" s="115">
        <v>4</v>
      </c>
      <c r="N8" s="116">
        <f t="shared" si="0"/>
        <v>69018195.069999993</v>
      </c>
      <c r="O8" s="114">
        <f t="shared" si="1"/>
        <v>45300955.449730754</v>
      </c>
      <c r="P8" s="117">
        <f>P7+O8</f>
        <v>151800830.69476259</v>
      </c>
      <c r="Q8" s="7"/>
      <c r="R8" s="7">
        <f>Q5+(R5/R6)</f>
        <v>1.4276364592218553</v>
      </c>
    </row>
    <row r="9" spans="2:18" x14ac:dyDescent="0.25">
      <c r="B9" s="101" t="s">
        <v>119</v>
      </c>
      <c r="C9" s="102">
        <f>E3</f>
        <v>51949918</v>
      </c>
      <c r="D9" s="140"/>
      <c r="I9" s="207" t="s">
        <v>128</v>
      </c>
      <c r="J9" s="207"/>
      <c r="K9" s="7">
        <f>SUM(K5:K8)</f>
        <v>166444030.69476262</v>
      </c>
      <c r="M9" s="225" t="s">
        <v>138</v>
      </c>
      <c r="N9" s="226"/>
      <c r="O9" s="226"/>
      <c r="P9" s="226"/>
      <c r="Q9" s="119"/>
      <c r="R9" s="7">
        <f>0.427636459*12</f>
        <v>5.1316375080000007</v>
      </c>
    </row>
    <row r="10" spans="2:18" x14ac:dyDescent="0.25">
      <c r="B10" s="101" t="s">
        <v>120</v>
      </c>
      <c r="C10" s="102">
        <f>F3</f>
        <v>61453515.400000006</v>
      </c>
      <c r="D10" s="140"/>
      <c r="I10" s="207" t="s">
        <v>129</v>
      </c>
      <c r="J10" s="207"/>
      <c r="K10" s="108">
        <f>K4*-1</f>
        <v>14643200</v>
      </c>
    </row>
    <row r="11" spans="2:18" x14ac:dyDescent="0.25">
      <c r="B11" s="101" t="s">
        <v>121</v>
      </c>
      <c r="C11" s="102">
        <f>G3</f>
        <v>69018195.069999993</v>
      </c>
      <c r="D11" s="140"/>
      <c r="I11" s="227" t="s">
        <v>130</v>
      </c>
      <c r="J11" s="227"/>
      <c r="K11" s="109">
        <f>K9/K10</f>
        <v>11.36664326750728</v>
      </c>
    </row>
    <row r="12" spans="2:18" x14ac:dyDescent="0.25">
      <c r="B12" s="103" t="s">
        <v>122</v>
      </c>
      <c r="C12" s="104">
        <f>NPV(D6,C8:C11)+C7</f>
        <v>151800830.69476262</v>
      </c>
      <c r="D12" s="104">
        <f>C12</f>
        <v>151800830.69476262</v>
      </c>
    </row>
    <row r="14" spans="2:18" x14ac:dyDescent="0.25">
      <c r="B14" s="222" t="s">
        <v>124</v>
      </c>
      <c r="C14" s="223"/>
      <c r="D14" s="223"/>
      <c r="F14" s="99"/>
    </row>
    <row r="15" spans="2:18" x14ac:dyDescent="0.25">
      <c r="B15" s="141" t="s">
        <v>114</v>
      </c>
      <c r="C15" s="141"/>
      <c r="D15" s="100">
        <v>0.111</v>
      </c>
    </row>
    <row r="16" spans="2:18" x14ac:dyDescent="0.25">
      <c r="B16" s="101" t="s">
        <v>115</v>
      </c>
      <c r="C16" s="102">
        <f>C7</f>
        <v>-14643200</v>
      </c>
      <c r="D16" s="90" t="s">
        <v>116</v>
      </c>
    </row>
    <row r="17" spans="2:8" x14ac:dyDescent="0.25">
      <c r="B17" s="101" t="s">
        <v>117</v>
      </c>
      <c r="C17" s="102">
        <f t="shared" ref="C17:C20" si="2">C8</f>
        <v>38043050</v>
      </c>
      <c r="D17" s="140" t="s">
        <v>118</v>
      </c>
    </row>
    <row r="18" spans="2:8" x14ac:dyDescent="0.25">
      <c r="B18" s="101" t="s">
        <v>119</v>
      </c>
      <c r="C18" s="102">
        <f t="shared" si="2"/>
        <v>51949918</v>
      </c>
      <c r="D18" s="140"/>
      <c r="H18" s="99"/>
    </row>
    <row r="19" spans="2:8" x14ac:dyDescent="0.25">
      <c r="B19" s="101" t="s">
        <v>120</v>
      </c>
      <c r="C19" s="102">
        <f t="shared" si="2"/>
        <v>61453515.400000006</v>
      </c>
      <c r="D19" s="140"/>
    </row>
    <row r="20" spans="2:8" x14ac:dyDescent="0.25">
      <c r="B20" s="101" t="s">
        <v>121</v>
      </c>
      <c r="C20" s="102">
        <f t="shared" si="2"/>
        <v>69018195.069999993</v>
      </c>
      <c r="D20" s="140"/>
    </row>
    <row r="21" spans="2:8" x14ac:dyDescent="0.25">
      <c r="B21" s="103" t="s">
        <v>122</v>
      </c>
      <c r="C21" s="106">
        <f>IRR(C16:C20)</f>
        <v>2.8743325076938024</v>
      </c>
      <c r="D21" s="106">
        <f>C21</f>
        <v>2.8743325076938024</v>
      </c>
    </row>
  </sheetData>
  <mergeCells count="16">
    <mergeCell ref="Q2:R3"/>
    <mergeCell ref="M1:R1"/>
    <mergeCell ref="I1:K1"/>
    <mergeCell ref="M2:M3"/>
    <mergeCell ref="N2:O2"/>
    <mergeCell ref="B14:D14"/>
    <mergeCell ref="B15:C15"/>
    <mergeCell ref="D17:D20"/>
    <mergeCell ref="I9:J9"/>
    <mergeCell ref="I10:J10"/>
    <mergeCell ref="I11:J11"/>
    <mergeCell ref="B1:G1"/>
    <mergeCell ref="B6:C6"/>
    <mergeCell ref="D8:D11"/>
    <mergeCell ref="B5:D5"/>
    <mergeCell ref="M9:P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Ingresos</vt:lpstr>
      <vt:lpstr>Gastos</vt:lpstr>
      <vt:lpstr>Finanaciamiento</vt:lpstr>
      <vt:lpstr>Pérdidas y Ganancias</vt:lpstr>
      <vt:lpstr>Valoración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</dc:creator>
  <cp:lastModifiedBy>Alejo</cp:lastModifiedBy>
  <dcterms:created xsi:type="dcterms:W3CDTF">2017-06-10T15:57:01Z</dcterms:created>
  <dcterms:modified xsi:type="dcterms:W3CDTF">2018-01-13T22:36:40Z</dcterms:modified>
</cp:coreProperties>
</file>