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600" windowHeight="11760" tabRatio="830" firstSheet="2" activeTab="6"/>
  </bookViews>
  <sheets>
    <sheet name="CANALES" sheetId="1" r:id="rId1"/>
    <sheet name="Cableado Estructurado" sheetId="2" r:id="rId2"/>
    <sheet name="Costos Soporte" sheetId="7" r:id="rId3"/>
    <sheet name="nomina operativa" sheetId="13" r:id="rId4"/>
    <sheet name="Costos administrativos " sheetId="5" r:id="rId5"/>
    <sheet name="Estimacion Total costos" sheetId="8" r:id="rId6"/>
    <sheet name="PRESUPUESTO" sheetId="9" r:id="rId7"/>
    <sheet name="AIU" sheetId="11" r:id="rId8"/>
    <sheet name="costo VS tiempo" sheetId="12" r:id="rId9"/>
    <sheet name="Informacion sobrecosto riesgos" sheetId="15" r:id="rId10"/>
    <sheet name="AIU REAL" sheetId="16" r:id="rId11"/>
    <sheet name="costos de soporte " sheetId="6" state="hidden" r:id="rId12"/>
  </sheets>
  <calcPr calcId="152510"/>
</workbook>
</file>

<file path=xl/calcChain.xml><?xml version="1.0" encoding="utf-8"?>
<calcChain xmlns="http://schemas.openxmlformats.org/spreadsheetml/2006/main">
  <c r="G9" i="16" l="1"/>
  <c r="G8" i="16"/>
  <c r="F8" i="16"/>
  <c r="C56" i="15" l="1"/>
  <c r="C55" i="15"/>
  <c r="C53" i="15"/>
  <c r="C52" i="15"/>
  <c r="C51" i="15"/>
  <c r="C50" i="15"/>
  <c r="H38" i="12"/>
  <c r="H36" i="12"/>
  <c r="H37" i="12"/>
  <c r="I12" i="12"/>
  <c r="C36" i="15"/>
  <c r="C35" i="15"/>
  <c r="C34" i="15"/>
  <c r="C33" i="15"/>
  <c r="C32" i="15"/>
  <c r="C31" i="15"/>
  <c r="C17" i="15"/>
  <c r="C16" i="15"/>
  <c r="C8" i="15"/>
  <c r="C15" i="15"/>
  <c r="C18" i="15" s="1"/>
  <c r="C9" i="15"/>
  <c r="C7" i="15"/>
  <c r="D12" i="9"/>
  <c r="M11" i="12"/>
  <c r="J13" i="12" s="1"/>
  <c r="L11" i="12"/>
  <c r="I4" i="12"/>
  <c r="I8" i="12" s="1"/>
  <c r="I7" i="12"/>
  <c r="I14" i="12"/>
  <c r="I15" i="12"/>
  <c r="I6" i="12"/>
  <c r="I5" i="12"/>
  <c r="I61" i="13"/>
  <c r="I63" i="13"/>
  <c r="I45" i="13"/>
  <c r="I13" i="12"/>
  <c r="I22" i="13"/>
  <c r="C10" i="15" l="1"/>
  <c r="J12" i="12"/>
  <c r="J15" i="12"/>
  <c r="D6" i="8"/>
  <c r="I27" i="1"/>
  <c r="I18" i="1"/>
  <c r="D6" i="1"/>
  <c r="G6" i="1"/>
  <c r="E6" i="1"/>
  <c r="H6" i="1"/>
  <c r="I6" i="1"/>
  <c r="I7" i="1"/>
  <c r="I8" i="1"/>
  <c r="I9" i="1"/>
  <c r="I10" i="1"/>
  <c r="I11" i="1"/>
  <c r="I12" i="1"/>
  <c r="I13" i="1"/>
  <c r="I14" i="1"/>
  <c r="I15" i="1"/>
  <c r="I16" i="1"/>
  <c r="I17" i="1"/>
  <c r="I10" i="13"/>
  <c r="I19" i="1"/>
  <c r="D20" i="1"/>
  <c r="G20" i="1"/>
  <c r="E20" i="1"/>
  <c r="H20" i="1"/>
  <c r="I20" i="1"/>
  <c r="D21" i="1"/>
  <c r="G21" i="1"/>
  <c r="E21" i="1"/>
  <c r="H21" i="1"/>
  <c r="I21" i="1"/>
  <c r="D22" i="1"/>
  <c r="G22" i="1"/>
  <c r="E22" i="1"/>
  <c r="H22" i="1"/>
  <c r="I22" i="1"/>
  <c r="D23" i="1"/>
  <c r="G23" i="1"/>
  <c r="E23" i="1"/>
  <c r="H23" i="1"/>
  <c r="I23" i="1"/>
  <c r="D24" i="1"/>
  <c r="G24" i="1"/>
  <c r="E24" i="1"/>
  <c r="H24" i="1"/>
  <c r="I24" i="1"/>
  <c r="D25" i="1"/>
  <c r="G25" i="1"/>
  <c r="E25" i="1"/>
  <c r="H25" i="1"/>
  <c r="I25" i="1"/>
  <c r="D26" i="1"/>
  <c r="G26" i="1"/>
  <c r="E26" i="1"/>
  <c r="H26" i="1"/>
  <c r="I26" i="1"/>
  <c r="D3" i="8"/>
  <c r="D7" i="8"/>
  <c r="G21" i="9"/>
  <c r="H64" i="13"/>
  <c r="H8" i="13"/>
  <c r="H9" i="13"/>
  <c r="H10" i="13"/>
  <c r="H11" i="13"/>
  <c r="H12" i="13"/>
  <c r="H13" i="13"/>
  <c r="H14" i="13"/>
  <c r="H15" i="13"/>
  <c r="H16" i="13"/>
  <c r="H17" i="13"/>
  <c r="H18" i="13"/>
  <c r="H19" i="13"/>
  <c r="H20" i="13"/>
  <c r="H21" i="13"/>
  <c r="H22" i="13"/>
  <c r="H23" i="13"/>
  <c r="H24" i="13"/>
  <c r="H25" i="13"/>
  <c r="H26" i="13"/>
  <c r="H27" i="13"/>
  <c r="H28" i="13"/>
  <c r="H29" i="13"/>
  <c r="H30" i="13"/>
  <c r="H31" i="13"/>
  <c r="H32" i="13"/>
  <c r="H33" i="13"/>
  <c r="H34" i="13"/>
  <c r="H35" i="13"/>
  <c r="H36" i="13"/>
  <c r="H37" i="13"/>
  <c r="H38" i="13"/>
  <c r="H39" i="13"/>
  <c r="H40" i="13"/>
  <c r="H41" i="13"/>
  <c r="H42" i="13"/>
  <c r="H43" i="13"/>
  <c r="H44" i="13"/>
  <c r="H45" i="13"/>
  <c r="H46" i="13"/>
  <c r="H47" i="13"/>
  <c r="H48" i="13"/>
  <c r="H49" i="13"/>
  <c r="H50" i="13"/>
  <c r="H51" i="13"/>
  <c r="H52" i="13"/>
  <c r="H53" i="13"/>
  <c r="H54" i="13"/>
  <c r="H55" i="13"/>
  <c r="H56" i="13"/>
  <c r="H57" i="13"/>
  <c r="H58" i="13"/>
  <c r="H59" i="13"/>
  <c r="H60" i="13"/>
  <c r="H61" i="13"/>
  <c r="H62" i="13"/>
  <c r="H63" i="13"/>
  <c r="H7" i="13"/>
  <c r="E68" i="13"/>
  <c r="E85" i="13"/>
  <c r="E81" i="13"/>
  <c r="E80" i="13"/>
  <c r="E83" i="13"/>
  <c r="E84" i="13"/>
  <c r="E82" i="13"/>
  <c r="E75" i="13"/>
  <c r="E77" i="13"/>
  <c r="E78" i="13"/>
  <c r="E79" i="13"/>
  <c r="E76" i="13"/>
  <c r="E74" i="13"/>
  <c r="E73" i="13"/>
  <c r="E72" i="13"/>
  <c r="E71" i="13"/>
  <c r="E69" i="13"/>
  <c r="E70" i="13"/>
  <c r="G50" i="13"/>
  <c r="G46" i="13"/>
  <c r="G49" i="13"/>
  <c r="G33" i="13"/>
  <c r="G34" i="13"/>
  <c r="G35" i="13"/>
  <c r="G36" i="13"/>
  <c r="G37" i="13"/>
  <c r="G38" i="13"/>
  <c r="G39" i="13"/>
  <c r="G40" i="13"/>
  <c r="G41" i="13"/>
  <c r="G42" i="13"/>
  <c r="G43" i="13"/>
  <c r="G44" i="13"/>
  <c r="G45" i="13"/>
  <c r="G47" i="13"/>
  <c r="G48" i="13"/>
  <c r="G51" i="13"/>
  <c r="G52" i="13"/>
  <c r="G53" i="13"/>
  <c r="G54" i="13"/>
  <c r="G55" i="13"/>
  <c r="G56" i="13"/>
  <c r="G57" i="13"/>
  <c r="G58" i="13"/>
  <c r="G59" i="13"/>
  <c r="G60" i="13"/>
  <c r="G61" i="13"/>
  <c r="G62" i="13"/>
  <c r="G63" i="13"/>
  <c r="G7" i="13"/>
  <c r="G8" i="13"/>
  <c r="G9" i="13"/>
  <c r="G10" i="13"/>
  <c r="G11" i="13"/>
  <c r="G12" i="13"/>
  <c r="G13" i="13"/>
  <c r="G14" i="13"/>
  <c r="G15" i="13"/>
  <c r="G16" i="13"/>
  <c r="G17" i="13"/>
  <c r="G18" i="13"/>
  <c r="G19" i="13"/>
  <c r="G20" i="13"/>
  <c r="G21" i="13"/>
  <c r="G22" i="13"/>
  <c r="G23" i="13"/>
  <c r="G24" i="13"/>
  <c r="G25" i="13"/>
  <c r="G26" i="13"/>
  <c r="G27" i="13"/>
  <c r="G28" i="13"/>
  <c r="G29" i="13"/>
  <c r="G30" i="13"/>
  <c r="G31" i="13"/>
  <c r="G32" i="13"/>
  <c r="G20" i="9"/>
  <c r="I20" i="5"/>
  <c r="J20" i="5"/>
  <c r="K20" i="5"/>
  <c r="L20" i="5"/>
  <c r="M20" i="5"/>
  <c r="H20" i="5"/>
  <c r="N20" i="5"/>
  <c r="N25" i="5"/>
  <c r="G20" i="5"/>
  <c r="F20" i="5"/>
  <c r="D20" i="5"/>
  <c r="F8" i="5"/>
  <c r="O22" i="5"/>
  <c r="D36" i="1"/>
  <c r="G36" i="1"/>
  <c r="E36" i="1"/>
  <c r="H36" i="1"/>
  <c r="I36" i="1"/>
  <c r="G17" i="9"/>
  <c r="G6" i="9"/>
  <c r="G7" i="9"/>
  <c r="G8" i="9"/>
  <c r="G9" i="9"/>
  <c r="G10" i="9"/>
  <c r="G11" i="9"/>
  <c r="G12" i="9"/>
  <c r="G13" i="9"/>
  <c r="G14" i="9"/>
  <c r="G15" i="9"/>
  <c r="G16" i="9"/>
  <c r="G18" i="9"/>
  <c r="G19" i="9"/>
  <c r="D6" i="9"/>
  <c r="D7" i="9"/>
  <c r="D8" i="9"/>
  <c r="D9" i="9"/>
  <c r="D10" i="9"/>
  <c r="D11" i="9"/>
  <c r="D13" i="9"/>
  <c r="D8" i="11" s="1"/>
  <c r="M16" i="5"/>
  <c r="N16" i="5"/>
  <c r="M17" i="5"/>
  <c r="N17" i="5"/>
  <c r="M18" i="5"/>
  <c r="N18" i="5"/>
  <c r="M19" i="5"/>
  <c r="N19" i="5"/>
  <c r="M21" i="5"/>
  <c r="N21" i="5"/>
  <c r="M22" i="5"/>
  <c r="N22" i="5"/>
  <c r="M23" i="5"/>
  <c r="N23" i="5"/>
  <c r="M24" i="5"/>
  <c r="N24" i="5"/>
  <c r="D9" i="5"/>
  <c r="F9" i="5"/>
  <c r="F5" i="5"/>
  <c r="F6" i="5"/>
  <c r="F7" i="5"/>
  <c r="F10" i="5"/>
  <c r="E4" i="2"/>
  <c r="F4" i="2"/>
  <c r="H4" i="2"/>
  <c r="I4" i="2"/>
  <c r="J4" i="2"/>
  <c r="E5" i="2"/>
  <c r="F5" i="2"/>
  <c r="H5" i="2"/>
  <c r="I5" i="2"/>
  <c r="J5" i="2"/>
  <c r="E6" i="2"/>
  <c r="F6" i="2"/>
  <c r="H6" i="2"/>
  <c r="I6" i="2"/>
  <c r="J6" i="2"/>
  <c r="E7" i="2"/>
  <c r="F7" i="2"/>
  <c r="H7" i="2"/>
  <c r="I7" i="2"/>
  <c r="J7" i="2"/>
  <c r="E8" i="2"/>
  <c r="F8" i="2"/>
  <c r="H8" i="2"/>
  <c r="I8" i="2"/>
  <c r="J8" i="2"/>
  <c r="E9" i="2"/>
  <c r="F9" i="2"/>
  <c r="H9" i="2"/>
  <c r="I9" i="2"/>
  <c r="J9" i="2"/>
  <c r="E10" i="2"/>
  <c r="F10" i="2"/>
  <c r="H10" i="2"/>
  <c r="I10" i="2"/>
  <c r="J10" i="2"/>
  <c r="E11" i="2"/>
  <c r="F11" i="2"/>
  <c r="H11" i="2"/>
  <c r="I11" i="2"/>
  <c r="J11" i="2"/>
  <c r="E12" i="2"/>
  <c r="F12" i="2"/>
  <c r="H12" i="2"/>
  <c r="I12" i="2"/>
  <c r="J12" i="2"/>
  <c r="E13" i="2"/>
  <c r="F13" i="2"/>
  <c r="H13" i="2"/>
  <c r="I13" i="2"/>
  <c r="J13" i="2"/>
  <c r="E14" i="2"/>
  <c r="F14" i="2"/>
  <c r="H14" i="2"/>
  <c r="I14" i="2"/>
  <c r="J14" i="2"/>
  <c r="E15" i="2"/>
  <c r="F15" i="2"/>
  <c r="H15" i="2"/>
  <c r="I15" i="2"/>
  <c r="J15" i="2"/>
  <c r="E16" i="2"/>
  <c r="F16" i="2"/>
  <c r="H16" i="2"/>
  <c r="I16" i="2"/>
  <c r="J16" i="2"/>
  <c r="E17" i="2"/>
  <c r="F17" i="2"/>
  <c r="H17" i="2"/>
  <c r="I17" i="2"/>
  <c r="J17" i="2"/>
  <c r="E18" i="2"/>
  <c r="F18" i="2"/>
  <c r="H18" i="2"/>
  <c r="I18" i="2"/>
  <c r="J18" i="2"/>
  <c r="E19" i="2"/>
  <c r="F19" i="2"/>
  <c r="H19" i="2"/>
  <c r="I19" i="2"/>
  <c r="J19" i="2"/>
  <c r="E20" i="2"/>
  <c r="F20" i="2"/>
  <c r="H20" i="2"/>
  <c r="I20" i="2"/>
  <c r="J20" i="2"/>
  <c r="E21" i="2"/>
  <c r="F21" i="2"/>
  <c r="H21" i="2"/>
  <c r="I21" i="2"/>
  <c r="J21" i="2"/>
  <c r="E22" i="2"/>
  <c r="F22" i="2"/>
  <c r="H22" i="2"/>
  <c r="I22" i="2"/>
  <c r="J22" i="2"/>
  <c r="E23" i="2"/>
  <c r="F23" i="2"/>
  <c r="H23" i="2"/>
  <c r="I23" i="2"/>
  <c r="J23" i="2"/>
  <c r="E24" i="2"/>
  <c r="F24" i="2"/>
  <c r="H24" i="2"/>
  <c r="I24" i="2"/>
  <c r="J24" i="2"/>
  <c r="F16" i="5"/>
  <c r="G16" i="5"/>
  <c r="H16" i="5"/>
  <c r="I16" i="5"/>
  <c r="J16" i="5"/>
  <c r="K16" i="5"/>
  <c r="L16" i="5"/>
  <c r="F17" i="5"/>
  <c r="G17" i="5"/>
  <c r="H17" i="5"/>
  <c r="I17" i="5"/>
  <c r="J17" i="5"/>
  <c r="K17" i="5"/>
  <c r="L17" i="5"/>
  <c r="F18" i="5"/>
  <c r="G18" i="5"/>
  <c r="H18" i="5"/>
  <c r="I18" i="5"/>
  <c r="J18" i="5"/>
  <c r="K18" i="5"/>
  <c r="L18" i="5"/>
  <c r="D19" i="5"/>
  <c r="F19" i="5"/>
  <c r="G19" i="5"/>
  <c r="H19" i="5"/>
  <c r="I19" i="5"/>
  <c r="J19" i="5"/>
  <c r="K19" i="5"/>
  <c r="L19" i="5"/>
  <c r="F21" i="5"/>
  <c r="G21" i="5"/>
  <c r="H21" i="5"/>
  <c r="I21" i="5"/>
  <c r="J21" i="5"/>
  <c r="K21" i="5"/>
  <c r="L21" i="5"/>
  <c r="F22" i="5"/>
  <c r="G22" i="5"/>
  <c r="H22" i="5"/>
  <c r="I22" i="5"/>
  <c r="J22" i="5"/>
  <c r="K22" i="5"/>
  <c r="L22" i="5"/>
  <c r="F23" i="5"/>
  <c r="G23" i="5"/>
  <c r="H23" i="5"/>
  <c r="I23" i="5"/>
  <c r="J23" i="5"/>
  <c r="K23" i="5"/>
  <c r="L23" i="5"/>
  <c r="F24" i="5"/>
  <c r="G24" i="5"/>
  <c r="H24" i="5"/>
  <c r="I24" i="5"/>
  <c r="J24" i="5"/>
  <c r="K24" i="5"/>
  <c r="L24" i="5"/>
  <c r="J26" i="2"/>
  <c r="J27" i="2"/>
  <c r="J28" i="2"/>
  <c r="D4" i="8"/>
  <c r="E8" i="7"/>
  <c r="H8" i="7"/>
  <c r="E9" i="7"/>
  <c r="H9" i="7"/>
  <c r="H10" i="7"/>
  <c r="I7" i="7"/>
  <c r="C10" i="7"/>
  <c r="D32" i="1"/>
  <c r="G32" i="1"/>
  <c r="E32" i="1"/>
  <c r="H32" i="1"/>
  <c r="I32" i="1"/>
  <c r="E7" i="7"/>
  <c r="D7" i="7"/>
  <c r="D33" i="1"/>
  <c r="G33" i="1"/>
  <c r="E33" i="1"/>
  <c r="H33" i="1"/>
  <c r="I33" i="1"/>
  <c r="D34" i="1"/>
  <c r="G34" i="1"/>
  <c r="E34" i="1"/>
  <c r="H34" i="1"/>
  <c r="I34" i="1"/>
  <c r="D35" i="1"/>
  <c r="G35" i="1"/>
  <c r="E35" i="1"/>
  <c r="H35" i="1"/>
  <c r="I35" i="1"/>
  <c r="I37" i="1"/>
  <c r="B39" i="1"/>
  <c r="B40" i="1"/>
  <c r="C7" i="7"/>
  <c r="H12" i="1"/>
  <c r="H13" i="1"/>
  <c r="G12" i="1"/>
  <c r="G13" i="1"/>
  <c r="D12" i="1"/>
  <c r="D13" i="1"/>
  <c r="E12" i="1"/>
  <c r="E13" i="1"/>
  <c r="F10" i="7"/>
  <c r="D10" i="7"/>
  <c r="I8" i="7"/>
  <c r="F7" i="7"/>
  <c r="G7" i="7"/>
  <c r="H8" i="1"/>
  <c r="H9" i="1"/>
  <c r="H10" i="1"/>
  <c r="H11" i="1"/>
  <c r="H14" i="1"/>
  <c r="H15" i="1"/>
  <c r="H16" i="1"/>
  <c r="H17" i="1"/>
  <c r="H19" i="1"/>
  <c r="G7" i="1"/>
  <c r="D15" i="1"/>
  <c r="G16" i="1"/>
  <c r="G10" i="1"/>
  <c r="G15" i="1"/>
  <c r="G9" i="1"/>
  <c r="G14" i="1"/>
  <c r="G8" i="1"/>
  <c r="G19" i="1"/>
  <c r="G11" i="1"/>
  <c r="G17" i="1"/>
  <c r="H7" i="1"/>
  <c r="E7" i="5"/>
  <c r="D19" i="1"/>
  <c r="E19" i="1"/>
  <c r="D16" i="1"/>
  <c r="E16" i="1"/>
  <c r="E15" i="1"/>
  <c r="E7" i="1"/>
  <c r="E8" i="1"/>
  <c r="E9" i="1"/>
  <c r="E10" i="1"/>
  <c r="E11" i="1"/>
  <c r="E14" i="1"/>
  <c r="E17" i="1"/>
  <c r="D7" i="1"/>
  <c r="D8" i="1"/>
  <c r="D9" i="1"/>
  <c r="D10" i="1"/>
  <c r="D11" i="1"/>
  <c r="D14" i="1"/>
  <c r="D17" i="1"/>
  <c r="E5" i="5"/>
  <c r="E6" i="5"/>
  <c r="E8" i="5"/>
  <c r="E10" i="5"/>
  <c r="E27" i="2"/>
  <c r="H27" i="2"/>
  <c r="F26" i="2"/>
  <c r="F27" i="2"/>
  <c r="I27" i="2"/>
  <c r="E26" i="2"/>
  <c r="H26" i="2"/>
  <c r="I26" i="2"/>
  <c r="I9" i="7"/>
  <c r="E9" i="5"/>
  <c r="F11" i="5"/>
  <c r="G10" i="7"/>
  <c r="H11" i="7"/>
  <c r="I10" i="7"/>
  <c r="G22" i="9"/>
  <c r="I11" i="7"/>
  <c r="G23" i="9"/>
  <c r="D7" i="11" s="1"/>
  <c r="D5" i="8"/>
  <c r="D8" i="8"/>
  <c r="G2" i="9" l="1"/>
  <c r="J14" i="12"/>
  <c r="D9" i="11"/>
  <c r="D11" i="11" l="1"/>
  <c r="E10" i="11" s="1"/>
  <c r="E9" i="11" l="1"/>
  <c r="D4" i="12"/>
  <c r="D35" i="12" s="1"/>
  <c r="E35" i="12" s="1"/>
  <c r="D5" i="12" l="1"/>
  <c r="D36" i="12" s="1"/>
  <c r="E36" i="12" s="1"/>
  <c r="D6" i="12" l="1"/>
  <c r="D7" i="12" s="1"/>
  <c r="D37" i="12" l="1"/>
  <c r="E37" i="12" s="1"/>
  <c r="D8" i="12"/>
  <c r="D39" i="12" s="1"/>
  <c r="D38" i="12"/>
  <c r="E38" i="12" l="1"/>
  <c r="E39" i="12" s="1"/>
</calcChain>
</file>

<file path=xl/comments1.xml><?xml version="1.0" encoding="utf-8"?>
<comments xmlns="http://schemas.openxmlformats.org/spreadsheetml/2006/main">
  <authors>
    <author>Jorge Beltrán Cruz</author>
  </authors>
  <commentList>
    <comment ref="M11" authorId="0">
      <text>
        <r>
          <rPr>
            <b/>
            <sz val="9"/>
            <color indexed="81"/>
            <rFont val="Tahoma"/>
            <family val="2"/>
          </rPr>
          <t xml:space="preserve">SE DIVIDE EN  31 PORUQE ESOS SON LOS DIAS QUE SE USAN LAS HERRAMIENTAS </t>
        </r>
      </text>
    </comment>
  </commentList>
</comments>
</file>

<file path=xl/sharedStrings.xml><?xml version="1.0" encoding="utf-8"?>
<sst xmlns="http://schemas.openxmlformats.org/spreadsheetml/2006/main" count="451" uniqueCount="264">
  <si>
    <t xml:space="preserve">Concepto </t>
  </si>
  <si>
    <t xml:space="preserve">CANTIDAD </t>
  </si>
  <si>
    <t xml:space="preserve">UNIDAD </t>
  </si>
  <si>
    <t xml:space="preserve">COSTO UNIDAD SIN IVA </t>
  </si>
  <si>
    <t xml:space="preserve">IVA </t>
  </si>
  <si>
    <t>COSTO UND CON IVA</t>
  </si>
  <si>
    <t xml:space="preserve">COSTO TOTAL SIN IVA </t>
  </si>
  <si>
    <t>IVA</t>
  </si>
  <si>
    <t xml:space="preserve">COSTO TOTAL CON IVA </t>
  </si>
  <si>
    <t>Renta canal 17m principal</t>
  </si>
  <si>
    <t xml:space="preserve">MES </t>
  </si>
  <si>
    <t>Renta canal 17m backup</t>
  </si>
  <si>
    <t>Renta canal 9m principal</t>
  </si>
  <si>
    <t>Renta canal 9m backup</t>
  </si>
  <si>
    <t>Renta canal 4.5m principal</t>
  </si>
  <si>
    <t>Renta canal 4.5m backup</t>
  </si>
  <si>
    <t>Renta canal 2.5m principal</t>
  </si>
  <si>
    <t>Renta canal 2.5m backup</t>
  </si>
  <si>
    <t>Renta canal 1.3m principal</t>
  </si>
  <si>
    <t>Renta canal 1.3m backup</t>
  </si>
  <si>
    <t xml:space="preserve">Canal de internet </t>
  </si>
  <si>
    <t xml:space="preserve">Licencia uso de frecuencias </t>
  </si>
  <si>
    <t>UN</t>
  </si>
  <si>
    <t xml:space="preserve">Costo uso de herramientas </t>
  </si>
  <si>
    <t>Router cisco 2801</t>
  </si>
  <si>
    <t>Router cisco 1941</t>
  </si>
  <si>
    <t>SW-c3560g-24ts-s</t>
  </si>
  <si>
    <t>SW-c3560g-48ts-s</t>
  </si>
  <si>
    <t>Tarjetas de voz FXO a200</t>
  </si>
  <si>
    <t>Servidor para voz</t>
  </si>
  <si>
    <t xml:space="preserve">costo logistica  equipos y materiales </t>
  </si>
  <si>
    <t xml:space="preserve">TABLA DE PRECIO EQUIPOS ULTIMA MILLA </t>
  </si>
  <si>
    <t xml:space="preserve">EQUIPO </t>
  </si>
  <si>
    <t>CANTIDAD</t>
  </si>
  <si>
    <t>PRECIO SIN IVA</t>
  </si>
  <si>
    <t>PRECIO CON IVA</t>
  </si>
  <si>
    <t>PRECIO TOTAL SIN IVA</t>
  </si>
  <si>
    <t>PRECIO TOTAL CON IVA</t>
  </si>
  <si>
    <t xml:space="preserve">Equipos fibridge </t>
  </si>
  <si>
    <t xml:space="preserve">Radios no licenciados </t>
  </si>
  <si>
    <t xml:space="preserve">Radios licenciados </t>
  </si>
  <si>
    <t xml:space="preserve">Modem g punto </t>
  </si>
  <si>
    <t>Modem Satelital</t>
  </si>
  <si>
    <t>Total</t>
  </si>
  <si>
    <t xml:space="preserve">Valor anual </t>
  </si>
  <si>
    <t>LA VIDA UTIL DE LOS EQUIPOS ES DE 8 AÑOS </t>
  </si>
  <si>
    <t xml:space="preserve">Valor mensual </t>
  </si>
  <si>
    <t>ESTE VALOR ESTA INCLUIDO EN EL COSTO DE LOS CANALES</t>
  </si>
  <si>
    <t xml:space="preserve">DESCRIPCION </t>
  </si>
  <si>
    <t>UND</t>
  </si>
  <si>
    <t>CANT</t>
  </si>
  <si>
    <t xml:space="preserve">PRECIO  SIN IVA </t>
  </si>
  <si>
    <t xml:space="preserve">PRECIO CON IVA </t>
  </si>
  <si>
    <t xml:space="preserve">PRECIO TOTAL SIN IVA </t>
  </si>
  <si>
    <t xml:space="preserve">PRECIO TOTAL CON IVA </t>
  </si>
  <si>
    <t xml:space="preserve">SOLUCION ELECTRICA </t>
  </si>
  <si>
    <t>amarres</t>
  </si>
  <si>
    <t>x 100</t>
  </si>
  <si>
    <t xml:space="preserve">Cinta de enmascarar </t>
  </si>
  <si>
    <t xml:space="preserve">Cinta aislante </t>
  </si>
  <si>
    <t>Uniones de cobre</t>
  </si>
  <si>
    <t>Tomas dobles</t>
  </si>
  <si>
    <t>Patchcore</t>
  </si>
  <si>
    <t xml:space="preserve">Regleta energía </t>
  </si>
  <si>
    <t>Marcaciones en acrílico</t>
  </si>
  <si>
    <t xml:space="preserve">Marquillas </t>
  </si>
  <si>
    <t>Aisladores de barraje</t>
  </si>
  <si>
    <t>Terminal cobre 2</t>
  </si>
  <si>
    <t>Totalizador regulable</t>
  </si>
  <si>
    <t>Tablero eléctrico</t>
  </si>
  <si>
    <t>Caja metálica eléctrica</t>
  </si>
  <si>
    <t xml:space="preserve">Sistemas de conductividad </t>
  </si>
  <si>
    <t>Breakers</t>
  </si>
  <si>
    <t>Ups</t>
  </si>
  <si>
    <t>Regulador de 8 KVA trifásico, indicadores de falla por fase</t>
  </si>
  <si>
    <t>Protector de picos</t>
  </si>
  <si>
    <t xml:space="preserve">Cable eléctrico </t>
  </si>
  <si>
    <t xml:space="preserve">Polo a tierra </t>
  </si>
  <si>
    <t xml:space="preserve">RED INTERNA </t>
  </si>
  <si>
    <t xml:space="preserve">Puntos de conexión </t>
  </si>
  <si>
    <t>Rack (Incluida  bandeja y multitoma)</t>
  </si>
  <si>
    <t xml:space="preserve">CONCEPTO </t>
  </si>
  <si>
    <t>COSTO MESUAL SIN IVA</t>
  </si>
  <si>
    <t>COSTO ANUAL SIN IVA</t>
  </si>
  <si>
    <t>COSTO ANUAL CON IVA</t>
  </si>
  <si>
    <t xml:space="preserve">COSTO TOTAL PROYECTO </t>
  </si>
  <si>
    <t xml:space="preserve">Pago outsoursig mesa de ayuda, SAC y Soporte en campo </t>
  </si>
  <si>
    <t xml:space="preserve">sueldo service manager </t>
  </si>
  <si>
    <t>1</t>
  </si>
  <si>
    <t>NA</t>
  </si>
  <si>
    <t xml:space="preserve">sueldo lider de calidad </t>
  </si>
  <si>
    <t xml:space="preserve">Insumos de soporte </t>
  </si>
  <si>
    <t xml:space="preserve">ACTIVIDAD </t>
  </si>
  <si>
    <t xml:space="preserve">CARGO </t>
  </si>
  <si>
    <t xml:space="preserve">CANT </t>
  </si>
  <si>
    <t>TIEMPO (dias)</t>
  </si>
  <si>
    <t xml:space="preserve">SUELDO DIA CON PRESTACIONES  </t>
  </si>
  <si>
    <t xml:space="preserve">COSTO 
POR UNIDAD </t>
  </si>
  <si>
    <t>COSTO TOTAL PROYECTO</t>
  </si>
  <si>
    <t>Realización de survey</t>
  </si>
  <si>
    <t xml:space="preserve">Tecnico de fibra y redes </t>
  </si>
  <si>
    <t xml:space="preserve">tecnico de datos y radio </t>
  </si>
  <si>
    <t xml:space="preserve">tecnico de energia </t>
  </si>
  <si>
    <t>Coordinador de Instalaciones</t>
  </si>
  <si>
    <t xml:space="preserve">Diseño de cableado estructurado y solución de energía </t>
  </si>
  <si>
    <t>Ingeniero administrador cableado estructurado y energía</t>
  </si>
  <si>
    <t>líder de  cableado estructurado y energía</t>
  </si>
  <si>
    <t xml:space="preserve">Diseño red LAN </t>
  </si>
  <si>
    <t>Ingeniero administrado LAN</t>
  </si>
  <si>
    <t>Líder LAN</t>
  </si>
  <si>
    <t xml:space="preserve">Diseño red WAN </t>
  </si>
  <si>
    <t>Ingeniero administrador WAN</t>
  </si>
  <si>
    <t>Líder WAN,</t>
  </si>
  <si>
    <t xml:space="preserve">Diseño de telefonía </t>
  </si>
  <si>
    <t>Ingeniero administrador Telefonía</t>
  </si>
  <si>
    <t>Líder de telefonía</t>
  </si>
  <si>
    <t>Selección de equipos y de proveedores</t>
  </si>
  <si>
    <t>Tecnico de fibra y redes</t>
  </si>
  <si>
    <t xml:space="preserve">Coordinador de Instalaciones </t>
  </si>
  <si>
    <t xml:space="preserve">Compra y pedido de equipos e insumos </t>
  </si>
  <si>
    <t>Jefe de compras y logística</t>
  </si>
  <si>
    <t xml:space="preserve">Logística de los equipos comprados </t>
  </si>
  <si>
    <t>Almacenista</t>
  </si>
  <si>
    <t>implementación de cableado estructurado y energía</t>
  </si>
  <si>
    <t>Instalación y  configuración de  equipos para LAN</t>
  </si>
  <si>
    <t>Instalación y configuración  de equipos de Telefonía</t>
  </si>
  <si>
    <t xml:space="preserve">Instalación de red WAN y aprovisionamiento </t>
  </si>
  <si>
    <t xml:space="preserve">Implementación Herramienta de gestión y monitoreo de red </t>
  </si>
  <si>
    <t>Entregables y actas aprobadas de la etapa de implementación</t>
  </si>
  <si>
    <t>Pruebas a equipos de energía y cableado estructurado</t>
  </si>
  <si>
    <t xml:space="preserve">Pruebas de red </t>
  </si>
  <si>
    <t>LAN</t>
  </si>
  <si>
    <t>Pruebas de red WAN y aprovisionamiento</t>
  </si>
  <si>
    <t>Técnico de fibra y  redes</t>
  </si>
  <si>
    <t xml:space="preserve">Pruebas de telefonía </t>
  </si>
  <si>
    <t xml:space="preserve">Pruebas herramienta de monitoreo </t>
  </si>
  <si>
    <t xml:space="preserve">control calidad de las actividades </t>
  </si>
  <si>
    <t xml:space="preserve">service manager </t>
  </si>
  <si>
    <t xml:space="preserve">lider de calidad </t>
  </si>
  <si>
    <t xml:space="preserve">cargo </t>
  </si>
  <si>
    <t xml:space="preserve">dias </t>
  </si>
  <si>
    <t>cant</t>
  </si>
  <si>
    <t xml:space="preserve">costo </t>
  </si>
  <si>
    <t xml:space="preserve">tecnico de fibra optica y redes </t>
  </si>
  <si>
    <t>tecnico de datos y radio</t>
  </si>
  <si>
    <t>tecnico de energia</t>
  </si>
  <si>
    <t>líder de  cableado estructurado y energía</t>
  </si>
  <si>
    <t>Lider WAN</t>
  </si>
  <si>
    <t xml:space="preserve">Lider de telefonia </t>
  </si>
  <si>
    <t xml:space="preserve">almacenista </t>
  </si>
  <si>
    <t>l</t>
  </si>
  <si>
    <t xml:space="preserve">GASTOS DE FUNCIONAMIENTO </t>
  </si>
  <si>
    <t xml:space="preserve">VALOR TOTAL MES </t>
  </si>
  <si>
    <t xml:space="preserve">VALOR DIARIO </t>
  </si>
  <si>
    <t xml:space="preserve">VALOR POR PROYECTO </t>
  </si>
  <si>
    <t>Arriendo de sede</t>
  </si>
  <si>
    <t xml:space="preserve">Servicios sede </t>
  </si>
  <si>
    <t xml:space="preserve">Uso de equipos de computo </t>
  </si>
  <si>
    <t xml:space="preserve">Documentacion y papeleria </t>
  </si>
  <si>
    <t>Costo nomina administrativa</t>
  </si>
  <si>
    <t xml:space="preserve">Otros gastos de fncionamiento </t>
  </si>
  <si>
    <t>CONCEPTO</t>
  </si>
  <si>
    <t xml:space="preserve">SUELDO BASE </t>
  </si>
  <si>
    <t>AUX TRANSP</t>
  </si>
  <si>
    <t>SALUD</t>
  </si>
  <si>
    <t xml:space="preserve">PENSIONES </t>
  </si>
  <si>
    <t xml:space="preserve">CESANTIAS </t>
  </si>
  <si>
    <t>INTERESES
CESANTIAS</t>
  </si>
  <si>
    <t>VACACIONES</t>
  </si>
  <si>
    <t>ICF</t>
  </si>
  <si>
    <t>SENA</t>
  </si>
  <si>
    <t>CAJA 
COMPENSACION</t>
  </si>
  <si>
    <t>TOTAL
SUELDO MENSUAL</t>
  </si>
  <si>
    <t xml:space="preserve">Gerente gral </t>
  </si>
  <si>
    <t xml:space="preserve">Gerente implementacion </t>
  </si>
  <si>
    <t>gerente del proyecto</t>
  </si>
  <si>
    <t>Asesor juridico</t>
  </si>
  <si>
    <t>Nomina</t>
  </si>
  <si>
    <t>Selección y  recursos  humanos</t>
  </si>
  <si>
    <t>Contador</t>
  </si>
  <si>
    <t>Asesor comercial</t>
  </si>
  <si>
    <t>Servicios generales</t>
  </si>
  <si>
    <t>COSTO</t>
  </si>
  <si>
    <t xml:space="preserve">CANALES </t>
  </si>
  <si>
    <t xml:space="preserve">CABLEADO ESTRUCTURADO </t>
  </si>
  <si>
    <t xml:space="preserve">SOPORTE </t>
  </si>
  <si>
    <t>NOMINA OPERATIVA</t>
  </si>
  <si>
    <t>ADMINISTRATIVOS</t>
  </si>
  <si>
    <t xml:space="preserve">Totalidad del proyecto (Capex + Opex ) = </t>
  </si>
  <si>
    <t xml:space="preserve">costos de inversion </t>
  </si>
  <si>
    <t xml:space="preserve">costos de operación </t>
  </si>
  <si>
    <t xml:space="preserve">CONEPTO </t>
  </si>
  <si>
    <t xml:space="preserve">VALOR </t>
  </si>
  <si>
    <t xml:space="preserve">cableado estructurado y solucion de energia </t>
  </si>
  <si>
    <t xml:space="preserve">costo logistica de equipos y materiales </t>
  </si>
  <si>
    <t xml:space="preserve">licencia de uso de frecuencias </t>
  </si>
  <si>
    <t xml:space="preserve">costo uso de herramientas </t>
  </si>
  <si>
    <t xml:space="preserve">costos de soporte </t>
  </si>
  <si>
    <t xml:space="preserve">Nomina operativa </t>
  </si>
  <si>
    <t xml:space="preserve">Costos administrativos </t>
  </si>
  <si>
    <t>CAPEX:</t>
  </si>
  <si>
    <t>Toda inversion que se hace a un proyecto</t>
  </si>
  <si>
    <t>OPEX:</t>
  </si>
  <si>
    <t>Software para gestion, alquiler de cuadrillas</t>
  </si>
  <si>
    <t>%</t>
  </si>
  <si>
    <t xml:space="preserve">Costo de operación </t>
  </si>
  <si>
    <t xml:space="preserve">Costo de inversión </t>
  </si>
  <si>
    <t xml:space="preserve">Utilidad </t>
  </si>
  <si>
    <t xml:space="preserve">Imprevistos </t>
  </si>
  <si>
    <t xml:space="preserve">FECHA </t>
  </si>
  <si>
    <t xml:space="preserve">COSTOS DURANTE TODO EL PROYECTO </t>
  </si>
  <si>
    <t>ADMINISTRATIVO</t>
  </si>
  <si>
    <t xml:space="preserve">RENTA DE CANALES </t>
  </si>
  <si>
    <t>COSTOS ESPECIFICOS POR ETAPA</t>
  </si>
  <si>
    <t xml:space="preserve">FASE </t>
  </si>
  <si>
    <t xml:space="preserve">NOMINA OPERATIVA </t>
  </si>
  <si>
    <t xml:space="preserve">MATERIALES </t>
  </si>
  <si>
    <t xml:space="preserve">INICIO </t>
  </si>
  <si>
    <t xml:space="preserve">DISEÑO </t>
  </si>
  <si>
    <t xml:space="preserve">IMPLEMENTACION </t>
  </si>
  <si>
    <t xml:space="preserve">PRUEBAS </t>
  </si>
  <si>
    <t xml:space="preserve">CIERRE </t>
  </si>
  <si>
    <t xml:space="preserve">fase </t>
  </si>
  <si>
    <t xml:space="preserve">DIAS </t>
  </si>
  <si>
    <t xml:space="preserve">inicio </t>
  </si>
  <si>
    <t>24/9/2012</t>
  </si>
  <si>
    <t>18/10/2012</t>
  </si>
  <si>
    <t>23/10/2012</t>
  </si>
  <si>
    <t>24/10/2012</t>
  </si>
  <si>
    <t>CIERRE</t>
  </si>
  <si>
    <t xml:space="preserve">SULEDO sm Y LID CAL </t>
  </si>
  <si>
    <t xml:space="preserve">LOGISTICA EQUIPOS </t>
  </si>
  <si>
    <t>COSTO HERRAMIENTAS</t>
  </si>
  <si>
    <t xml:space="preserve">COSTO ACUMULADO LINEA BASE  </t>
  </si>
  <si>
    <t>R1</t>
  </si>
  <si>
    <t xml:space="preserve">SOBRECOSTO </t>
  </si>
  <si>
    <t>R3</t>
  </si>
  <si>
    <t>R6</t>
  </si>
  <si>
    <t>RIESGO 1</t>
  </si>
  <si>
    <t xml:space="preserve">costo total </t>
  </si>
  <si>
    <t>equipos</t>
  </si>
  <si>
    <t xml:space="preserve">RIESGO 2 </t>
  </si>
  <si>
    <t xml:space="preserve">INCREMENTO  </t>
  </si>
  <si>
    <t>ACTIVIDAD</t>
  </si>
  <si>
    <t>COSTO NOMINA</t>
  </si>
  <si>
    <t>RIESGO 3</t>
  </si>
  <si>
    <t>Pruebas a equipos de energía y cableado estructuradoADO ESTRUCTURADO</t>
  </si>
  <si>
    <t xml:space="preserve">Instalacion cableado y energia </t>
  </si>
  <si>
    <t>inatalacion  LAN</t>
  </si>
  <si>
    <t xml:space="preserve">instalacion  TELEFONIA </t>
  </si>
  <si>
    <t>Cableado estructurado</t>
  </si>
  <si>
    <t xml:space="preserve">equipos en compra </t>
  </si>
  <si>
    <t xml:space="preserve">incremento de canales </t>
  </si>
  <si>
    <t>Pruebas de red LAN</t>
  </si>
  <si>
    <t>RIESGO 4</t>
  </si>
  <si>
    <t>RIESGO 6</t>
  </si>
  <si>
    <t xml:space="preserve">implementacion </t>
  </si>
  <si>
    <t xml:space="preserve">total sobrecosto riesgos </t>
  </si>
  <si>
    <t>R2</t>
  </si>
  <si>
    <t>R4</t>
  </si>
  <si>
    <t>R5</t>
  </si>
  <si>
    <t xml:space="preserve"> LINEA BASE  </t>
  </si>
  <si>
    <t xml:space="preserve"> LINEA REAL </t>
  </si>
  <si>
    <t xml:space="preserve">RIESGO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</si>
</sst>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7" formatCode="&quot;$&quot;\ #,##0.00_);\(&quot;$&quot;\ #,##0.00\)"/>
    <numFmt numFmtId="43" formatCode="_(* #,##0.00_);_(* \(#,##0.00\);_(* &quot;-&quot;??_);_(@_)"/>
    <numFmt numFmtId="164" formatCode="_-* #,##0.00\ &quot;€&quot;_-;\-* #,##0.00\ &quot;€&quot;_-;_-* &quot;-&quot;??\ &quot;€&quot;_-;_-@_-"/>
    <numFmt numFmtId="165" formatCode="0.0%"/>
    <numFmt numFmtId="166" formatCode="&quot;$&quot;\ #,##0"/>
    <numFmt numFmtId="167" formatCode="&quot;$&quot;\ #,##0.00"/>
    <numFmt numFmtId="168" formatCode="&quot;$&quot;#,##0.00"/>
  </numFmts>
  <fonts count="2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name val="Arial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rgb="FFFFC000"/>
      <name val="Calibri"/>
      <family val="2"/>
      <scheme val="minor"/>
    </font>
    <font>
      <b/>
      <sz val="12"/>
      <color theme="1"/>
      <name val="Arial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name val="Arial"/>
    </font>
    <font>
      <sz val="12"/>
      <color theme="1"/>
      <name val="Arial"/>
    </font>
    <font>
      <b/>
      <sz val="9"/>
      <color indexed="81"/>
      <name val="Tahoma"/>
      <family val="2"/>
    </font>
  </fonts>
  <fills count="1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7E3BC"/>
      </patternFill>
    </fill>
    <fill>
      <patternFill patternType="solid">
        <fgColor rgb="FF92D050"/>
        <bgColor indexed="64"/>
      </patternFill>
    </fill>
    <fill>
      <patternFill patternType="solid">
        <fgColor rgb="FFC3D69B"/>
      </patternFill>
    </fill>
    <fill>
      <patternFill patternType="solid">
        <fgColor rgb="FFD8D8D8"/>
      </patternFill>
    </fill>
    <fill>
      <patternFill patternType="solid">
        <fgColor rgb="FFBFBFBF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76923C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44">
    <xf numFmtId="0" fontId="0" fillId="0" borderId="0" xfId="0"/>
    <xf numFmtId="0" fontId="4" fillId="0" borderId="0" xfId="0" applyFont="1"/>
    <xf numFmtId="0" fontId="0" fillId="0" borderId="0" xfId="0" applyFill="1"/>
    <xf numFmtId="0" fontId="4" fillId="0" borderId="0" xfId="0" applyFont="1" applyFill="1"/>
    <xf numFmtId="0" fontId="0" fillId="0" borderId="0" xfId="0"/>
    <xf numFmtId="0" fontId="0" fillId="0" borderId="0" xfId="0" applyFont="1" applyAlignment="1">
      <alignment horizontal="left"/>
    </xf>
    <xf numFmtId="0" fontId="0" fillId="0" borderId="0" xfId="0" applyFont="1"/>
    <xf numFmtId="0" fontId="2" fillId="0" borderId="0" xfId="0" applyFont="1"/>
    <xf numFmtId="0" fontId="0" fillId="0" borderId="0" xfId="0"/>
    <xf numFmtId="0" fontId="0" fillId="0" borderId="1" xfId="0" applyBorder="1"/>
    <xf numFmtId="0" fontId="4" fillId="0" borderId="1" xfId="0" applyFont="1" applyBorder="1"/>
    <xf numFmtId="0" fontId="4" fillId="0" borderId="1" xfId="0" applyFont="1" applyFill="1" applyBorder="1"/>
    <xf numFmtId="0" fontId="1" fillId="0" borderId="1" xfId="0" applyFont="1" applyFill="1" applyBorder="1"/>
    <xf numFmtId="0" fontId="0" fillId="0" borderId="1" xfId="0" applyFill="1" applyBorder="1"/>
    <xf numFmtId="0" fontId="8" fillId="0" borderId="0" xfId="0" applyFont="1"/>
    <xf numFmtId="0" fontId="0" fillId="0" borderId="0" xfId="0" applyFill="1" applyBorder="1"/>
    <xf numFmtId="0" fontId="0" fillId="3" borderId="1" xfId="0" applyFill="1" applyBorder="1"/>
    <xf numFmtId="0" fontId="2" fillId="0" borderId="1" xfId="0" applyFont="1" applyBorder="1" applyAlignment="1"/>
    <xf numFmtId="7" fontId="1" fillId="0" borderId="1" xfId="4" applyNumberFormat="1" applyFont="1" applyBorder="1" applyAlignment="1">
      <alignment horizontal="center"/>
    </xf>
    <xf numFmtId="7" fontId="4" fillId="0" borderId="1" xfId="4" applyNumberFormat="1" applyFont="1" applyBorder="1" applyAlignment="1">
      <alignment horizontal="center"/>
    </xf>
    <xf numFmtId="7" fontId="4" fillId="0" borderId="1" xfId="4" applyNumberFormat="1" applyFont="1" applyBorder="1"/>
    <xf numFmtId="7" fontId="4" fillId="0" borderId="1" xfId="4" applyNumberFormat="1" applyFont="1" applyFill="1" applyBorder="1"/>
    <xf numFmtId="7" fontId="4" fillId="0" borderId="1" xfId="4" applyNumberFormat="1" applyFont="1" applyBorder="1" applyAlignment="1">
      <alignment horizontal="right"/>
    </xf>
    <xf numFmtId="7" fontId="4" fillId="0" borderId="0" xfId="0" applyNumberFormat="1" applyFont="1"/>
    <xf numFmtId="0" fontId="2" fillId="0" borderId="0" xfId="0" applyFont="1" applyFill="1" applyAlignment="1"/>
    <xf numFmtId="0" fontId="0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3" fontId="2" fillId="0" borderId="1" xfId="0" applyNumberFormat="1" applyFont="1" applyBorder="1" applyAlignment="1">
      <alignment horizontal="center"/>
    </xf>
    <xf numFmtId="166" fontId="4" fillId="0" borderId="1" xfId="0" applyNumberFormat="1" applyFont="1" applyBorder="1" applyAlignment="1">
      <alignment horizontal="center"/>
    </xf>
    <xf numFmtId="166" fontId="7" fillId="0" borderId="1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4" fillId="0" borderId="0" xfId="0" applyFont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7" fontId="2" fillId="0" borderId="1" xfId="0" applyNumberFormat="1" applyFont="1" applyBorder="1"/>
    <xf numFmtId="167" fontId="0" fillId="0" borderId="1" xfId="0" applyNumberFormat="1" applyBorder="1"/>
    <xf numFmtId="7" fontId="4" fillId="0" borderId="10" xfId="4" applyNumberFormat="1" applyFont="1" applyBorder="1" applyAlignment="1">
      <alignment horizontal="center"/>
    </xf>
    <xf numFmtId="0" fontId="2" fillId="0" borderId="10" xfId="0" applyFont="1" applyFill="1" applyBorder="1" applyAlignment="1"/>
    <xf numFmtId="1" fontId="2" fillId="0" borderId="10" xfId="0" applyNumberFormat="1" applyFont="1" applyFill="1" applyBorder="1" applyAlignment="1">
      <alignment horizontal="center" wrapText="1"/>
    </xf>
    <xf numFmtId="7" fontId="4" fillId="0" borderId="10" xfId="4" applyNumberFormat="1" applyFont="1" applyFill="1" applyBorder="1" applyAlignment="1">
      <alignment horizontal="center"/>
    </xf>
    <xf numFmtId="167" fontId="0" fillId="0" borderId="10" xfId="0" applyNumberFormat="1" applyBorder="1"/>
    <xf numFmtId="167" fontId="2" fillId="0" borderId="10" xfId="0" applyNumberFormat="1" applyFont="1" applyBorder="1"/>
    <xf numFmtId="167" fontId="0" fillId="4" borderId="1" xfId="0" applyNumberFormat="1" applyFill="1" applyBorder="1"/>
    <xf numFmtId="166" fontId="10" fillId="4" borderId="1" xfId="1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/>
    </xf>
    <xf numFmtId="0" fontId="11" fillId="0" borderId="1" xfId="0" applyFont="1" applyFill="1" applyBorder="1"/>
    <xf numFmtId="37" fontId="5" fillId="4" borderId="1" xfId="4" applyNumberFormat="1" applyFont="1" applyFill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1" fillId="0" borderId="0" xfId="0" applyFont="1"/>
    <xf numFmtId="49" fontId="0" fillId="0" borderId="1" xfId="0" applyNumberFormat="1" applyBorder="1" applyAlignment="1">
      <alignment horizontal="center"/>
    </xf>
    <xf numFmtId="167" fontId="2" fillId="4" borderId="1" xfId="0" applyNumberFormat="1" applyFont="1" applyFill="1" applyBorder="1" applyAlignment="1">
      <alignment horizontal="right"/>
    </xf>
    <xf numFmtId="0" fontId="1" fillId="0" borderId="0" xfId="0" applyFont="1" applyFill="1" applyBorder="1"/>
    <xf numFmtId="167" fontId="2" fillId="5" borderId="1" xfId="0" applyNumberFormat="1" applyFont="1" applyFill="1" applyBorder="1"/>
    <xf numFmtId="167" fontId="12" fillId="0" borderId="1" xfId="0" applyNumberFormat="1" applyFont="1" applyBorder="1"/>
    <xf numFmtId="0" fontId="0" fillId="0" borderId="0" xfId="0" applyBorder="1"/>
    <xf numFmtId="0" fontId="1" fillId="0" borderId="0" xfId="0" applyFont="1" applyFill="1"/>
    <xf numFmtId="166" fontId="5" fillId="4" borderId="1" xfId="0" applyNumberFormat="1" applyFont="1" applyFill="1" applyBorder="1" applyAlignment="1">
      <alignment horizontal="center"/>
    </xf>
    <xf numFmtId="166" fontId="0" fillId="0" borderId="0" xfId="0" applyNumberFormat="1"/>
    <xf numFmtId="0" fontId="2" fillId="7" borderId="1" xfId="0" applyFont="1" applyFill="1" applyBorder="1"/>
    <xf numFmtId="0" fontId="11" fillId="8" borderId="1" xfId="0" applyFont="1" applyFill="1" applyBorder="1"/>
    <xf numFmtId="166" fontId="4" fillId="0" borderId="1" xfId="0" applyNumberFormat="1" applyFont="1" applyBorder="1" applyAlignment="1">
      <alignment horizontal="right"/>
    </xf>
    <xf numFmtId="167" fontId="0" fillId="0" borderId="1" xfId="0" applyNumberFormat="1" applyBorder="1" applyAlignment="1">
      <alignment horizontal="right"/>
    </xf>
    <xf numFmtId="0" fontId="0" fillId="0" borderId="0" xfId="0" applyAlignment="1">
      <alignment horizontal="right"/>
    </xf>
    <xf numFmtId="0" fontId="2" fillId="8" borderId="1" xfId="0" applyFont="1" applyFill="1" applyBorder="1" applyAlignment="1">
      <alignment horizontal="right"/>
    </xf>
    <xf numFmtId="0" fontId="0" fillId="0" borderId="0" xfId="0" applyBorder="1" applyAlignment="1">
      <alignment horizontal="right"/>
    </xf>
    <xf numFmtId="167" fontId="2" fillId="7" borderId="1" xfId="0" applyNumberFormat="1" applyFont="1" applyFill="1" applyBorder="1" applyAlignment="1">
      <alignment horizontal="right"/>
    </xf>
    <xf numFmtId="167" fontId="4" fillId="0" borderId="1" xfId="0" applyNumberFormat="1" applyFont="1" applyBorder="1" applyAlignment="1">
      <alignment horizontal="right"/>
    </xf>
    <xf numFmtId="167" fontId="0" fillId="0" borderId="0" xfId="0" applyNumberFormat="1" applyAlignment="1">
      <alignment horizontal="right"/>
    </xf>
    <xf numFmtId="167" fontId="0" fillId="6" borderId="1" xfId="0" applyNumberFormat="1" applyFill="1" applyBorder="1" applyAlignment="1">
      <alignment horizontal="right"/>
    </xf>
    <xf numFmtId="166" fontId="0" fillId="6" borderId="0" xfId="0" applyNumberFormat="1" applyFill="1" applyBorder="1" applyAlignment="1">
      <alignment horizontal="right"/>
    </xf>
    <xf numFmtId="0" fontId="13" fillId="0" borderId="11" xfId="0" applyFont="1" applyBorder="1" applyAlignment="1">
      <alignment vertical="center"/>
    </xf>
    <xf numFmtId="0" fontId="14" fillId="0" borderId="11" xfId="0" applyFont="1" applyBorder="1" applyAlignment="1">
      <alignment vertical="center"/>
    </xf>
    <xf numFmtId="167" fontId="2" fillId="0" borderId="1" xfId="0" applyNumberFormat="1" applyFont="1" applyBorder="1" applyAlignment="1">
      <alignment horizontal="center"/>
    </xf>
    <xf numFmtId="37" fontId="5" fillId="4" borderId="1" xfId="4" applyNumberFormat="1" applyFont="1" applyFill="1" applyBorder="1" applyAlignment="1">
      <alignment horizontal="center" vertical="center" wrapText="1"/>
    </xf>
    <xf numFmtId="37" fontId="5" fillId="4" borderId="1" xfId="4" applyNumberFormat="1" applyFont="1" applyFill="1" applyBorder="1" applyAlignment="1">
      <alignment horizontal="center" vertical="center"/>
    </xf>
    <xf numFmtId="7" fontId="0" fillId="0" borderId="0" xfId="0" applyNumberFormat="1"/>
    <xf numFmtId="10" fontId="0" fillId="0" borderId="0" xfId="0" applyNumberFormat="1"/>
    <xf numFmtId="9" fontId="5" fillId="4" borderId="1" xfId="4" applyNumberFormat="1" applyFont="1" applyFill="1" applyBorder="1" applyAlignment="1">
      <alignment horizontal="center" vertical="center"/>
    </xf>
    <xf numFmtId="165" fontId="5" fillId="4" borderId="1" xfId="4" applyNumberFormat="1" applyFont="1" applyFill="1" applyBorder="1" applyAlignment="1">
      <alignment horizontal="center" vertical="center"/>
    </xf>
    <xf numFmtId="10" fontId="5" fillId="4" borderId="1" xfId="4" applyNumberFormat="1" applyFont="1" applyFill="1" applyBorder="1" applyAlignment="1">
      <alignment horizontal="center" vertical="center"/>
    </xf>
    <xf numFmtId="9" fontId="5" fillId="4" borderId="1" xfId="5" applyFont="1" applyFill="1" applyBorder="1" applyAlignment="1">
      <alignment horizontal="center" vertical="center"/>
    </xf>
    <xf numFmtId="0" fontId="9" fillId="0" borderId="0" xfId="0" applyFont="1"/>
    <xf numFmtId="0" fontId="13" fillId="0" borderId="0" xfId="0" applyFont="1" applyBorder="1" applyAlignment="1">
      <alignment vertical="center"/>
    </xf>
    <xf numFmtId="10" fontId="0" fillId="0" borderId="10" xfId="0" applyNumberFormat="1" applyBorder="1"/>
    <xf numFmtId="0" fontId="17" fillId="0" borderId="0" xfId="0" applyFont="1" applyFill="1"/>
    <xf numFmtId="0" fontId="16" fillId="0" borderId="1" xfId="0" applyFont="1" applyBorder="1" applyAlignment="1">
      <alignment vertical="center" wrapText="1"/>
    </xf>
    <xf numFmtId="0" fontId="2" fillId="0" borderId="1" xfId="0" applyFont="1" applyBorder="1"/>
    <xf numFmtId="10" fontId="2" fillId="0" borderId="1" xfId="0" applyNumberFormat="1" applyFont="1" applyBorder="1"/>
    <xf numFmtId="9" fontId="2" fillId="0" borderId="1" xfId="0" applyNumberFormat="1" applyFont="1" applyBorder="1"/>
    <xf numFmtId="0" fontId="12" fillId="0" borderId="1" xfId="0" applyFont="1" applyFill="1" applyBorder="1"/>
    <xf numFmtId="167" fontId="12" fillId="0" borderId="1" xfId="0" applyNumberFormat="1" applyFont="1" applyBorder="1" applyAlignment="1">
      <alignment horizontal="right"/>
    </xf>
    <xf numFmtId="0" fontId="13" fillId="0" borderId="11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19" fillId="0" borderId="1" xfId="0" applyFont="1" applyBorder="1" applyAlignment="1">
      <alignment vertical="center" wrapText="1"/>
    </xf>
    <xf numFmtId="0" fontId="19" fillId="0" borderId="0" xfId="0" applyFont="1" applyBorder="1" applyAlignment="1">
      <alignment horizontal="justify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Fill="1" applyBorder="1" applyAlignment="1">
      <alignment vertical="center" wrapText="1"/>
    </xf>
    <xf numFmtId="168" fontId="19" fillId="0" borderId="1" xfId="0" applyNumberFormat="1" applyFont="1" applyBorder="1" applyAlignment="1">
      <alignment horizontal="right" vertical="center" wrapText="1"/>
    </xf>
    <xf numFmtId="168" fontId="20" fillId="0" borderId="1" xfId="0" applyNumberFormat="1" applyFont="1" applyBorder="1" applyAlignment="1">
      <alignment horizontal="right" vertical="center"/>
    </xf>
    <xf numFmtId="0" fontId="20" fillId="0" borderId="1" xfId="0" applyFont="1" applyBorder="1" applyAlignment="1">
      <alignment horizontal="center" vertical="center"/>
    </xf>
    <xf numFmtId="0" fontId="20" fillId="0" borderId="0" xfId="0" applyFont="1"/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right"/>
    </xf>
    <xf numFmtId="0" fontId="20" fillId="0" borderId="0" xfId="0" applyFont="1" applyAlignment="1">
      <alignment horizontal="right" vertical="center"/>
    </xf>
    <xf numFmtId="168" fontId="20" fillId="0" borderId="2" xfId="0" applyNumberFormat="1" applyFont="1" applyBorder="1" applyAlignment="1">
      <alignment horizontal="right" vertical="center"/>
    </xf>
    <xf numFmtId="168" fontId="20" fillId="9" borderId="0" xfId="0" applyNumberFormat="1" applyFont="1" applyFill="1" applyAlignment="1">
      <alignment horizontal="right" vertical="center"/>
    </xf>
    <xf numFmtId="0" fontId="20" fillId="0" borderId="1" xfId="0" applyFont="1" applyBorder="1"/>
    <xf numFmtId="0" fontId="21" fillId="10" borderId="1" xfId="0" applyFont="1" applyFill="1" applyBorder="1" applyAlignment="1">
      <alignment horizontal="center"/>
    </xf>
    <xf numFmtId="0" fontId="21" fillId="10" borderId="1" xfId="0" applyFont="1" applyFill="1" applyBorder="1" applyAlignment="1">
      <alignment horizontal="center" vertical="center"/>
    </xf>
    <xf numFmtId="167" fontId="20" fillId="0" borderId="1" xfId="0" applyNumberFormat="1" applyFont="1" applyBorder="1" applyAlignment="1">
      <alignment horizontal="right" vertical="center"/>
    </xf>
    <xf numFmtId="167" fontId="20" fillId="0" borderId="0" xfId="0" applyNumberFormat="1" applyFont="1" applyAlignment="1">
      <alignment horizontal="right"/>
    </xf>
    <xf numFmtId="0" fontId="18" fillId="9" borderId="8" xfId="0" applyFont="1" applyFill="1" applyBorder="1" applyAlignment="1">
      <alignment horizontal="center" vertical="center"/>
    </xf>
    <xf numFmtId="0" fontId="18" fillId="9" borderId="15" xfId="0" applyFont="1" applyFill="1" applyBorder="1" applyAlignment="1">
      <alignment horizontal="center" vertical="center"/>
    </xf>
    <xf numFmtId="0" fontId="18" fillId="9" borderId="2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18" fillId="10" borderId="1" xfId="0" applyFont="1" applyFill="1" applyBorder="1" applyAlignment="1">
      <alignment horizontal="right" vertical="center"/>
    </xf>
    <xf numFmtId="167" fontId="19" fillId="0" borderId="1" xfId="0" applyNumberFormat="1" applyFont="1" applyBorder="1" applyAlignment="1">
      <alignment horizontal="right" vertical="center" wrapText="1"/>
    </xf>
    <xf numFmtId="168" fontId="20" fillId="0" borderId="0" xfId="0" applyNumberFormat="1" applyFont="1" applyFill="1" applyAlignment="1">
      <alignment horizontal="right" vertical="center"/>
    </xf>
    <xf numFmtId="0" fontId="19" fillId="0" borderId="1" xfId="0" applyFont="1" applyFill="1" applyBorder="1" applyAlignment="1">
      <alignment horizontal="justify" vertical="center" wrapText="1"/>
    </xf>
    <xf numFmtId="0" fontId="19" fillId="0" borderId="2" xfId="0" applyFont="1" applyFill="1" applyBorder="1" applyAlignment="1">
      <alignment vertical="center" wrapText="1"/>
    </xf>
    <xf numFmtId="0" fontId="20" fillId="0" borderId="0" xfId="0" applyFont="1" applyFill="1" applyBorder="1"/>
    <xf numFmtId="0" fontId="20" fillId="0" borderId="1" xfId="0" applyFont="1" applyFill="1" applyBorder="1" applyAlignment="1">
      <alignment horizontal="right"/>
    </xf>
    <xf numFmtId="0" fontId="20" fillId="0" borderId="1" xfId="0" applyFont="1" applyFill="1" applyBorder="1"/>
    <xf numFmtId="0" fontId="22" fillId="10" borderId="2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20" fillId="0" borderId="2" xfId="0" applyFont="1" applyBorder="1" applyAlignment="1">
      <alignment horizontal="center" vertical="center"/>
    </xf>
    <xf numFmtId="0" fontId="19" fillId="0" borderId="12" xfId="0" applyFont="1" applyBorder="1" applyAlignment="1">
      <alignment horizontal="justify" vertical="center" wrapText="1"/>
    </xf>
    <xf numFmtId="0" fontId="19" fillId="0" borderId="14" xfId="0" applyFont="1" applyBorder="1" applyAlignment="1">
      <alignment horizontal="justify" vertical="center" wrapText="1"/>
    </xf>
    <xf numFmtId="167" fontId="16" fillId="0" borderId="1" xfId="0" applyNumberFormat="1" applyFont="1" applyBorder="1" applyAlignment="1">
      <alignment horizontal="right" vertical="center" wrapText="1"/>
    </xf>
    <xf numFmtId="167" fontId="16" fillId="0" borderId="1" xfId="0" applyNumberFormat="1" applyFont="1" applyBorder="1" applyAlignment="1">
      <alignment vertical="center" wrapText="1"/>
    </xf>
    <xf numFmtId="167" fontId="18" fillId="10" borderId="1" xfId="0" applyNumberFormat="1" applyFont="1" applyFill="1" applyBorder="1"/>
    <xf numFmtId="0" fontId="15" fillId="10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/>
    </xf>
    <xf numFmtId="167" fontId="0" fillId="4" borderId="0" xfId="0" applyNumberFormat="1" applyFill="1"/>
    <xf numFmtId="166" fontId="4" fillId="0" borderId="0" xfId="0" applyNumberFormat="1" applyFont="1" applyFill="1" applyBorder="1" applyAlignment="1">
      <alignment horizontal="center"/>
    </xf>
    <xf numFmtId="166" fontId="0" fillId="4" borderId="1" xfId="0" applyNumberFormat="1" applyFill="1" applyBorder="1"/>
    <xf numFmtId="0" fontId="19" fillId="0" borderId="13" xfId="0" applyFont="1" applyBorder="1" applyAlignment="1">
      <alignment horizontal="justify" vertical="center" wrapText="1"/>
    </xf>
    <xf numFmtId="0" fontId="19" fillId="0" borderId="13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justify" vertical="center" wrapText="1"/>
    </xf>
    <xf numFmtId="0" fontId="2" fillId="4" borderId="1" xfId="0" applyFont="1" applyFill="1" applyBorder="1" applyAlignment="1">
      <alignment horizontal="center"/>
    </xf>
    <xf numFmtId="167" fontId="0" fillId="11" borderId="0" xfId="0" applyNumberFormat="1" applyFill="1"/>
    <xf numFmtId="168" fontId="0" fillId="0" borderId="0" xfId="0" applyNumberFormat="1"/>
    <xf numFmtId="168" fontId="0" fillId="11" borderId="0" xfId="0" applyNumberFormat="1" applyFill="1"/>
    <xf numFmtId="0" fontId="2" fillId="9" borderId="1" xfId="0" applyFont="1" applyFill="1" applyBorder="1" applyAlignment="1">
      <alignment horizontal="center"/>
    </xf>
    <xf numFmtId="167" fontId="0" fillId="0" borderId="1" xfId="0" applyNumberFormat="1" applyFill="1" applyBorder="1"/>
    <xf numFmtId="167" fontId="0" fillId="0" borderId="0" xfId="0" applyNumberFormat="1" applyFill="1" applyBorder="1"/>
    <xf numFmtId="0" fontId="0" fillId="10" borderId="19" xfId="0" applyFill="1" applyBorder="1" applyAlignment="1">
      <alignment horizontal="center"/>
    </xf>
    <xf numFmtId="0" fontId="0" fillId="10" borderId="5" xfId="0" applyFill="1" applyBorder="1" applyAlignment="1">
      <alignment horizontal="center"/>
    </xf>
    <xf numFmtId="166" fontId="0" fillId="0" borderId="0" xfId="0" applyNumberFormat="1" applyFill="1"/>
    <xf numFmtId="0" fontId="0" fillId="2" borderId="0" xfId="0" applyFill="1"/>
    <xf numFmtId="0" fontId="0" fillId="0" borderId="1" xfId="0" applyBorder="1" applyAlignment="1"/>
    <xf numFmtId="1" fontId="0" fillId="0" borderId="1" xfId="0" applyNumberFormat="1" applyBorder="1"/>
    <xf numFmtId="14" fontId="0" fillId="0" borderId="1" xfId="0" applyNumberFormat="1" applyBorder="1" applyAlignment="1">
      <alignment horizontal="right"/>
    </xf>
    <xf numFmtId="168" fontId="0" fillId="0" borderId="1" xfId="0" applyNumberFormat="1" applyBorder="1"/>
    <xf numFmtId="167" fontId="0" fillId="0" borderId="0" xfId="0" applyNumberFormat="1" applyBorder="1"/>
    <xf numFmtId="167" fontId="0" fillId="2" borderId="1" xfId="0" applyNumberFormat="1" applyFill="1" applyBorder="1"/>
    <xf numFmtId="167" fontId="0" fillId="0" borderId="6" xfId="0" applyNumberFormat="1" applyFill="1" applyBorder="1"/>
    <xf numFmtId="0" fontId="2" fillId="2" borderId="6" xfId="0" applyFont="1" applyFill="1" applyBorder="1"/>
    <xf numFmtId="168" fontId="4" fillId="0" borderId="1" xfId="0" applyNumberFormat="1" applyFont="1" applyFill="1" applyBorder="1" applyAlignment="1">
      <alignment horizontal="center"/>
    </xf>
    <xf numFmtId="168" fontId="4" fillId="0" borderId="1" xfId="0" applyNumberFormat="1" applyFont="1" applyBorder="1" applyAlignment="1">
      <alignment horizontal="center"/>
    </xf>
    <xf numFmtId="0" fontId="0" fillId="9" borderId="1" xfId="0" applyFill="1" applyBorder="1"/>
    <xf numFmtId="0" fontId="0" fillId="11" borderId="1" xfId="0" applyFill="1" applyBorder="1"/>
    <xf numFmtId="168" fontId="0" fillId="11" borderId="1" xfId="0" applyNumberFormat="1" applyFill="1" applyBorder="1"/>
    <xf numFmtId="168" fontId="0" fillId="11" borderId="7" xfId="0" applyNumberFormat="1" applyFill="1" applyBorder="1"/>
    <xf numFmtId="0" fontId="0" fillId="0" borderId="2" xfId="0" applyBorder="1"/>
    <xf numFmtId="0" fontId="0" fillId="0" borderId="15" xfId="0" applyBorder="1"/>
    <xf numFmtId="0" fontId="19" fillId="0" borderId="0" xfId="0" applyFont="1" applyFill="1" applyBorder="1" applyAlignment="1">
      <alignment vertical="center" wrapText="1"/>
    </xf>
    <xf numFmtId="168" fontId="19" fillId="0" borderId="1" xfId="0" applyNumberFormat="1" applyFont="1" applyFill="1" applyBorder="1" applyAlignment="1">
      <alignment vertical="center" wrapText="1"/>
    </xf>
    <xf numFmtId="168" fontId="19" fillId="0" borderId="1" xfId="0" applyNumberFormat="1" applyFont="1" applyFill="1" applyBorder="1" applyAlignment="1">
      <alignment horizontal="right" vertical="center" wrapText="1"/>
    </xf>
    <xf numFmtId="168" fontId="0" fillId="0" borderId="0" xfId="0" applyNumberFormat="1" applyFill="1"/>
    <xf numFmtId="0" fontId="13" fillId="0" borderId="1" xfId="0" applyFont="1" applyBorder="1" applyAlignment="1">
      <alignment vertical="center"/>
    </xf>
    <xf numFmtId="0" fontId="19" fillId="9" borderId="3" xfId="0" applyFont="1" applyFill="1" applyBorder="1" applyAlignment="1">
      <alignment horizontal="justify" vertical="center" wrapText="1"/>
    </xf>
    <xf numFmtId="0" fontId="19" fillId="9" borderId="3" xfId="0" applyFont="1" applyFill="1" applyBorder="1" applyAlignment="1">
      <alignment vertical="center" wrapText="1"/>
    </xf>
    <xf numFmtId="0" fontId="19" fillId="0" borderId="0" xfId="0" applyFont="1" applyFill="1" applyBorder="1" applyAlignment="1">
      <alignment horizontal="justify" vertical="center" wrapText="1"/>
    </xf>
    <xf numFmtId="168" fontId="19" fillId="0" borderId="0" xfId="0" applyNumberFormat="1" applyFont="1" applyFill="1" applyBorder="1" applyAlignment="1">
      <alignment vertical="center" wrapText="1"/>
    </xf>
    <xf numFmtId="168" fontId="19" fillId="0" borderId="2" xfId="0" applyNumberFormat="1" applyFont="1" applyFill="1" applyBorder="1" applyAlignment="1">
      <alignment horizontal="right" vertical="center" wrapText="1"/>
    </xf>
    <xf numFmtId="168" fontId="0" fillId="0" borderId="1" xfId="0" applyNumberFormat="1" applyFill="1" applyBorder="1"/>
    <xf numFmtId="0" fontId="2" fillId="0" borderId="0" xfId="0" applyFont="1" applyFill="1" applyBorder="1" applyAlignment="1">
      <alignment horizontal="center"/>
    </xf>
    <xf numFmtId="0" fontId="0" fillId="9" borderId="0" xfId="0" applyFill="1"/>
    <xf numFmtId="9" fontId="0" fillId="0" borderId="1" xfId="5" applyFont="1" applyBorder="1"/>
    <xf numFmtId="9" fontId="0" fillId="0" borderId="21" xfId="5" applyFont="1" applyBorder="1"/>
    <xf numFmtId="0" fontId="2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0" fillId="0" borderId="2" xfId="0" applyFont="1" applyBorder="1" applyAlignment="1">
      <alignment horizontal="left"/>
    </xf>
    <xf numFmtId="0" fontId="20" fillId="0" borderId="3" xfId="0" applyFont="1" applyBorder="1" applyAlignment="1">
      <alignment horizontal="left"/>
    </xf>
    <xf numFmtId="0" fontId="20" fillId="0" borderId="2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6" xfId="0" applyFont="1" applyBorder="1" applyAlignment="1">
      <alignment horizontal="justify" vertical="center" wrapText="1"/>
    </xf>
    <xf numFmtId="0" fontId="20" fillId="0" borderId="17" xfId="0" applyFont="1" applyBorder="1" applyAlignment="1">
      <alignment horizontal="justify" vertical="center" wrapText="1"/>
    </xf>
    <xf numFmtId="0" fontId="20" fillId="0" borderId="18" xfId="0" applyFont="1" applyBorder="1" applyAlignment="1">
      <alignment horizontal="justify" vertical="center" wrapText="1"/>
    </xf>
    <xf numFmtId="0" fontId="20" fillId="0" borderId="20" xfId="0" applyFont="1" applyBorder="1" applyAlignment="1">
      <alignment horizontal="justify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justify" vertical="center" wrapText="1"/>
    </xf>
    <xf numFmtId="0" fontId="19" fillId="0" borderId="14" xfId="0" applyFont="1" applyBorder="1" applyAlignment="1">
      <alignment horizontal="justify" vertical="center" wrapText="1"/>
    </xf>
    <xf numFmtId="0" fontId="19" fillId="0" borderId="13" xfId="0" applyFont="1" applyBorder="1" applyAlignment="1">
      <alignment horizontal="justify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37" fontId="5" fillId="4" borderId="2" xfId="4" applyNumberFormat="1" applyFont="1" applyFill="1" applyBorder="1" applyAlignment="1">
      <alignment horizontal="center" vertical="center" wrapText="1"/>
    </xf>
    <xf numFmtId="37" fontId="5" fillId="4" borderId="3" xfId="4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11" fillId="4" borderId="2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37" fontId="5" fillId="4" borderId="2" xfId="4" applyNumberFormat="1" applyFont="1" applyFill="1" applyBorder="1" applyAlignment="1">
      <alignment horizontal="center" vertical="center"/>
    </xf>
    <xf numFmtId="37" fontId="5" fillId="4" borderId="3" xfId="4" applyNumberFormat="1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12" borderId="6" xfId="0" applyFill="1" applyBorder="1" applyAlignment="1">
      <alignment horizontal="center"/>
    </xf>
    <xf numFmtId="0" fontId="0" fillId="12" borderId="7" xfId="0" applyFill="1" applyBorder="1" applyAlignment="1">
      <alignment horizontal="center"/>
    </xf>
    <xf numFmtId="0" fontId="0" fillId="12" borderId="1" xfId="0" applyFill="1" applyBorder="1" applyAlignment="1">
      <alignment horizont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justify" vertical="center" wrapText="1"/>
    </xf>
  </cellXfs>
  <cellStyles count="6">
    <cellStyle name="Estilo 1" xfId="2"/>
    <cellStyle name="Millares 2" xfId="1"/>
    <cellStyle name="Moneda" xfId="4" builtinId="4"/>
    <cellStyle name="Normal" xfId="0" builtinId="0"/>
    <cellStyle name="Normal 3" xfId="3"/>
    <cellStyle name="Porcentaje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LINEA BASE </a:t>
            </a:r>
          </a:p>
        </c:rich>
      </c:tx>
      <c:layout>
        <c:manualLayout>
          <c:xMode val="edge"/>
          <c:yMode val="edge"/>
          <c:x val="0.34295822397200354"/>
          <c:y val="1.3888888888888888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4384057143983625"/>
          <c:y val="0.14261751591744912"/>
          <c:w val="0.8561594285601638"/>
          <c:h val="0.79571957755527623"/>
        </c:manualLayout>
      </c:layout>
      <c:lineChart>
        <c:grouping val="stacked"/>
        <c:varyColors val="0"/>
        <c:ser>
          <c:idx val="0"/>
          <c:order val="0"/>
          <c:tx>
            <c:strRef>
              <c:f>'costo VS tiempo'!$D$3</c:f>
              <c:strCache>
                <c:ptCount val="1"/>
                <c:pt idx="0">
                  <c:v>COSTO ACUMULADO LINEA BASE 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'costo VS tiempo'!$C$4:$C$8</c:f>
              <c:strCache>
                <c:ptCount val="5"/>
                <c:pt idx="0">
                  <c:v>09/12/2012</c:v>
                </c:pt>
                <c:pt idx="1">
                  <c:v>24/9/2012</c:v>
                </c:pt>
                <c:pt idx="2">
                  <c:v>18/10/2012</c:v>
                </c:pt>
                <c:pt idx="3">
                  <c:v>23/10/2012</c:v>
                </c:pt>
                <c:pt idx="4">
                  <c:v>24/10/2012</c:v>
                </c:pt>
              </c:strCache>
            </c:strRef>
          </c:cat>
          <c:val>
            <c:numRef>
              <c:f>'costo VS tiempo'!$D$4:$D$8</c:f>
              <c:numCache>
                <c:formatCode>"$"#.##0,00</c:formatCode>
                <c:ptCount val="5"/>
                <c:pt idx="0">
                  <c:v>15037631.796875</c:v>
                </c:pt>
                <c:pt idx="1">
                  <c:v>78558322.084374994</c:v>
                </c:pt>
                <c:pt idx="2">
                  <c:v>350904866.45528221</c:v>
                </c:pt>
                <c:pt idx="3">
                  <c:v>377888695.05059469</c:v>
                </c:pt>
                <c:pt idx="4" formatCode="&quot;$&quot;\ #.##0,00">
                  <c:v>385407510.94903219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215040"/>
        <c:axId val="96216192"/>
      </c:lineChart>
      <c:catAx>
        <c:axId val="96215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6216192"/>
        <c:crosses val="autoZero"/>
        <c:auto val="1"/>
        <c:lblAlgn val="ctr"/>
        <c:lblOffset val="100"/>
        <c:noMultiLvlLbl val="0"/>
      </c:catAx>
      <c:valAx>
        <c:axId val="96216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.##0,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62150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944718789769871"/>
          <c:y val="1.6295433844463234E-2"/>
          <c:w val="0.84151625147147624"/>
          <c:h val="0.83067232593577556"/>
        </c:manualLayout>
      </c:layout>
      <c:lineChart>
        <c:grouping val="standard"/>
        <c:varyColors val="0"/>
        <c:ser>
          <c:idx val="0"/>
          <c:order val="0"/>
          <c:tx>
            <c:strRef>
              <c:f>'costo VS tiempo'!$D$34</c:f>
              <c:strCache>
                <c:ptCount val="1"/>
                <c:pt idx="0">
                  <c:v> LINEA BASE 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'costo VS tiempo'!$C$35:$C$39</c:f>
              <c:strCache>
                <c:ptCount val="5"/>
                <c:pt idx="0">
                  <c:v>09/12/2012</c:v>
                </c:pt>
                <c:pt idx="1">
                  <c:v>24/9/2012</c:v>
                </c:pt>
                <c:pt idx="2">
                  <c:v>18/10/2012</c:v>
                </c:pt>
                <c:pt idx="3">
                  <c:v>23/10/2012</c:v>
                </c:pt>
                <c:pt idx="4">
                  <c:v>24/10/2012</c:v>
                </c:pt>
              </c:strCache>
            </c:strRef>
          </c:cat>
          <c:val>
            <c:numRef>
              <c:f>'costo VS tiempo'!$D$35:$D$39</c:f>
              <c:numCache>
                <c:formatCode>"$"#.##0,00</c:formatCode>
                <c:ptCount val="5"/>
                <c:pt idx="0">
                  <c:v>15037631.796875</c:v>
                </c:pt>
                <c:pt idx="1">
                  <c:v>78558322.084374994</c:v>
                </c:pt>
                <c:pt idx="2">
                  <c:v>350904866.45528221</c:v>
                </c:pt>
                <c:pt idx="3">
                  <c:v>377888695.05059469</c:v>
                </c:pt>
                <c:pt idx="4">
                  <c:v>385407510.94903219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'costo VS tiempo'!$E$34</c:f>
              <c:strCache>
                <c:ptCount val="1"/>
                <c:pt idx="0">
                  <c:v> LINEA REAL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'costo VS tiempo'!$C$35:$C$39</c:f>
              <c:strCache>
                <c:ptCount val="5"/>
                <c:pt idx="0">
                  <c:v>09/12/2012</c:v>
                </c:pt>
                <c:pt idx="1">
                  <c:v>24/9/2012</c:v>
                </c:pt>
                <c:pt idx="2">
                  <c:v>18/10/2012</c:v>
                </c:pt>
                <c:pt idx="3">
                  <c:v>23/10/2012</c:v>
                </c:pt>
                <c:pt idx="4">
                  <c:v>24/10/2012</c:v>
                </c:pt>
              </c:strCache>
            </c:strRef>
          </c:cat>
          <c:val>
            <c:numRef>
              <c:f>'costo VS tiempo'!$E$35:$E$39</c:f>
              <c:numCache>
                <c:formatCode>"$"#.##0,00</c:formatCode>
                <c:ptCount val="5"/>
                <c:pt idx="0">
                  <c:v>15037631.796875</c:v>
                </c:pt>
                <c:pt idx="1">
                  <c:v>78558322.084374994</c:v>
                </c:pt>
                <c:pt idx="2">
                  <c:v>385998130.05528218</c:v>
                </c:pt>
                <c:pt idx="3">
                  <c:v>412981958.65059465</c:v>
                </c:pt>
                <c:pt idx="4">
                  <c:v>420500774.54903215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257152"/>
        <c:axId val="96259072"/>
      </c:lineChart>
      <c:catAx>
        <c:axId val="96257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6259072"/>
        <c:crosses val="autoZero"/>
        <c:auto val="1"/>
        <c:lblAlgn val="ctr"/>
        <c:lblOffset val="100"/>
        <c:noMultiLvlLbl val="0"/>
      </c:catAx>
      <c:valAx>
        <c:axId val="96259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.##0,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62571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136990</xdr:colOff>
      <xdr:row>10</xdr:row>
      <xdr:rowOff>55749</xdr:rowOff>
    </xdr:from>
    <xdr:to>
      <xdr:col>6</xdr:col>
      <xdr:colOff>370353</xdr:colOff>
      <xdr:row>29</xdr:row>
      <xdr:rowOff>184337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308161</xdr:colOff>
      <xdr:row>41</xdr:row>
      <xdr:rowOff>67235</xdr:rowOff>
    </xdr:from>
    <xdr:to>
      <xdr:col>5</xdr:col>
      <xdr:colOff>1333500</xdr:colOff>
      <xdr:row>63</xdr:row>
      <xdr:rowOff>156882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F58"/>
  <sheetViews>
    <sheetView topLeftCell="B1" zoomScaleNormal="100" workbookViewId="0">
      <selection activeCell="D12" sqref="D12"/>
    </sheetView>
  </sheetViews>
  <sheetFormatPr baseColWidth="10" defaultColWidth="11.42578125" defaultRowHeight="15" x14ac:dyDescent="0.25"/>
  <cols>
    <col min="1" max="1" width="35.28515625" customWidth="1"/>
    <col min="2" max="2" width="12.42578125" style="35" customWidth="1"/>
    <col min="3" max="3" width="7.42578125" style="35" customWidth="1"/>
    <col min="4" max="4" width="14.42578125" style="1" customWidth="1"/>
    <col min="5" max="5" width="10.5703125" style="3" customWidth="1"/>
    <col min="6" max="6" width="15.7109375" style="2" customWidth="1"/>
    <col min="7" max="7" width="17.5703125" style="2" customWidth="1"/>
    <col min="8" max="8" width="12.7109375" style="2" customWidth="1"/>
    <col min="9" max="9" width="16.42578125" style="2" customWidth="1"/>
    <col min="10" max="10" width="10.5703125" style="2" bestFit="1" customWidth="1"/>
    <col min="11" max="11" width="24.42578125" style="2" bestFit="1" customWidth="1"/>
    <col min="12" max="32" width="11.42578125" style="2"/>
  </cols>
  <sheetData>
    <row r="3" spans="1:32" x14ac:dyDescent="0.25">
      <c r="A3" s="198"/>
      <c r="B3" s="198"/>
      <c r="C3" s="198"/>
      <c r="D3" s="198"/>
      <c r="E3" s="198"/>
      <c r="F3" s="198"/>
      <c r="G3" s="198"/>
      <c r="H3" s="198"/>
      <c r="I3" s="198"/>
      <c r="J3" s="24"/>
      <c r="K3" s="24"/>
    </row>
    <row r="4" spans="1:32" s="62" customFormat="1" ht="36.75" customHeight="1" x14ac:dyDescent="0.25">
      <c r="A4" s="53" t="s">
        <v>0</v>
      </c>
      <c r="B4" s="53" t="s">
        <v>1</v>
      </c>
      <c r="C4" s="53" t="s">
        <v>2</v>
      </c>
      <c r="D4" s="60" t="s">
        <v>3</v>
      </c>
      <c r="E4" s="60" t="s">
        <v>4</v>
      </c>
      <c r="F4" s="60" t="s">
        <v>5</v>
      </c>
      <c r="G4" s="60" t="s">
        <v>6</v>
      </c>
      <c r="H4" s="53" t="s">
        <v>7</v>
      </c>
      <c r="I4" s="60" t="s">
        <v>8</v>
      </c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</row>
    <row r="5" spans="1:32" x14ac:dyDescent="0.25">
      <c r="A5" s="9"/>
      <c r="B5" s="26"/>
      <c r="C5" s="26"/>
      <c r="D5" s="10"/>
      <c r="E5" s="11"/>
      <c r="F5" s="12"/>
      <c r="G5" s="13"/>
      <c r="H5" s="13"/>
      <c r="I5" s="13"/>
    </row>
    <row r="6" spans="1:32" ht="15.75" thickBot="1" x14ac:dyDescent="0.3">
      <c r="A6" s="86" t="s">
        <v>9</v>
      </c>
      <c r="B6" s="26">
        <v>12</v>
      </c>
      <c r="C6" s="26" t="s">
        <v>10</v>
      </c>
      <c r="D6" s="31">
        <f>F6*0.84</f>
        <v>223910.39999999999</v>
      </c>
      <c r="E6" s="31">
        <f>F6*0.16</f>
        <v>42649.599999999999</v>
      </c>
      <c r="F6" s="31">
        <v>266560</v>
      </c>
      <c r="G6" s="31">
        <f>D6*B6</f>
        <v>2686924.7999999998</v>
      </c>
      <c r="H6" s="31">
        <f t="shared" ref="H6" si="0">E6*B6</f>
        <v>511795.19999999995</v>
      </c>
      <c r="I6" s="31">
        <f>G6+H6</f>
        <v>3198720</v>
      </c>
    </row>
    <row r="7" spans="1:32" ht="15.75" thickBot="1" x14ac:dyDescent="0.3">
      <c r="A7" s="86" t="s">
        <v>11</v>
      </c>
      <c r="B7" s="26">
        <v>12</v>
      </c>
      <c r="C7" s="26" t="s">
        <v>10</v>
      </c>
      <c r="D7" s="31">
        <f t="shared" ref="D7:D15" si="1">F7*0.84</f>
        <v>213933.72</v>
      </c>
      <c r="E7" s="31">
        <f t="shared" ref="E7:E15" si="2">F7*0.16</f>
        <v>40749.279999999999</v>
      </c>
      <c r="F7" s="31">
        <v>254683</v>
      </c>
      <c r="G7" s="31">
        <f>I7*0.84</f>
        <v>2567204.64</v>
      </c>
      <c r="H7" s="31">
        <f>I7*0.16</f>
        <v>488991.36</v>
      </c>
      <c r="I7" s="31">
        <f>F7*B7</f>
        <v>3056196</v>
      </c>
    </row>
    <row r="8" spans="1:32" ht="15.75" thickBot="1" x14ac:dyDescent="0.3">
      <c r="A8" s="86" t="s">
        <v>12</v>
      </c>
      <c r="B8" s="26">
        <v>12</v>
      </c>
      <c r="C8" s="26" t="s">
        <v>10</v>
      </c>
      <c r="D8" s="31">
        <f>F8*0.84</f>
        <v>135550.79999999999</v>
      </c>
      <c r="E8" s="31">
        <f>F8*0.16</f>
        <v>25819.200000000001</v>
      </c>
      <c r="F8" s="31">
        <v>161370</v>
      </c>
      <c r="G8" s="31">
        <f t="shared" ref="G8:G19" si="3">I8*0.84</f>
        <v>1626609.5999999999</v>
      </c>
      <c r="H8" s="31">
        <f t="shared" ref="H8:H19" si="4">I8*0.16</f>
        <v>309830.40000000002</v>
      </c>
      <c r="I8" s="31">
        <f t="shared" ref="I8:I19" si="5">F8*B8</f>
        <v>1936440</v>
      </c>
    </row>
    <row r="9" spans="1:32" ht="15.75" thickBot="1" x14ac:dyDescent="0.3">
      <c r="A9" s="86" t="s">
        <v>13</v>
      </c>
      <c r="B9" s="26">
        <v>12</v>
      </c>
      <c r="C9" s="26" t="s">
        <v>10</v>
      </c>
      <c r="D9" s="31">
        <f t="shared" si="1"/>
        <v>127915.2</v>
      </c>
      <c r="E9" s="31">
        <f t="shared" si="2"/>
        <v>24364.799999999999</v>
      </c>
      <c r="F9" s="31">
        <v>152280</v>
      </c>
      <c r="G9" s="31">
        <f t="shared" si="3"/>
        <v>1534982.4</v>
      </c>
      <c r="H9" s="31">
        <f t="shared" si="4"/>
        <v>292377.60000000003</v>
      </c>
      <c r="I9" s="31">
        <f t="shared" si="5"/>
        <v>1827360</v>
      </c>
    </row>
    <row r="10" spans="1:32" ht="15.75" thickBot="1" x14ac:dyDescent="0.3">
      <c r="A10" s="86" t="s">
        <v>14</v>
      </c>
      <c r="B10" s="26">
        <v>12</v>
      </c>
      <c r="C10" s="26" t="s">
        <v>10</v>
      </c>
      <c r="D10" s="31">
        <f>F10*0.84</f>
        <v>86982</v>
      </c>
      <c r="E10" s="31">
        <f>F10*0.16</f>
        <v>16568</v>
      </c>
      <c r="F10" s="31">
        <v>103550</v>
      </c>
      <c r="G10" s="31">
        <f t="shared" si="3"/>
        <v>1043784</v>
      </c>
      <c r="H10" s="31">
        <f t="shared" si="4"/>
        <v>198816</v>
      </c>
      <c r="I10" s="31">
        <f t="shared" si="5"/>
        <v>1242600</v>
      </c>
    </row>
    <row r="11" spans="1:32" ht="15.75" thickBot="1" x14ac:dyDescent="0.3">
      <c r="A11" s="86" t="s">
        <v>15</v>
      </c>
      <c r="B11" s="26">
        <v>12</v>
      </c>
      <c r="C11" s="26" t="s">
        <v>10</v>
      </c>
      <c r="D11" s="31">
        <f>F11*0.84</f>
        <v>82635</v>
      </c>
      <c r="E11" s="31">
        <f>F11*0.16</f>
        <v>15740</v>
      </c>
      <c r="F11" s="31">
        <v>98375</v>
      </c>
      <c r="G11" s="31">
        <f t="shared" si="3"/>
        <v>991620</v>
      </c>
      <c r="H11" s="31">
        <f t="shared" si="4"/>
        <v>188880</v>
      </c>
      <c r="I11" s="31">
        <f t="shared" si="5"/>
        <v>1180500</v>
      </c>
    </row>
    <row r="12" spans="1:32" s="8" customFormat="1" ht="15.75" thickBot="1" x14ac:dyDescent="0.3">
      <c r="A12" s="86" t="s">
        <v>16</v>
      </c>
      <c r="B12" s="26">
        <v>12</v>
      </c>
      <c r="C12" s="26" t="s">
        <v>10</v>
      </c>
      <c r="D12" s="31">
        <f t="shared" ref="D12:D13" si="6">F12*0.84</f>
        <v>81088.56</v>
      </c>
      <c r="E12" s="31">
        <f t="shared" ref="E12:E13" si="7">F12*0.16</f>
        <v>15445.44</v>
      </c>
      <c r="F12" s="31">
        <v>96534</v>
      </c>
      <c r="G12" s="31">
        <f t="shared" si="3"/>
        <v>973062.72</v>
      </c>
      <c r="H12" s="31">
        <f t="shared" si="4"/>
        <v>185345.28</v>
      </c>
      <c r="I12" s="31">
        <f t="shared" si="5"/>
        <v>1158408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32" s="8" customFormat="1" ht="15.75" thickBot="1" x14ac:dyDescent="0.3">
      <c r="A13" s="86" t="s">
        <v>17</v>
      </c>
      <c r="B13" s="26">
        <v>12</v>
      </c>
      <c r="C13" s="26" t="s">
        <v>10</v>
      </c>
      <c r="D13" s="31">
        <f t="shared" si="6"/>
        <v>77238.84</v>
      </c>
      <c r="E13" s="31">
        <f t="shared" si="7"/>
        <v>14712.16</v>
      </c>
      <c r="F13" s="31">
        <v>91951</v>
      </c>
      <c r="G13" s="31">
        <f t="shared" si="3"/>
        <v>926866.08</v>
      </c>
      <c r="H13" s="31">
        <f t="shared" si="4"/>
        <v>176545.92000000001</v>
      </c>
      <c r="I13" s="31">
        <f t="shared" si="5"/>
        <v>1103412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32" ht="15.75" thickBot="1" x14ac:dyDescent="0.3">
      <c r="A14" s="86" t="s">
        <v>18</v>
      </c>
      <c r="B14" s="26">
        <v>12</v>
      </c>
      <c r="C14" s="26" t="s">
        <v>10</v>
      </c>
      <c r="D14" s="31">
        <f t="shared" si="1"/>
        <v>74810.399999999994</v>
      </c>
      <c r="E14" s="31">
        <f t="shared" si="2"/>
        <v>14249.6</v>
      </c>
      <c r="F14" s="31">
        <v>89060</v>
      </c>
      <c r="G14" s="31">
        <f t="shared" si="3"/>
        <v>897724.79999999993</v>
      </c>
      <c r="H14" s="31">
        <f t="shared" si="4"/>
        <v>170995.20000000001</v>
      </c>
      <c r="I14" s="31">
        <f t="shared" si="5"/>
        <v>1068720</v>
      </c>
    </row>
    <row r="15" spans="1:32" ht="15.75" thickBot="1" x14ac:dyDescent="0.3">
      <c r="A15" s="86" t="s">
        <v>19</v>
      </c>
      <c r="B15" s="26">
        <v>12</v>
      </c>
      <c r="C15" s="26" t="s">
        <v>10</v>
      </c>
      <c r="D15" s="31">
        <f t="shared" si="1"/>
        <v>70217.279999999999</v>
      </c>
      <c r="E15" s="31">
        <f t="shared" si="2"/>
        <v>13374.720000000001</v>
      </c>
      <c r="F15" s="31">
        <v>83592</v>
      </c>
      <c r="G15" s="31">
        <f t="shared" si="3"/>
        <v>842607.36</v>
      </c>
      <c r="H15" s="31">
        <f t="shared" si="4"/>
        <v>160496.64000000001</v>
      </c>
      <c r="I15" s="31">
        <f t="shared" si="5"/>
        <v>1003104</v>
      </c>
    </row>
    <row r="16" spans="1:32" ht="15.75" thickBot="1" x14ac:dyDescent="0.3">
      <c r="A16" s="107" t="s">
        <v>20</v>
      </c>
      <c r="B16" s="26">
        <v>12</v>
      </c>
      <c r="C16" s="26" t="s">
        <v>10</v>
      </c>
      <c r="D16" s="31">
        <f t="shared" ref="D16" si="8">F16*0.84</f>
        <v>280827.12</v>
      </c>
      <c r="E16" s="31">
        <f t="shared" ref="E16" si="9">F16*0.16</f>
        <v>53490.880000000005</v>
      </c>
      <c r="F16" s="31">
        <v>334318</v>
      </c>
      <c r="G16" s="31">
        <f t="shared" si="3"/>
        <v>3369925.44</v>
      </c>
      <c r="H16" s="31">
        <f t="shared" si="4"/>
        <v>641890.56000000006</v>
      </c>
      <c r="I16" s="31">
        <f t="shared" si="5"/>
        <v>4011816</v>
      </c>
      <c r="K16" s="15"/>
    </row>
    <row r="17" spans="1:32" s="8" customFormat="1" x14ac:dyDescent="0.25">
      <c r="A17" s="107" t="s">
        <v>21</v>
      </c>
      <c r="B17" s="33">
        <v>3</v>
      </c>
      <c r="C17" s="33" t="s">
        <v>22</v>
      </c>
      <c r="D17" s="31">
        <f>F17*0.84</f>
        <v>13440000</v>
      </c>
      <c r="E17" s="31">
        <f>F17*0.16</f>
        <v>2560000</v>
      </c>
      <c r="F17" s="31">
        <v>16000000</v>
      </c>
      <c r="G17" s="31">
        <f>I17*0.84</f>
        <v>40320000</v>
      </c>
      <c r="H17" s="31">
        <f>I17*0.16</f>
        <v>7680000</v>
      </c>
      <c r="I17" s="31">
        <f>F17*B17</f>
        <v>48000000</v>
      </c>
      <c r="J17" s="2"/>
      <c r="K17" s="150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32" x14ac:dyDescent="0.25">
      <c r="A18" s="8"/>
      <c r="I18" s="151">
        <f>SUM(I6:I17)</f>
        <v>68787276</v>
      </c>
      <c r="K18" s="15"/>
    </row>
    <row r="19" spans="1:32" x14ac:dyDescent="0.25">
      <c r="A19" s="107" t="s">
        <v>23</v>
      </c>
      <c r="B19" s="26">
        <v>1</v>
      </c>
      <c r="C19" s="26" t="s">
        <v>22</v>
      </c>
      <c r="D19" s="31">
        <f t="shared" ref="D19:D25" si="10">F19*0.84</f>
        <v>117600</v>
      </c>
      <c r="E19" s="31">
        <f>F19*0.16</f>
        <v>22400</v>
      </c>
      <c r="F19" s="31">
        <v>140000</v>
      </c>
      <c r="G19" s="31">
        <f t="shared" si="3"/>
        <v>117600</v>
      </c>
      <c r="H19" s="31">
        <f t="shared" si="4"/>
        <v>22400</v>
      </c>
      <c r="I19" s="31">
        <f t="shared" si="5"/>
        <v>140000</v>
      </c>
      <c r="J19" s="100"/>
    </row>
    <row r="20" spans="1:32" s="8" customFormat="1" ht="15.75" thickBot="1" x14ac:dyDescent="0.3">
      <c r="A20" s="86" t="s">
        <v>24</v>
      </c>
      <c r="B20" s="33">
        <v>3</v>
      </c>
      <c r="C20" s="33" t="s">
        <v>22</v>
      </c>
      <c r="D20" s="31">
        <f t="shared" si="10"/>
        <v>1055880</v>
      </c>
      <c r="E20" s="31">
        <f>F20*0.16</f>
        <v>201120</v>
      </c>
      <c r="F20" s="31">
        <v>1257000</v>
      </c>
      <c r="G20" s="31">
        <f t="shared" ref="G20:G26" si="11">D20*B20</f>
        <v>3167640</v>
      </c>
      <c r="H20" s="31">
        <f t="shared" ref="H20:H26" si="12">E20*B20</f>
        <v>603360</v>
      </c>
      <c r="I20" s="31">
        <f t="shared" ref="I20:I26" si="13">G20+H20</f>
        <v>3771000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32" s="8" customFormat="1" ht="15.75" thickBot="1" x14ac:dyDescent="0.3">
      <c r="A21" s="86" t="s">
        <v>25</v>
      </c>
      <c r="B21" s="33">
        <v>2</v>
      </c>
      <c r="C21" s="33" t="s">
        <v>22</v>
      </c>
      <c r="D21" s="31">
        <f t="shared" si="10"/>
        <v>895440</v>
      </c>
      <c r="E21" s="31">
        <f>F21*0.16</f>
        <v>170560</v>
      </c>
      <c r="F21" s="31">
        <v>1066000</v>
      </c>
      <c r="G21" s="31">
        <f t="shared" si="11"/>
        <v>1790880</v>
      </c>
      <c r="H21" s="31">
        <f t="shared" si="12"/>
        <v>341120</v>
      </c>
      <c r="I21" s="31">
        <f t="shared" si="13"/>
        <v>2132000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32" s="8" customFormat="1" ht="15.75" thickBot="1" x14ac:dyDescent="0.3">
      <c r="A22" s="86" t="s">
        <v>26</v>
      </c>
      <c r="B22" s="33">
        <v>4</v>
      </c>
      <c r="C22" s="33" t="s">
        <v>22</v>
      </c>
      <c r="D22" s="31">
        <f t="shared" si="10"/>
        <v>2416680</v>
      </c>
      <c r="E22" s="31">
        <f>F22*0.16</f>
        <v>460320</v>
      </c>
      <c r="F22" s="31">
        <v>2877000</v>
      </c>
      <c r="G22" s="31">
        <f t="shared" si="11"/>
        <v>9666720</v>
      </c>
      <c r="H22" s="31">
        <f t="shared" si="12"/>
        <v>1841280</v>
      </c>
      <c r="I22" s="31">
        <f t="shared" si="13"/>
        <v>11508000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32" s="8" customFormat="1" ht="15.75" thickBot="1" x14ac:dyDescent="0.3">
      <c r="A23" s="86" t="s">
        <v>27</v>
      </c>
      <c r="B23" s="33">
        <v>3</v>
      </c>
      <c r="C23" s="33" t="s">
        <v>22</v>
      </c>
      <c r="D23" s="31">
        <f t="shared" si="10"/>
        <v>4029480</v>
      </c>
      <c r="E23" s="31">
        <f t="shared" ref="E23" si="14">F23*0.16</f>
        <v>767520</v>
      </c>
      <c r="F23" s="31">
        <v>4797000</v>
      </c>
      <c r="G23" s="31">
        <f t="shared" si="11"/>
        <v>12088440</v>
      </c>
      <c r="H23" s="31">
        <f t="shared" si="12"/>
        <v>2302560</v>
      </c>
      <c r="I23" s="31">
        <f t="shared" si="13"/>
        <v>14391000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32" s="8" customFormat="1" ht="15.75" thickBot="1" x14ac:dyDescent="0.3">
      <c r="A24" s="86" t="s">
        <v>28</v>
      </c>
      <c r="B24" s="26">
        <v>10</v>
      </c>
      <c r="C24" s="26" t="s">
        <v>22</v>
      </c>
      <c r="D24" s="31">
        <f t="shared" si="10"/>
        <v>369600</v>
      </c>
      <c r="E24" s="31">
        <f>F24*0.16</f>
        <v>70400</v>
      </c>
      <c r="F24" s="31">
        <v>440000</v>
      </c>
      <c r="G24" s="31">
        <f t="shared" si="11"/>
        <v>3696000</v>
      </c>
      <c r="H24" s="31">
        <f t="shared" si="12"/>
        <v>704000</v>
      </c>
      <c r="I24" s="31">
        <f t="shared" si="13"/>
        <v>4400000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32" ht="15.75" thickBot="1" x14ac:dyDescent="0.3">
      <c r="A25" s="86" t="s">
        <v>29</v>
      </c>
      <c r="B25" s="26">
        <v>1</v>
      </c>
      <c r="C25" s="26" t="s">
        <v>22</v>
      </c>
      <c r="D25" s="31">
        <f t="shared" si="10"/>
        <v>2100000</v>
      </c>
      <c r="E25" s="31">
        <f>F25*0.16</f>
        <v>400000</v>
      </c>
      <c r="F25" s="31">
        <v>2500000</v>
      </c>
      <c r="G25" s="31">
        <f t="shared" si="11"/>
        <v>2100000</v>
      </c>
      <c r="H25" s="31">
        <f t="shared" si="12"/>
        <v>400000</v>
      </c>
      <c r="I25" s="31">
        <f t="shared" si="13"/>
        <v>2500000</v>
      </c>
      <c r="K25" s="15"/>
    </row>
    <row r="26" spans="1:32" s="8" customFormat="1" x14ac:dyDescent="0.25">
      <c r="A26" s="108" t="s">
        <v>30</v>
      </c>
      <c r="B26" s="26">
        <v>1</v>
      </c>
      <c r="C26" s="26" t="s">
        <v>22</v>
      </c>
      <c r="D26" s="31">
        <f>F26*0.84</f>
        <v>2856000</v>
      </c>
      <c r="E26" s="31">
        <f>F26*0.16</f>
        <v>544000</v>
      </c>
      <c r="F26" s="31">
        <v>3400000</v>
      </c>
      <c r="G26" s="31">
        <f t="shared" si="11"/>
        <v>2856000</v>
      </c>
      <c r="H26" s="31">
        <f t="shared" si="12"/>
        <v>544000</v>
      </c>
      <c r="I26" s="31">
        <f t="shared" si="13"/>
        <v>3400000</v>
      </c>
      <c r="J26" s="164"/>
      <c r="K26" s="15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32" x14ac:dyDescent="0.25">
      <c r="A27" s="9"/>
      <c r="B27" s="26"/>
      <c r="C27" s="26"/>
      <c r="D27" s="31"/>
      <c r="E27" s="31"/>
      <c r="F27" s="31"/>
      <c r="G27" s="31"/>
      <c r="H27" s="31"/>
      <c r="I27" s="72">
        <f>SUM(I18:I26)</f>
        <v>111029276</v>
      </c>
    </row>
    <row r="29" spans="1:32" x14ac:dyDescent="0.25">
      <c r="A29" s="8"/>
    </row>
    <row r="30" spans="1:32" s="8" customFormat="1" x14ac:dyDescent="0.25">
      <c r="A30" s="197" t="s">
        <v>31</v>
      </c>
      <c r="B30" s="197"/>
      <c r="C30" s="197"/>
      <c r="D30" s="197"/>
      <c r="E30" s="197"/>
      <c r="F30" s="197"/>
      <c r="G30" s="197"/>
      <c r="H30" s="197"/>
      <c r="I30" s="197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32" s="51" customFormat="1" ht="42.75" customHeight="1" x14ac:dyDescent="0.25">
      <c r="A31" s="55" t="s">
        <v>32</v>
      </c>
      <c r="B31" s="56" t="s">
        <v>33</v>
      </c>
      <c r="C31" s="56"/>
      <c r="D31" s="56" t="s">
        <v>34</v>
      </c>
      <c r="E31" s="56" t="s">
        <v>7</v>
      </c>
      <c r="F31" s="57" t="s">
        <v>35</v>
      </c>
      <c r="G31" s="58" t="s">
        <v>36</v>
      </c>
      <c r="H31" s="57" t="s">
        <v>7</v>
      </c>
      <c r="I31" s="58" t="s">
        <v>37</v>
      </c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</row>
    <row r="32" spans="1:32" x14ac:dyDescent="0.25">
      <c r="A32" s="9" t="s">
        <v>38</v>
      </c>
      <c r="B32" s="26">
        <v>8</v>
      </c>
      <c r="C32" s="33" t="s">
        <v>22</v>
      </c>
      <c r="D32" s="31">
        <f>F32*0.84</f>
        <v>386400</v>
      </c>
      <c r="E32" s="31">
        <f>F32*0.16</f>
        <v>73600</v>
      </c>
      <c r="F32" s="31">
        <v>460000</v>
      </c>
      <c r="G32" s="31">
        <f>D32*B32</f>
        <v>3091200</v>
      </c>
      <c r="H32" s="31">
        <f>E32*B32</f>
        <v>588800</v>
      </c>
      <c r="I32" s="31">
        <f>G32+H32</f>
        <v>3680000</v>
      </c>
    </row>
    <row r="33" spans="1:32" x14ac:dyDescent="0.25">
      <c r="A33" s="9" t="s">
        <v>39</v>
      </c>
      <c r="B33" s="26">
        <v>1</v>
      </c>
      <c r="C33" s="33" t="s">
        <v>22</v>
      </c>
      <c r="D33" s="31">
        <f t="shared" ref="D33:D36" si="15">F33*0.84</f>
        <v>1848000</v>
      </c>
      <c r="E33" s="31">
        <f>F33*0.16</f>
        <v>352000</v>
      </c>
      <c r="F33" s="31">
        <v>2200000</v>
      </c>
      <c r="G33" s="31">
        <f t="shared" ref="G33:G35" si="16">D33*B33</f>
        <v>1848000</v>
      </c>
      <c r="H33" s="31">
        <f t="shared" ref="H33:H36" si="17">E33*B33</f>
        <v>352000</v>
      </c>
      <c r="I33" s="31">
        <f t="shared" ref="I33:I35" si="18">G33+H33</f>
        <v>2200000</v>
      </c>
    </row>
    <row r="34" spans="1:32" s="8" customFormat="1" x14ac:dyDescent="0.25">
      <c r="A34" s="13" t="s">
        <v>40</v>
      </c>
      <c r="B34" s="33">
        <v>3</v>
      </c>
      <c r="C34" s="33" t="s">
        <v>22</v>
      </c>
      <c r="D34" s="31">
        <f t="shared" si="15"/>
        <v>21000000</v>
      </c>
      <c r="E34" s="31">
        <f>F34*0.16</f>
        <v>4000000</v>
      </c>
      <c r="F34" s="31">
        <v>25000000</v>
      </c>
      <c r="G34" s="31">
        <f t="shared" si="16"/>
        <v>63000000</v>
      </c>
      <c r="H34" s="31">
        <f t="shared" si="17"/>
        <v>12000000</v>
      </c>
      <c r="I34" s="31">
        <f t="shared" si="18"/>
        <v>75000000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1:32" s="8" customFormat="1" x14ac:dyDescent="0.25">
      <c r="A35" s="9" t="s">
        <v>41</v>
      </c>
      <c r="B35" s="26">
        <v>2</v>
      </c>
      <c r="C35" s="33" t="s">
        <v>22</v>
      </c>
      <c r="D35" s="31">
        <f t="shared" si="15"/>
        <v>173040</v>
      </c>
      <c r="E35" s="31">
        <f>F35*0.16</f>
        <v>32960</v>
      </c>
      <c r="F35" s="31">
        <v>206000</v>
      </c>
      <c r="G35" s="31">
        <f t="shared" si="16"/>
        <v>346080</v>
      </c>
      <c r="H35" s="31">
        <f t="shared" si="17"/>
        <v>65920</v>
      </c>
      <c r="I35" s="31">
        <f t="shared" si="18"/>
        <v>412000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1:32" x14ac:dyDescent="0.25">
      <c r="A36" s="9" t="s">
        <v>42</v>
      </c>
      <c r="B36" s="26">
        <v>1</v>
      </c>
      <c r="C36" s="33" t="s">
        <v>22</v>
      </c>
      <c r="D36" s="31">
        <f t="shared" si="15"/>
        <v>1559040</v>
      </c>
      <c r="E36" s="31">
        <f>F36*0.16</f>
        <v>296960</v>
      </c>
      <c r="F36" s="31">
        <v>1856000</v>
      </c>
      <c r="G36" s="31">
        <f>D36*B36</f>
        <v>1559040</v>
      </c>
      <c r="H36" s="31">
        <f t="shared" si="17"/>
        <v>296960</v>
      </c>
      <c r="I36" s="31">
        <f>G36+H36</f>
        <v>1856000</v>
      </c>
    </row>
    <row r="37" spans="1:32" x14ac:dyDescent="0.25">
      <c r="A37" s="9" t="s">
        <v>43</v>
      </c>
      <c r="B37" s="26"/>
      <c r="C37" s="26"/>
      <c r="D37" s="26"/>
      <c r="E37" s="33"/>
      <c r="F37" s="34"/>
      <c r="G37" s="34"/>
      <c r="H37" s="34"/>
      <c r="I37" s="36">
        <f>SUM(I32:I36)</f>
        <v>83148000</v>
      </c>
      <c r="K37" s="71"/>
    </row>
    <row r="38" spans="1:32" x14ac:dyDescent="0.25">
      <c r="A38" s="8"/>
      <c r="F38" s="15"/>
    </row>
    <row r="39" spans="1:32" x14ac:dyDescent="0.25">
      <c r="A39" s="16" t="s">
        <v>44</v>
      </c>
      <c r="B39" s="31">
        <f>I37/8</f>
        <v>10393500</v>
      </c>
      <c r="C39" s="35" t="s">
        <v>45</v>
      </c>
      <c r="D39" s="64"/>
      <c r="F39" s="15"/>
    </row>
    <row r="40" spans="1:32" x14ac:dyDescent="0.25">
      <c r="A40" s="16" t="s">
        <v>46</v>
      </c>
      <c r="B40" s="31">
        <f>B39/12</f>
        <v>866125</v>
      </c>
      <c r="C40" s="35" t="s">
        <v>47</v>
      </c>
      <c r="F40" s="15"/>
    </row>
    <row r="41" spans="1:32" x14ac:dyDescent="0.25">
      <c r="A41" s="8"/>
      <c r="F41" s="15"/>
    </row>
    <row r="42" spans="1:32" x14ac:dyDescent="0.25">
      <c r="A42" s="8"/>
      <c r="F42" s="15"/>
    </row>
    <row r="43" spans="1:32" x14ac:dyDescent="0.25">
      <c r="A43" s="8"/>
      <c r="F43" s="15"/>
    </row>
    <row r="44" spans="1:32" x14ac:dyDescent="0.25">
      <c r="A44" s="8"/>
      <c r="F44" s="15"/>
    </row>
    <row r="45" spans="1:32" x14ac:dyDescent="0.25">
      <c r="A45" s="8"/>
      <c r="F45" s="15"/>
    </row>
    <row r="46" spans="1:32" x14ac:dyDescent="0.25">
      <c r="A46" s="8"/>
      <c r="F46" s="15"/>
    </row>
    <row r="47" spans="1:32" x14ac:dyDescent="0.25">
      <c r="A47" s="8"/>
      <c r="F47" s="15"/>
    </row>
    <row r="48" spans="1:32" x14ac:dyDescent="0.25">
      <c r="A48" s="8"/>
      <c r="F48" s="15"/>
    </row>
    <row r="49" spans="1:6" x14ac:dyDescent="0.25">
      <c r="A49" s="8"/>
      <c r="F49" s="15"/>
    </row>
    <row r="50" spans="1:6" x14ac:dyDescent="0.25">
      <c r="A50" s="8"/>
      <c r="F50" s="15"/>
    </row>
    <row r="51" spans="1:6" x14ac:dyDescent="0.25">
      <c r="A51" s="8"/>
      <c r="F51" s="15"/>
    </row>
    <row r="52" spans="1:6" x14ac:dyDescent="0.25">
      <c r="A52" s="8"/>
    </row>
    <row r="53" spans="1:6" x14ac:dyDescent="0.25">
      <c r="A53" s="8"/>
    </row>
    <row r="54" spans="1:6" x14ac:dyDescent="0.25">
      <c r="A54" s="8"/>
    </row>
    <row r="55" spans="1:6" x14ac:dyDescent="0.25">
      <c r="A55" s="8"/>
    </row>
    <row r="56" spans="1:6" x14ac:dyDescent="0.25">
      <c r="A56" s="8"/>
    </row>
    <row r="57" spans="1:6" x14ac:dyDescent="0.25">
      <c r="A57" s="8"/>
    </row>
    <row r="58" spans="1:6" x14ac:dyDescent="0.25">
      <c r="A58" s="8"/>
    </row>
  </sheetData>
  <mergeCells count="2">
    <mergeCell ref="A30:I30"/>
    <mergeCell ref="A3:I3"/>
  </mergeCells>
  <pageMargins left="0.7" right="0.7" top="0.75" bottom="0.75" header="0.3" footer="0.3"/>
  <pageSetup paperSize="9" scale="61" orientation="portrait" r:id="rId1"/>
  <colBreaks count="1" manualBreakCount="1">
    <brk id="10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G56"/>
  <sheetViews>
    <sheetView topLeftCell="A37" workbookViewId="0">
      <selection activeCell="C56" sqref="C56"/>
    </sheetView>
  </sheetViews>
  <sheetFormatPr baseColWidth="10" defaultRowHeight="15" x14ac:dyDescent="0.25"/>
  <cols>
    <col min="2" max="2" width="38" bestFit="1" customWidth="1"/>
    <col min="3" max="3" width="23.85546875" bestFit="1" customWidth="1"/>
    <col min="5" max="5" width="53.7109375" bestFit="1" customWidth="1"/>
    <col min="6" max="6" width="30.42578125" bestFit="1" customWidth="1"/>
    <col min="7" max="7" width="13.7109375" bestFit="1" customWidth="1"/>
  </cols>
  <sheetData>
    <row r="5" spans="2:7" x14ac:dyDescent="0.25">
      <c r="B5" s="237" t="s">
        <v>238</v>
      </c>
      <c r="C5" s="238"/>
      <c r="E5" s="176" t="s">
        <v>240</v>
      </c>
      <c r="F5" s="176" t="s">
        <v>239</v>
      </c>
    </row>
    <row r="6" spans="2:7" x14ac:dyDescent="0.25">
      <c r="B6" s="177" t="s">
        <v>81</v>
      </c>
      <c r="C6" s="177" t="s">
        <v>242</v>
      </c>
      <c r="E6" s="186" t="s">
        <v>24</v>
      </c>
      <c r="F6" s="174">
        <v>3771000</v>
      </c>
    </row>
    <row r="7" spans="2:7" x14ac:dyDescent="0.25">
      <c r="B7" s="9" t="s">
        <v>250</v>
      </c>
      <c r="C7" s="169">
        <f>'Cableado Estructurado'!J28*0.2</f>
        <v>17084201.800000001</v>
      </c>
      <c r="E7" s="186" t="s">
        <v>25</v>
      </c>
      <c r="F7" s="174">
        <v>2132000</v>
      </c>
    </row>
    <row r="8" spans="2:7" x14ac:dyDescent="0.25">
      <c r="B8" s="9" t="s">
        <v>251</v>
      </c>
      <c r="C8" s="169">
        <f>SUM(F6:F11)*0.2</f>
        <v>7740400</v>
      </c>
      <c r="E8" s="186" t="s">
        <v>26</v>
      </c>
      <c r="F8" s="174">
        <v>11508000</v>
      </c>
    </row>
    <row r="9" spans="2:7" x14ac:dyDescent="0.25">
      <c r="B9" s="180" t="s">
        <v>252</v>
      </c>
      <c r="C9" s="169">
        <f>(CANALES!B39)*0.2</f>
        <v>2078700</v>
      </c>
      <c r="E9" s="186" t="s">
        <v>27</v>
      </c>
      <c r="F9" s="174">
        <v>14391000</v>
      </c>
    </row>
    <row r="10" spans="2:7" x14ac:dyDescent="0.25">
      <c r="B10" s="181"/>
      <c r="C10" s="179">
        <f>SUM(C7:C9)</f>
        <v>26903301.800000001</v>
      </c>
      <c r="E10" s="186" t="s">
        <v>28</v>
      </c>
      <c r="F10" s="175">
        <v>4400000</v>
      </c>
    </row>
    <row r="11" spans="2:7" x14ac:dyDescent="0.25">
      <c r="E11" s="186" t="s">
        <v>29</v>
      </c>
      <c r="F11" s="175">
        <v>2500000</v>
      </c>
      <c r="G11" s="185"/>
    </row>
    <row r="12" spans="2:7" x14ac:dyDescent="0.25">
      <c r="E12" s="70"/>
      <c r="F12" s="70"/>
    </row>
    <row r="13" spans="2:7" x14ac:dyDescent="0.25">
      <c r="B13" s="239" t="s">
        <v>241</v>
      </c>
      <c r="C13" s="239"/>
      <c r="E13" s="187" t="s">
        <v>243</v>
      </c>
      <c r="F13" s="188" t="s">
        <v>244</v>
      </c>
    </row>
    <row r="14" spans="2:7" ht="21.75" customHeight="1" x14ac:dyDescent="0.25">
      <c r="B14" s="177" t="s">
        <v>92</v>
      </c>
      <c r="C14" s="177" t="s">
        <v>242</v>
      </c>
      <c r="E14" s="214" t="s">
        <v>123</v>
      </c>
      <c r="F14" s="183">
        <v>784833.39999999991</v>
      </c>
    </row>
    <row r="15" spans="2:7" ht="15" customHeight="1" x14ac:dyDescent="0.25">
      <c r="B15" s="9" t="s">
        <v>247</v>
      </c>
      <c r="C15" s="169">
        <f>SUM(F14:F17)</f>
        <v>2326798.7999999998</v>
      </c>
      <c r="E15" s="215"/>
      <c r="F15" s="183">
        <v>784833.39999999991</v>
      </c>
    </row>
    <row r="16" spans="2:7" ht="15" customHeight="1" x14ac:dyDescent="0.25">
      <c r="B16" s="9" t="s">
        <v>248</v>
      </c>
      <c r="C16" s="169">
        <f>SUM(F18:F21)</f>
        <v>1163399.3999999999</v>
      </c>
      <c r="E16" s="215"/>
      <c r="F16" s="183">
        <v>332400</v>
      </c>
    </row>
    <row r="17" spans="2:7" x14ac:dyDescent="0.25">
      <c r="B17" s="180" t="s">
        <v>249</v>
      </c>
      <c r="C17" s="169">
        <f>SUM(F22:F23)</f>
        <v>604782.69999999995</v>
      </c>
      <c r="E17" s="216"/>
      <c r="F17" s="183">
        <v>424732</v>
      </c>
    </row>
    <row r="18" spans="2:7" ht="15" customHeight="1" x14ac:dyDescent="0.25">
      <c r="B18" s="181"/>
      <c r="C18" s="179">
        <f>SUM(C15:C17)</f>
        <v>4094980.8999999994</v>
      </c>
      <c r="E18" s="214" t="s">
        <v>124</v>
      </c>
      <c r="F18" s="184">
        <v>392416.69999999995</v>
      </c>
    </row>
    <row r="19" spans="2:7" x14ac:dyDescent="0.25">
      <c r="E19" s="215"/>
      <c r="F19" s="184">
        <v>392416.69999999995</v>
      </c>
    </row>
    <row r="20" spans="2:7" ht="15" customHeight="1" x14ac:dyDescent="0.25">
      <c r="E20" s="215"/>
      <c r="F20" s="184">
        <v>166200</v>
      </c>
    </row>
    <row r="21" spans="2:7" ht="15" customHeight="1" x14ac:dyDescent="0.25">
      <c r="B21" s="239" t="s">
        <v>245</v>
      </c>
      <c r="C21" s="239"/>
      <c r="E21" s="216"/>
      <c r="F21" s="184">
        <v>212366</v>
      </c>
    </row>
    <row r="22" spans="2:7" x14ac:dyDescent="0.25">
      <c r="B22" s="177" t="s">
        <v>92</v>
      </c>
      <c r="C22" s="177" t="s">
        <v>242</v>
      </c>
      <c r="E22" s="243" t="s">
        <v>125</v>
      </c>
      <c r="F22" s="184">
        <v>392416.69999999995</v>
      </c>
    </row>
    <row r="23" spans="2:7" x14ac:dyDescent="0.25">
      <c r="B23" s="9" t="s">
        <v>247</v>
      </c>
      <c r="C23" s="169">
        <v>2326798.7999999998</v>
      </c>
      <c r="E23" s="243"/>
      <c r="F23" s="183">
        <v>212366</v>
      </c>
    </row>
    <row r="24" spans="2:7" x14ac:dyDescent="0.25">
      <c r="B24" s="9" t="s">
        <v>248</v>
      </c>
      <c r="C24" s="169">
        <v>1163399.3999999999</v>
      </c>
    </row>
    <row r="25" spans="2:7" ht="13.5" customHeight="1" x14ac:dyDescent="0.25">
      <c r="B25" s="9" t="s">
        <v>249</v>
      </c>
      <c r="C25" s="169">
        <v>604782.69999999995</v>
      </c>
      <c r="G25" s="185"/>
    </row>
    <row r="26" spans="2:7" x14ac:dyDescent="0.25">
      <c r="B26" s="70"/>
      <c r="C26" s="178">
        <v>4094980.9</v>
      </c>
      <c r="E26" s="189"/>
      <c r="F26" s="182"/>
    </row>
    <row r="27" spans="2:7" x14ac:dyDescent="0.25">
      <c r="E27" s="182"/>
      <c r="F27" s="190"/>
    </row>
    <row r="28" spans="2:7" x14ac:dyDescent="0.25">
      <c r="E28" s="182"/>
      <c r="F28" s="190"/>
    </row>
    <row r="29" spans="2:7" ht="15.75" thickBot="1" x14ac:dyDescent="0.3">
      <c r="B29" s="239" t="s">
        <v>254</v>
      </c>
      <c r="C29" s="239"/>
      <c r="E29" s="187" t="s">
        <v>243</v>
      </c>
      <c r="F29" s="188" t="s">
        <v>244</v>
      </c>
    </row>
    <row r="30" spans="2:7" x14ac:dyDescent="0.25">
      <c r="B30" s="177" t="s">
        <v>92</v>
      </c>
      <c r="C30" s="177" t="s">
        <v>242</v>
      </c>
      <c r="E30" s="211" t="s">
        <v>129</v>
      </c>
      <c r="F30" s="184">
        <v>392416.69999999995</v>
      </c>
    </row>
    <row r="31" spans="2:7" x14ac:dyDescent="0.25">
      <c r="B31" s="9" t="s">
        <v>246</v>
      </c>
      <c r="C31" s="169">
        <f>SUM(F30:F33)</f>
        <v>1163399.3999999999</v>
      </c>
      <c r="E31" s="212"/>
      <c r="F31" s="184">
        <v>392416.69999999995</v>
      </c>
    </row>
    <row r="32" spans="2:7" x14ac:dyDescent="0.25">
      <c r="B32" s="9" t="s">
        <v>253</v>
      </c>
      <c r="C32" s="169">
        <f>SUM(F34:F36)</f>
        <v>951033.39999999991</v>
      </c>
      <c r="E32" s="212"/>
      <c r="F32" s="184">
        <v>166200</v>
      </c>
    </row>
    <row r="33" spans="2:6" ht="15.75" thickBot="1" x14ac:dyDescent="0.3">
      <c r="B33" s="9" t="s">
        <v>132</v>
      </c>
      <c r="C33" s="169">
        <f>SUM(F37:F40)</f>
        <v>1163399.3999999999</v>
      </c>
      <c r="E33" s="213"/>
      <c r="F33" s="184">
        <v>212366</v>
      </c>
    </row>
    <row r="34" spans="2:6" x14ac:dyDescent="0.25">
      <c r="B34" s="9" t="s">
        <v>134</v>
      </c>
      <c r="C34" s="192">
        <f>SUM(F41:F43)</f>
        <v>770982.7</v>
      </c>
      <c r="E34" s="240" t="s">
        <v>253</v>
      </c>
      <c r="F34" s="184">
        <v>392416.69999999995</v>
      </c>
    </row>
    <row r="35" spans="2:6" x14ac:dyDescent="0.25">
      <c r="B35" s="180" t="s">
        <v>135</v>
      </c>
      <c r="C35" s="169">
        <f>SUM(F44:F45)</f>
        <v>378566</v>
      </c>
      <c r="E35" s="241"/>
      <c r="F35" s="184">
        <v>392416.69999999995</v>
      </c>
    </row>
    <row r="36" spans="2:6" ht="15.75" thickBot="1" x14ac:dyDescent="0.3">
      <c r="B36" s="181"/>
      <c r="C36" s="179">
        <f>SUM(C32:C35)</f>
        <v>3263981.5</v>
      </c>
      <c r="E36" s="242"/>
      <c r="F36" s="184">
        <v>166200</v>
      </c>
    </row>
    <row r="37" spans="2:6" x14ac:dyDescent="0.25">
      <c r="E37" s="207" t="s">
        <v>132</v>
      </c>
      <c r="F37" s="184">
        <v>392416.69999999995</v>
      </c>
    </row>
    <row r="38" spans="2:6" x14ac:dyDescent="0.25">
      <c r="E38" s="208"/>
      <c r="F38" s="184">
        <v>392416.69999999995</v>
      </c>
    </row>
    <row r="39" spans="2:6" x14ac:dyDescent="0.25">
      <c r="B39" s="239" t="s">
        <v>255</v>
      </c>
      <c r="C39" s="239"/>
      <c r="E39" s="208"/>
      <c r="F39" s="184">
        <v>166200</v>
      </c>
    </row>
    <row r="40" spans="2:6" ht="15.75" thickBot="1" x14ac:dyDescent="0.3">
      <c r="B40" s="177" t="s">
        <v>92</v>
      </c>
      <c r="C40" s="177" t="s">
        <v>242</v>
      </c>
      <c r="E40" s="209"/>
      <c r="F40" s="184">
        <v>212366</v>
      </c>
    </row>
    <row r="41" spans="2:6" x14ac:dyDescent="0.25">
      <c r="B41" s="9" t="s">
        <v>247</v>
      </c>
      <c r="C41" s="169">
        <v>2326798.7999999998</v>
      </c>
      <c r="E41" s="207" t="s">
        <v>134</v>
      </c>
      <c r="F41" s="184">
        <v>392416.69999999995</v>
      </c>
    </row>
    <row r="42" spans="2:6" x14ac:dyDescent="0.25">
      <c r="B42" s="9" t="s">
        <v>248</v>
      </c>
      <c r="C42" s="169">
        <v>1163399.3999999999</v>
      </c>
      <c r="E42" s="208"/>
      <c r="F42" s="184">
        <v>166200</v>
      </c>
    </row>
    <row r="43" spans="2:6" ht="15.75" thickBot="1" x14ac:dyDescent="0.3">
      <c r="B43" s="9" t="s">
        <v>249</v>
      </c>
      <c r="C43" s="169">
        <v>604782.69999999995</v>
      </c>
      <c r="E43" s="209"/>
      <c r="F43" s="191">
        <v>212366</v>
      </c>
    </row>
    <row r="44" spans="2:6" x14ac:dyDescent="0.25">
      <c r="B44" s="70"/>
      <c r="C44" s="178">
        <v>4094980.8999999994</v>
      </c>
      <c r="E44" s="207" t="s">
        <v>135</v>
      </c>
      <c r="F44" s="184">
        <v>166200</v>
      </c>
    </row>
    <row r="45" spans="2:6" x14ac:dyDescent="0.25">
      <c r="E45" s="210"/>
      <c r="F45" s="184">
        <v>212366</v>
      </c>
    </row>
    <row r="49" spans="2:3" x14ac:dyDescent="0.25">
      <c r="B49" s="239" t="s">
        <v>257</v>
      </c>
      <c r="C49" s="239"/>
    </row>
    <row r="50" spans="2:3" x14ac:dyDescent="0.25">
      <c r="B50" s="9" t="s">
        <v>234</v>
      </c>
      <c r="C50" s="169">
        <f>C10</f>
        <v>26903301.800000001</v>
      </c>
    </row>
    <row r="51" spans="2:3" x14ac:dyDescent="0.25">
      <c r="B51" s="9" t="s">
        <v>258</v>
      </c>
      <c r="C51" s="169">
        <f>C18</f>
        <v>4094980.8999999994</v>
      </c>
    </row>
    <row r="52" spans="2:3" x14ac:dyDescent="0.25">
      <c r="B52" s="9" t="s">
        <v>236</v>
      </c>
      <c r="C52" s="169">
        <f>C26</f>
        <v>4094980.9</v>
      </c>
    </row>
    <row r="53" spans="2:3" x14ac:dyDescent="0.25">
      <c r="B53" s="9" t="s">
        <v>259</v>
      </c>
      <c r="C53" s="169">
        <f>C36</f>
        <v>3263981.5</v>
      </c>
    </row>
    <row r="54" spans="2:3" x14ac:dyDescent="0.25">
      <c r="B54" s="9" t="s">
        <v>260</v>
      </c>
      <c r="C54" s="169">
        <v>4432000</v>
      </c>
    </row>
    <row r="55" spans="2:3" x14ac:dyDescent="0.25">
      <c r="B55" s="9" t="s">
        <v>237</v>
      </c>
      <c r="C55" s="169">
        <f>C44</f>
        <v>4094980.8999999994</v>
      </c>
    </row>
    <row r="56" spans="2:3" x14ac:dyDescent="0.25">
      <c r="C56" s="157">
        <f>SUM(C50:C55)</f>
        <v>46884226</v>
      </c>
    </row>
  </sheetData>
  <mergeCells count="14">
    <mergeCell ref="B49:C49"/>
    <mergeCell ref="E30:E33"/>
    <mergeCell ref="E37:E40"/>
    <mergeCell ref="E41:E43"/>
    <mergeCell ref="E44:E45"/>
    <mergeCell ref="B5:C5"/>
    <mergeCell ref="B13:C13"/>
    <mergeCell ref="B29:C29"/>
    <mergeCell ref="E34:E36"/>
    <mergeCell ref="B39:C39"/>
    <mergeCell ref="E14:E17"/>
    <mergeCell ref="E18:E21"/>
    <mergeCell ref="B21:C21"/>
    <mergeCell ref="E22:E2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5:G10"/>
  <sheetViews>
    <sheetView workbookViewId="0">
      <selection activeCell="E5" sqref="E5:G10"/>
    </sheetView>
  </sheetViews>
  <sheetFormatPr baseColWidth="10" defaultRowHeight="15" x14ac:dyDescent="0.25"/>
  <cols>
    <col min="5" max="5" width="18.5703125" bestFit="1" customWidth="1"/>
    <col min="6" max="6" width="12" bestFit="1" customWidth="1"/>
  </cols>
  <sheetData>
    <row r="5" spans="5:7" x14ac:dyDescent="0.25">
      <c r="E5" s="194" t="s">
        <v>161</v>
      </c>
      <c r="F5" s="194" t="s">
        <v>192</v>
      </c>
      <c r="G5" s="194" t="s">
        <v>204</v>
      </c>
    </row>
    <row r="6" spans="5:7" x14ac:dyDescent="0.25">
      <c r="E6" s="9" t="s">
        <v>205</v>
      </c>
      <c r="F6" s="9">
        <v>262708017.91999999</v>
      </c>
      <c r="G6" s="9"/>
    </row>
    <row r="7" spans="5:7" x14ac:dyDescent="0.25">
      <c r="E7" s="9" t="s">
        <v>206</v>
      </c>
      <c r="F7" s="9">
        <v>124123009</v>
      </c>
      <c r="G7" s="9"/>
    </row>
    <row r="8" spans="5:7" x14ac:dyDescent="0.25">
      <c r="E8" s="9" t="s">
        <v>207</v>
      </c>
      <c r="F8" s="9">
        <f>F10-(F6+F7+F9)</f>
        <v>78075709.480000019</v>
      </c>
      <c r="G8" s="195">
        <f>F8/F10</f>
        <v>0.15615141896000004</v>
      </c>
    </row>
    <row r="9" spans="5:7" x14ac:dyDescent="0.25">
      <c r="E9" s="180" t="s">
        <v>208</v>
      </c>
      <c r="F9" s="9">
        <v>35093263.600000001</v>
      </c>
      <c r="G9" s="195">
        <f>F9/F10</f>
        <v>7.0186527200000001E-2</v>
      </c>
    </row>
    <row r="10" spans="5:7" x14ac:dyDescent="0.25">
      <c r="E10" s="181"/>
      <c r="F10" s="9">
        <v>500000000</v>
      </c>
      <c r="G10" s="196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21" sqref="K21"/>
    </sheetView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31"/>
  <sheetViews>
    <sheetView topLeftCell="D1" zoomScaleNormal="100" workbookViewId="0">
      <selection activeCell="J28" sqref="J28"/>
    </sheetView>
  </sheetViews>
  <sheetFormatPr baseColWidth="10" defaultColWidth="11.42578125" defaultRowHeight="15" x14ac:dyDescent="0.25"/>
  <cols>
    <col min="2" max="2" width="59.85546875" bestFit="1" customWidth="1"/>
    <col min="3" max="3" width="5.42578125" bestFit="1" customWidth="1"/>
    <col min="4" max="4" width="7.140625" style="29" customWidth="1"/>
    <col min="5" max="5" width="14.28515625" style="29" customWidth="1"/>
    <col min="6" max="6" width="9.5703125" customWidth="1"/>
    <col min="7" max="7" width="13.28515625" customWidth="1"/>
    <col min="8" max="8" width="12.5703125" customWidth="1"/>
    <col min="9" max="9" width="10" customWidth="1"/>
    <col min="10" max="10" width="15.5703125" customWidth="1"/>
    <col min="11" max="11" width="11.7109375" bestFit="1" customWidth="1"/>
  </cols>
  <sheetData>
    <row r="2" spans="2:11" s="62" customFormat="1" ht="45" x14ac:dyDescent="0.25">
      <c r="B2" s="56" t="s">
        <v>48</v>
      </c>
      <c r="C2" s="56" t="s">
        <v>49</v>
      </c>
      <c r="D2" s="56" t="s">
        <v>50</v>
      </c>
      <c r="E2" s="56" t="s">
        <v>51</v>
      </c>
      <c r="F2" s="56" t="s">
        <v>4</v>
      </c>
      <c r="G2" s="63" t="s">
        <v>52</v>
      </c>
      <c r="H2" s="63" t="s">
        <v>53</v>
      </c>
      <c r="I2" s="56" t="s">
        <v>4</v>
      </c>
      <c r="J2" s="63" t="s">
        <v>54</v>
      </c>
    </row>
    <row r="3" spans="2:11" s="5" customFormat="1" ht="15" customHeight="1" x14ac:dyDescent="0.25">
      <c r="B3" s="199" t="s">
        <v>55</v>
      </c>
      <c r="C3" s="200"/>
      <c r="D3" s="200"/>
      <c r="E3" s="200"/>
      <c r="F3" s="200"/>
      <c r="G3" s="200"/>
      <c r="H3" s="200"/>
      <c r="I3" s="200"/>
      <c r="J3" s="201"/>
    </row>
    <row r="4" spans="2:11" s="6" customFormat="1" ht="15.75" thickBot="1" x14ac:dyDescent="0.3">
      <c r="B4" s="87" t="s">
        <v>56</v>
      </c>
      <c r="C4" s="10" t="s">
        <v>57</v>
      </c>
      <c r="D4" s="26">
        <v>3</v>
      </c>
      <c r="E4" s="32">
        <f>G4*0.84</f>
        <v>4150.4399999999996</v>
      </c>
      <c r="F4" s="32">
        <f t="shared" ref="F4" si="0">G4*0.16</f>
        <v>790.56000000000006</v>
      </c>
      <c r="G4" s="32">
        <v>4941</v>
      </c>
      <c r="H4" s="32">
        <f t="shared" ref="H4" si="1">E4*D4</f>
        <v>12451.32</v>
      </c>
      <c r="I4" s="32">
        <f t="shared" ref="I4" si="2">F4*D4</f>
        <v>2371.6800000000003</v>
      </c>
      <c r="J4" s="32">
        <f t="shared" ref="J4" si="3">I4+H4</f>
        <v>14823</v>
      </c>
    </row>
    <row r="5" spans="2:11" s="6" customFormat="1" ht="15.75" thickBot="1" x14ac:dyDescent="0.3">
      <c r="B5" s="86" t="s">
        <v>58</v>
      </c>
      <c r="C5" s="10" t="s">
        <v>22</v>
      </c>
      <c r="D5" s="25">
        <v>5</v>
      </c>
      <c r="E5" s="32">
        <f t="shared" ref="E5:E17" si="4">G5*0.84</f>
        <v>2116.7999999999997</v>
      </c>
      <c r="F5" s="32">
        <f t="shared" ref="F5:F10" si="5">G5*0.16</f>
        <v>403.2</v>
      </c>
      <c r="G5" s="32">
        <v>2520</v>
      </c>
      <c r="H5" s="32">
        <f t="shared" ref="H5:H11" si="6">E5*D5</f>
        <v>10583.999999999998</v>
      </c>
      <c r="I5" s="32">
        <f t="shared" ref="I5:I11" si="7">F5*D5</f>
        <v>2016</v>
      </c>
      <c r="J5" s="32">
        <f>I5+H5</f>
        <v>12599.999999999998</v>
      </c>
    </row>
    <row r="6" spans="2:11" s="6" customFormat="1" ht="15.75" thickBot="1" x14ac:dyDescent="0.3">
      <c r="B6" s="86" t="s">
        <v>59</v>
      </c>
      <c r="C6" s="10" t="s">
        <v>22</v>
      </c>
      <c r="D6" s="25">
        <v>7</v>
      </c>
      <c r="E6" s="32">
        <f t="shared" si="4"/>
        <v>2520</v>
      </c>
      <c r="F6" s="32">
        <f t="shared" si="5"/>
        <v>480</v>
      </c>
      <c r="G6" s="32">
        <v>3000</v>
      </c>
      <c r="H6" s="32">
        <f t="shared" si="6"/>
        <v>17640</v>
      </c>
      <c r="I6" s="32">
        <f t="shared" si="7"/>
        <v>3360</v>
      </c>
      <c r="J6" s="32">
        <f t="shared" ref="J6:J11" si="8">H6+I6</f>
        <v>21000</v>
      </c>
    </row>
    <row r="7" spans="2:11" ht="15.75" thickBot="1" x14ac:dyDescent="0.3">
      <c r="B7" s="87" t="s">
        <v>60</v>
      </c>
      <c r="C7" s="10" t="s">
        <v>22</v>
      </c>
      <c r="D7" s="26">
        <v>50</v>
      </c>
      <c r="E7" s="32">
        <f t="shared" si="4"/>
        <v>201.6</v>
      </c>
      <c r="F7" s="32">
        <f t="shared" si="5"/>
        <v>38.4</v>
      </c>
      <c r="G7" s="32">
        <v>240</v>
      </c>
      <c r="H7" s="32">
        <f t="shared" si="6"/>
        <v>10080</v>
      </c>
      <c r="I7" s="32">
        <f t="shared" si="7"/>
        <v>1920</v>
      </c>
      <c r="J7" s="32">
        <f t="shared" si="8"/>
        <v>12000</v>
      </c>
      <c r="K7" s="8"/>
    </row>
    <row r="8" spans="2:11" s="4" customFormat="1" ht="15.75" thickBot="1" x14ac:dyDescent="0.3">
      <c r="B8" s="87" t="s">
        <v>61</v>
      </c>
      <c r="C8" s="10" t="s">
        <v>22</v>
      </c>
      <c r="D8" s="26">
        <v>176</v>
      </c>
      <c r="E8" s="32">
        <f>G8*0.84</f>
        <v>3267.6</v>
      </c>
      <c r="F8" s="32">
        <f t="shared" si="5"/>
        <v>622.4</v>
      </c>
      <c r="G8" s="32">
        <v>3890</v>
      </c>
      <c r="H8" s="32">
        <f t="shared" si="6"/>
        <v>575097.59999999998</v>
      </c>
      <c r="I8" s="32">
        <f t="shared" si="7"/>
        <v>109542.39999999999</v>
      </c>
      <c r="J8" s="32">
        <f t="shared" si="8"/>
        <v>684640</v>
      </c>
      <c r="K8" s="8"/>
    </row>
    <row r="9" spans="2:11" ht="15.75" thickBot="1" x14ac:dyDescent="0.3">
      <c r="B9" s="86" t="s">
        <v>62</v>
      </c>
      <c r="C9" s="10" t="s">
        <v>22</v>
      </c>
      <c r="D9" s="26">
        <v>176</v>
      </c>
      <c r="E9" s="32">
        <f>G9*0.84</f>
        <v>9732.24</v>
      </c>
      <c r="F9" s="32">
        <f t="shared" si="5"/>
        <v>1853.76</v>
      </c>
      <c r="G9" s="32">
        <v>11586</v>
      </c>
      <c r="H9" s="32">
        <f t="shared" si="6"/>
        <v>1712874.24</v>
      </c>
      <c r="I9" s="32">
        <f t="shared" si="7"/>
        <v>326261.76000000001</v>
      </c>
      <c r="J9" s="32">
        <f t="shared" si="8"/>
        <v>2039136</v>
      </c>
      <c r="K9" s="8"/>
    </row>
    <row r="10" spans="2:11" s="4" customFormat="1" ht="15.75" thickBot="1" x14ac:dyDescent="0.3">
      <c r="B10" s="87" t="s">
        <v>63</v>
      </c>
      <c r="C10" s="10" t="s">
        <v>22</v>
      </c>
      <c r="D10" s="26">
        <v>5</v>
      </c>
      <c r="E10" s="32">
        <f t="shared" si="4"/>
        <v>7560</v>
      </c>
      <c r="F10" s="32">
        <f t="shared" si="5"/>
        <v>1440</v>
      </c>
      <c r="G10" s="32">
        <v>9000</v>
      </c>
      <c r="H10" s="32">
        <f t="shared" si="6"/>
        <v>37800</v>
      </c>
      <c r="I10" s="32">
        <f t="shared" si="7"/>
        <v>7200</v>
      </c>
      <c r="J10" s="32">
        <f t="shared" si="8"/>
        <v>45000</v>
      </c>
      <c r="K10" s="8"/>
    </row>
    <row r="11" spans="2:11" s="8" customFormat="1" ht="15.75" thickBot="1" x14ac:dyDescent="0.3">
      <c r="B11" s="87" t="s">
        <v>64</v>
      </c>
      <c r="C11" s="10" t="s">
        <v>22</v>
      </c>
      <c r="D11" s="26">
        <v>15</v>
      </c>
      <c r="E11" s="32">
        <f t="shared" si="4"/>
        <v>6594</v>
      </c>
      <c r="F11" s="32">
        <f t="shared" ref="F11:F17" si="9">G11*0.16</f>
        <v>1256</v>
      </c>
      <c r="G11" s="32">
        <v>7850</v>
      </c>
      <c r="H11" s="32">
        <f t="shared" si="6"/>
        <v>98910</v>
      </c>
      <c r="I11" s="32">
        <f t="shared" si="7"/>
        <v>18840</v>
      </c>
      <c r="J11" s="32">
        <f t="shared" si="8"/>
        <v>117750</v>
      </c>
    </row>
    <row r="12" spans="2:11" s="8" customFormat="1" ht="15.75" thickBot="1" x14ac:dyDescent="0.3">
      <c r="B12" s="87" t="s">
        <v>65</v>
      </c>
      <c r="C12" s="10" t="s">
        <v>22</v>
      </c>
      <c r="D12" s="26">
        <v>15</v>
      </c>
      <c r="E12" s="32">
        <f t="shared" si="4"/>
        <v>64260</v>
      </c>
      <c r="F12" s="32">
        <f t="shared" si="9"/>
        <v>12240</v>
      </c>
      <c r="G12" s="32">
        <v>76500</v>
      </c>
      <c r="H12" s="32">
        <f t="shared" ref="H12:H17" si="10">E12*D12</f>
        <v>963900</v>
      </c>
      <c r="I12" s="32">
        <f t="shared" ref="I12:I17" si="11">F12*D12</f>
        <v>183600</v>
      </c>
      <c r="J12" s="32">
        <f t="shared" ref="J12:J17" si="12">H12+I12</f>
        <v>1147500</v>
      </c>
    </row>
    <row r="13" spans="2:11" s="8" customFormat="1" ht="15.75" thickBot="1" x14ac:dyDescent="0.3">
      <c r="B13" s="87" t="s">
        <v>66</v>
      </c>
      <c r="C13" s="10" t="s">
        <v>22</v>
      </c>
      <c r="D13" s="26">
        <v>10</v>
      </c>
      <c r="E13" s="32">
        <f t="shared" si="4"/>
        <v>5754</v>
      </c>
      <c r="F13" s="32">
        <f t="shared" si="9"/>
        <v>1096</v>
      </c>
      <c r="G13" s="32">
        <v>6850</v>
      </c>
      <c r="H13" s="32">
        <f t="shared" si="10"/>
        <v>57540</v>
      </c>
      <c r="I13" s="32">
        <f t="shared" si="11"/>
        <v>10960</v>
      </c>
      <c r="J13" s="32">
        <f t="shared" si="12"/>
        <v>68500</v>
      </c>
    </row>
    <row r="14" spans="2:11" s="8" customFormat="1" ht="15.75" thickBot="1" x14ac:dyDescent="0.3">
      <c r="B14" s="87" t="s">
        <v>67</v>
      </c>
      <c r="C14" s="10" t="s">
        <v>22</v>
      </c>
      <c r="D14" s="26">
        <v>10</v>
      </c>
      <c r="E14" s="32">
        <f t="shared" si="4"/>
        <v>7921.2</v>
      </c>
      <c r="F14" s="32">
        <f t="shared" si="9"/>
        <v>1508.8</v>
      </c>
      <c r="G14" s="32">
        <v>9430</v>
      </c>
      <c r="H14" s="32">
        <f t="shared" si="10"/>
        <v>79212</v>
      </c>
      <c r="I14" s="32">
        <f t="shared" si="11"/>
        <v>15088</v>
      </c>
      <c r="J14" s="32">
        <f t="shared" si="12"/>
        <v>94300</v>
      </c>
    </row>
    <row r="15" spans="2:11" s="4" customFormat="1" ht="15.75" thickBot="1" x14ac:dyDescent="0.3">
      <c r="B15" s="87" t="s">
        <v>68</v>
      </c>
      <c r="C15" s="10" t="s">
        <v>22</v>
      </c>
      <c r="D15" s="26">
        <v>5</v>
      </c>
      <c r="E15" s="32">
        <f t="shared" si="4"/>
        <v>180600</v>
      </c>
      <c r="F15" s="32">
        <f t="shared" si="9"/>
        <v>34400</v>
      </c>
      <c r="G15" s="32">
        <v>215000</v>
      </c>
      <c r="H15" s="32">
        <f t="shared" si="10"/>
        <v>903000</v>
      </c>
      <c r="I15" s="32">
        <f t="shared" si="11"/>
        <v>172000</v>
      </c>
      <c r="J15" s="32">
        <f t="shared" si="12"/>
        <v>1075000</v>
      </c>
      <c r="K15" s="8"/>
    </row>
    <row r="16" spans="2:11" s="4" customFormat="1" ht="15.75" thickBot="1" x14ac:dyDescent="0.3">
      <c r="B16" s="87" t="s">
        <v>69</v>
      </c>
      <c r="C16" s="10" t="s">
        <v>22</v>
      </c>
      <c r="D16" s="26">
        <v>10</v>
      </c>
      <c r="E16" s="32">
        <f t="shared" si="4"/>
        <v>361200</v>
      </c>
      <c r="F16" s="32">
        <f t="shared" si="9"/>
        <v>68800</v>
      </c>
      <c r="G16" s="32">
        <v>430000</v>
      </c>
      <c r="H16" s="32">
        <f t="shared" si="10"/>
        <v>3612000</v>
      </c>
      <c r="I16" s="32">
        <f t="shared" si="11"/>
        <v>688000</v>
      </c>
      <c r="J16" s="32">
        <f t="shared" si="12"/>
        <v>4300000</v>
      </c>
      <c r="K16" s="8"/>
    </row>
    <row r="17" spans="2:11" s="4" customFormat="1" ht="15.75" thickBot="1" x14ac:dyDescent="0.3">
      <c r="B17" s="87" t="s">
        <v>70</v>
      </c>
      <c r="C17" s="10" t="s">
        <v>22</v>
      </c>
      <c r="D17" s="26">
        <v>5</v>
      </c>
      <c r="E17" s="32">
        <f t="shared" si="4"/>
        <v>179760</v>
      </c>
      <c r="F17" s="32">
        <f t="shared" si="9"/>
        <v>34240</v>
      </c>
      <c r="G17" s="32">
        <v>214000</v>
      </c>
      <c r="H17" s="32">
        <f t="shared" si="10"/>
        <v>898800</v>
      </c>
      <c r="I17" s="32">
        <f t="shared" si="11"/>
        <v>171200</v>
      </c>
      <c r="J17" s="32">
        <f t="shared" si="12"/>
        <v>1070000</v>
      </c>
      <c r="K17" s="8"/>
    </row>
    <row r="18" spans="2:11" s="4" customFormat="1" ht="15.75" thickBot="1" x14ac:dyDescent="0.3">
      <c r="B18" s="87" t="s">
        <v>71</v>
      </c>
      <c r="C18" s="10" t="s">
        <v>22</v>
      </c>
      <c r="D18" s="26">
        <v>5</v>
      </c>
      <c r="E18" s="32">
        <f t="shared" ref="E18:E22" si="13">G18*0.84</f>
        <v>1764000</v>
      </c>
      <c r="F18" s="32">
        <f t="shared" ref="F18:F22" si="14">G18*0.16</f>
        <v>336000</v>
      </c>
      <c r="G18" s="32">
        <v>2100000</v>
      </c>
      <c r="H18" s="32">
        <f>E18*D18</f>
        <v>8820000</v>
      </c>
      <c r="I18" s="32">
        <f>F18*D18</f>
        <v>1680000</v>
      </c>
      <c r="J18" s="32">
        <f>H18+I18</f>
        <v>10500000</v>
      </c>
      <c r="K18" s="8"/>
    </row>
    <row r="19" spans="2:11" s="6" customFormat="1" ht="15.75" thickBot="1" x14ac:dyDescent="0.3">
      <c r="B19" s="87" t="s">
        <v>72</v>
      </c>
      <c r="C19" s="10" t="s">
        <v>22</v>
      </c>
      <c r="D19" s="26">
        <v>18</v>
      </c>
      <c r="E19" s="32">
        <f>G19*0.84</f>
        <v>4468.8</v>
      </c>
      <c r="F19" s="32">
        <f>G19*0.16</f>
        <v>851.2</v>
      </c>
      <c r="G19" s="32">
        <v>5320</v>
      </c>
      <c r="H19" s="32">
        <f>E19*D19</f>
        <v>80438.400000000009</v>
      </c>
      <c r="I19" s="32">
        <f>F19*D19</f>
        <v>15321.6</v>
      </c>
      <c r="J19" s="32">
        <f>H19+I19</f>
        <v>95760.000000000015</v>
      </c>
    </row>
    <row r="20" spans="2:11" s="6" customFormat="1" ht="15.75" thickBot="1" x14ac:dyDescent="0.3">
      <c r="B20" s="87" t="s">
        <v>73</v>
      </c>
      <c r="C20" s="10" t="s">
        <v>22</v>
      </c>
      <c r="D20" s="26">
        <v>10</v>
      </c>
      <c r="E20" s="32">
        <f t="shared" si="13"/>
        <v>1932000</v>
      </c>
      <c r="F20" s="32">
        <f t="shared" si="14"/>
        <v>368000</v>
      </c>
      <c r="G20" s="32">
        <v>2300000</v>
      </c>
      <c r="H20" s="32">
        <f t="shared" ref="H20:H22" si="15">E20*D20</f>
        <v>19320000</v>
      </c>
      <c r="I20" s="32">
        <f t="shared" ref="I20:I22" si="16">F20*D20</f>
        <v>3680000</v>
      </c>
      <c r="J20" s="32">
        <f t="shared" ref="J20:J22" si="17">H20+I20</f>
        <v>23000000</v>
      </c>
    </row>
    <row r="21" spans="2:11" ht="15.75" thickBot="1" x14ac:dyDescent="0.3">
      <c r="B21" s="87" t="s">
        <v>74</v>
      </c>
      <c r="C21" s="10" t="s">
        <v>22</v>
      </c>
      <c r="D21" s="26">
        <v>5</v>
      </c>
      <c r="E21" s="32">
        <f t="shared" ref="E21:E23" si="18">G21*0.84</f>
        <v>2643312</v>
      </c>
      <c r="F21" s="32">
        <f t="shared" si="14"/>
        <v>503488</v>
      </c>
      <c r="G21" s="32">
        <v>3146800</v>
      </c>
      <c r="H21" s="32">
        <f t="shared" si="15"/>
        <v>13216560</v>
      </c>
      <c r="I21" s="32">
        <f t="shared" si="16"/>
        <v>2517440</v>
      </c>
      <c r="J21" s="32">
        <f t="shared" si="17"/>
        <v>15734000</v>
      </c>
      <c r="K21" s="6"/>
    </row>
    <row r="22" spans="2:11" s="8" customFormat="1" ht="15.75" thickBot="1" x14ac:dyDescent="0.3">
      <c r="B22" s="87" t="s">
        <v>75</v>
      </c>
      <c r="C22" s="10" t="s">
        <v>22</v>
      </c>
      <c r="D22" s="26">
        <v>5</v>
      </c>
      <c r="E22" s="32">
        <f t="shared" si="13"/>
        <v>823200</v>
      </c>
      <c r="F22" s="32">
        <f t="shared" si="14"/>
        <v>156800</v>
      </c>
      <c r="G22" s="32">
        <v>980000</v>
      </c>
      <c r="H22" s="32">
        <f t="shared" si="15"/>
        <v>4116000</v>
      </c>
      <c r="I22" s="32">
        <f t="shared" si="16"/>
        <v>784000</v>
      </c>
      <c r="J22" s="32">
        <f t="shared" si="17"/>
        <v>4900000</v>
      </c>
      <c r="K22" s="6"/>
    </row>
    <row r="23" spans="2:11" ht="14.25" customHeight="1" thickBot="1" x14ac:dyDescent="0.3">
      <c r="B23" s="86" t="s">
        <v>76</v>
      </c>
      <c r="C23" s="10" t="s">
        <v>22</v>
      </c>
      <c r="D23" s="26">
        <v>5</v>
      </c>
      <c r="E23" s="32">
        <f t="shared" si="18"/>
        <v>1587600</v>
      </c>
      <c r="F23" s="32">
        <f t="shared" ref="F23" si="19">G23*0.16</f>
        <v>302400</v>
      </c>
      <c r="G23" s="32">
        <v>1890000</v>
      </c>
      <c r="H23" s="32">
        <f>E23*D23</f>
        <v>7938000</v>
      </c>
      <c r="I23" s="32">
        <f>F23*D23</f>
        <v>1512000</v>
      </c>
      <c r="J23" s="32">
        <f>H23+I23</f>
        <v>9450000</v>
      </c>
      <c r="K23" s="6"/>
    </row>
    <row r="24" spans="2:11" s="4" customFormat="1" ht="15.75" thickBot="1" x14ac:dyDescent="0.3">
      <c r="B24" s="87" t="s">
        <v>77</v>
      </c>
      <c r="C24" s="10" t="s">
        <v>22</v>
      </c>
      <c r="D24" s="26">
        <v>5</v>
      </c>
      <c r="E24" s="32">
        <f>G24*0.84</f>
        <v>319200</v>
      </c>
      <c r="F24" s="32">
        <f>G24*0.16</f>
        <v>60800</v>
      </c>
      <c r="G24" s="32">
        <v>380000</v>
      </c>
      <c r="H24" s="32">
        <f t="shared" ref="H24" si="20">E24*D24</f>
        <v>1596000</v>
      </c>
      <c r="I24" s="32">
        <f>F24*D24</f>
        <v>304000</v>
      </c>
      <c r="J24" s="32">
        <f t="shared" ref="J24" si="21">H24+I24</f>
        <v>1900000</v>
      </c>
      <c r="K24" s="8"/>
    </row>
    <row r="25" spans="2:11" s="4" customFormat="1" ht="15" customHeight="1" x14ac:dyDescent="0.25">
      <c r="B25" s="199" t="s">
        <v>78</v>
      </c>
      <c r="C25" s="200"/>
      <c r="D25" s="200"/>
      <c r="E25" s="200"/>
      <c r="F25" s="200"/>
      <c r="G25" s="200"/>
      <c r="H25" s="200"/>
      <c r="I25" s="200"/>
      <c r="J25" s="201"/>
      <c r="K25" s="8"/>
    </row>
    <row r="26" spans="2:11" s="4" customFormat="1" x14ac:dyDescent="0.25">
      <c r="B26" s="10" t="s">
        <v>79</v>
      </c>
      <c r="C26" s="10" t="s">
        <v>22</v>
      </c>
      <c r="D26" s="26">
        <v>176</v>
      </c>
      <c r="E26" s="32">
        <f>G26*0.84</f>
        <v>16800</v>
      </c>
      <c r="F26" s="32">
        <f t="shared" ref="F26:F27" si="22">G26*0.16</f>
        <v>3200</v>
      </c>
      <c r="G26" s="32">
        <v>20000</v>
      </c>
      <c r="H26" s="32">
        <f>D26*E26</f>
        <v>2956800</v>
      </c>
      <c r="I26" s="32">
        <f>F26*D26</f>
        <v>563200</v>
      </c>
      <c r="J26" s="32">
        <f>D26*G26</f>
        <v>3520000</v>
      </c>
      <c r="K26" s="8"/>
    </row>
    <row r="27" spans="2:11" s="4" customFormat="1" x14ac:dyDescent="0.25">
      <c r="B27" s="10" t="s">
        <v>80</v>
      </c>
      <c r="C27" s="9" t="s">
        <v>22</v>
      </c>
      <c r="D27" s="27">
        <v>5</v>
      </c>
      <c r="E27" s="32">
        <f>G27*0.84</f>
        <v>943992</v>
      </c>
      <c r="F27" s="32">
        <f t="shared" si="22"/>
        <v>179808</v>
      </c>
      <c r="G27" s="32">
        <v>1123800</v>
      </c>
      <c r="H27" s="32">
        <f>D27*E27</f>
        <v>4719960</v>
      </c>
      <c r="I27" s="32">
        <f>F27*D27</f>
        <v>899040</v>
      </c>
      <c r="J27" s="32">
        <f>D27*G27</f>
        <v>5619000</v>
      </c>
      <c r="K27" s="8"/>
    </row>
    <row r="28" spans="2:11" x14ac:dyDescent="0.25">
      <c r="B28" s="17"/>
      <c r="C28" s="17"/>
      <c r="D28" s="28"/>
      <c r="E28" s="28"/>
      <c r="F28" s="32"/>
      <c r="G28" s="30"/>
      <c r="H28" s="28"/>
      <c r="I28" s="28"/>
      <c r="J28" s="46">
        <f>SUM(J4:J27)</f>
        <v>85421009</v>
      </c>
      <c r="K28" s="73"/>
    </row>
    <row r="29" spans="2:11" x14ac:dyDescent="0.25">
      <c r="B29" s="8"/>
      <c r="C29" s="8"/>
      <c r="F29" s="8"/>
      <c r="G29" s="8"/>
      <c r="H29" s="8"/>
      <c r="I29" s="8"/>
      <c r="J29" s="8"/>
      <c r="K29" s="8"/>
    </row>
    <row r="30" spans="2:11" x14ac:dyDescent="0.25">
      <c r="B30" s="64"/>
      <c r="C30" s="8"/>
      <c r="F30" s="8"/>
      <c r="G30" s="8"/>
      <c r="H30" s="8"/>
      <c r="I30" s="8"/>
      <c r="J30" s="8"/>
      <c r="K30" s="8"/>
    </row>
    <row r="31" spans="2:11" x14ac:dyDescent="0.25">
      <c r="B31" s="8"/>
      <c r="C31" s="8"/>
      <c r="F31" s="8"/>
      <c r="G31" s="8"/>
      <c r="H31" s="8"/>
      <c r="I31" s="8"/>
      <c r="J31" s="8"/>
      <c r="K31" s="8"/>
    </row>
  </sheetData>
  <mergeCells count="2">
    <mergeCell ref="B3:J3"/>
    <mergeCell ref="B25:J25"/>
  </mergeCells>
  <pageMargins left="0.7" right="0.7" top="0.75" bottom="0.75" header="0.3" footer="0.3"/>
  <pageSetup paperSize="9" scale="5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R15"/>
  <sheetViews>
    <sheetView topLeftCell="D1" workbookViewId="0">
      <selection activeCell="E20" sqref="E20"/>
    </sheetView>
  </sheetViews>
  <sheetFormatPr baseColWidth="10" defaultColWidth="9.140625" defaultRowHeight="15" x14ac:dyDescent="0.25"/>
  <cols>
    <col min="1" max="1" width="75.7109375" customWidth="1"/>
    <col min="2" max="2" width="6" customWidth="1"/>
    <col min="3" max="3" width="22.140625" bestFit="1" customWidth="1"/>
    <col min="4" max="4" width="13.42578125" customWidth="1"/>
    <col min="5" max="5" width="20.42578125" bestFit="1" customWidth="1"/>
    <col min="6" max="6" width="22" bestFit="1" customWidth="1"/>
    <col min="7" max="7" width="14.42578125" bestFit="1" customWidth="1"/>
    <col min="8" max="8" width="22.140625" bestFit="1" customWidth="1"/>
    <col min="9" max="9" width="23.85546875" bestFit="1" customWidth="1"/>
  </cols>
  <sheetData>
    <row r="6" spans="1:18" s="62" customFormat="1" x14ac:dyDescent="0.25">
      <c r="A6" s="57" t="s">
        <v>81</v>
      </c>
      <c r="B6" s="57" t="s">
        <v>50</v>
      </c>
      <c r="C6" s="57" t="s">
        <v>82</v>
      </c>
      <c r="D6" s="57" t="s">
        <v>7</v>
      </c>
      <c r="E6" s="57" t="s">
        <v>5</v>
      </c>
      <c r="F6" s="57" t="s">
        <v>83</v>
      </c>
      <c r="G6" s="57" t="s">
        <v>4</v>
      </c>
      <c r="H6" s="57" t="s">
        <v>84</v>
      </c>
      <c r="I6" s="57" t="s">
        <v>85</v>
      </c>
    </row>
    <row r="7" spans="1:18" x14ac:dyDescent="0.25">
      <c r="A7" s="9" t="s">
        <v>86</v>
      </c>
      <c r="B7" s="27">
        <v>1</v>
      </c>
      <c r="C7" s="38">
        <f>E7*0.84</f>
        <v>2800000</v>
      </c>
      <c r="D7" s="38">
        <f>E7*0.16</f>
        <v>533333.33333333337</v>
      </c>
      <c r="E7" s="38">
        <f>H7/12</f>
        <v>3333333.3333333335</v>
      </c>
      <c r="F7" s="38">
        <f>H7*0.84</f>
        <v>33600000</v>
      </c>
      <c r="G7" s="38">
        <f>H7*0.16</f>
        <v>6400000</v>
      </c>
      <c r="H7" s="38">
        <v>40000000</v>
      </c>
      <c r="I7" s="38">
        <f>H7</f>
        <v>40000000</v>
      </c>
      <c r="J7" s="8"/>
      <c r="K7" s="8"/>
      <c r="L7" s="8"/>
      <c r="M7" s="8"/>
      <c r="N7" s="8"/>
      <c r="O7" s="8"/>
      <c r="P7" s="8"/>
      <c r="Q7" s="8"/>
      <c r="R7" s="8"/>
    </row>
    <row r="8" spans="1:18" x14ac:dyDescent="0.25">
      <c r="A8" s="9" t="s">
        <v>87</v>
      </c>
      <c r="B8" s="65" t="s">
        <v>88</v>
      </c>
      <c r="C8" s="38" t="s">
        <v>89</v>
      </c>
      <c r="D8" s="69" t="s">
        <v>89</v>
      </c>
      <c r="E8" s="69">
        <f>2300000*1.39</f>
        <v>3197000</v>
      </c>
      <c r="F8" s="69" t="s">
        <v>89</v>
      </c>
      <c r="G8" s="69" t="s">
        <v>89</v>
      </c>
      <c r="H8" s="38">
        <f>E8*12</f>
        <v>38364000</v>
      </c>
      <c r="I8" s="38">
        <f t="shared" ref="I8:I9" si="0">H8/2</f>
        <v>19182000</v>
      </c>
      <c r="J8" s="8"/>
      <c r="K8" s="8"/>
      <c r="L8" s="8"/>
      <c r="M8" s="8"/>
      <c r="N8" s="8"/>
      <c r="O8" s="8"/>
      <c r="P8" s="8"/>
      <c r="Q8" s="8"/>
      <c r="R8" s="8"/>
    </row>
    <row r="9" spans="1:18" x14ac:dyDescent="0.25">
      <c r="A9" s="9" t="s">
        <v>90</v>
      </c>
      <c r="B9" s="65" t="s">
        <v>88</v>
      </c>
      <c r="C9" s="38" t="s">
        <v>89</v>
      </c>
      <c r="D9" s="69" t="s">
        <v>89</v>
      </c>
      <c r="E9" s="69">
        <f>2300000*1.39</f>
        <v>3197000</v>
      </c>
      <c r="F9" s="69" t="s">
        <v>89</v>
      </c>
      <c r="G9" s="69" t="s">
        <v>89</v>
      </c>
      <c r="H9" s="38">
        <f>E9*12</f>
        <v>38364000</v>
      </c>
      <c r="I9" s="38">
        <f t="shared" si="0"/>
        <v>19182000</v>
      </c>
      <c r="J9" s="8"/>
      <c r="K9" s="8"/>
      <c r="L9" s="8"/>
      <c r="M9" s="8"/>
      <c r="N9" s="8"/>
      <c r="O9" s="8"/>
      <c r="P9" s="8"/>
      <c r="Q9" s="8"/>
      <c r="R9" s="8"/>
    </row>
    <row r="10" spans="1:18" s="9" customFormat="1" x14ac:dyDescent="0.25">
      <c r="A10" s="9" t="s">
        <v>91</v>
      </c>
      <c r="B10" s="65">
        <v>1</v>
      </c>
      <c r="C10" s="38">
        <f>E10*0.84</f>
        <v>4620000</v>
      </c>
      <c r="D10" s="38">
        <f t="shared" ref="D10" si="1">E10*0.16</f>
        <v>880000</v>
      </c>
      <c r="E10" s="38">
        <v>5500000</v>
      </c>
      <c r="F10" s="38">
        <f t="shared" ref="F10" si="2">H10*0.84</f>
        <v>55440000</v>
      </c>
      <c r="G10" s="38">
        <f t="shared" ref="G10" si="3">H10*0.16</f>
        <v>10560000</v>
      </c>
      <c r="H10" s="38">
        <f>E10*12</f>
        <v>66000000</v>
      </c>
      <c r="I10" s="38">
        <f>H10</f>
        <v>66000000</v>
      </c>
      <c r="J10" s="70"/>
      <c r="K10" s="70"/>
      <c r="L10" s="70"/>
      <c r="M10" s="70"/>
      <c r="N10" s="70"/>
      <c r="O10" s="70"/>
      <c r="P10" s="70"/>
      <c r="Q10" s="70"/>
      <c r="R10" s="70"/>
    </row>
    <row r="11" spans="1:18" x14ac:dyDescent="0.25">
      <c r="A11" s="8"/>
      <c r="B11" s="8"/>
      <c r="C11" s="8"/>
      <c r="D11" s="8"/>
      <c r="E11" s="8"/>
      <c r="F11" s="8"/>
      <c r="G11" s="8"/>
      <c r="H11" s="45">
        <f>SUM(H7:H10)</f>
        <v>182728000</v>
      </c>
      <c r="I11" s="45">
        <f>(H11/2)+I10</f>
        <v>157364000</v>
      </c>
      <c r="J11" s="8"/>
      <c r="K11" s="8"/>
      <c r="L11" s="8"/>
      <c r="M11" s="8"/>
      <c r="N11" s="8"/>
      <c r="O11" s="8"/>
      <c r="P11" s="8"/>
      <c r="Q11" s="8"/>
      <c r="R11" s="8"/>
    </row>
    <row r="12" spans="1:18" x14ac:dyDescent="0.25">
      <c r="A12" s="67"/>
      <c r="B12" s="8"/>
      <c r="C12" s="8"/>
      <c r="D12" s="8"/>
      <c r="E12" s="8"/>
      <c r="F12" s="8"/>
      <c r="G12" s="8"/>
      <c r="H12" s="8"/>
      <c r="I12" s="64"/>
      <c r="J12" s="8"/>
      <c r="K12" s="8"/>
      <c r="L12" s="8"/>
      <c r="M12" s="8"/>
      <c r="N12" s="8"/>
      <c r="O12" s="8"/>
      <c r="P12" s="8"/>
      <c r="Q12" s="8"/>
      <c r="R12" s="8"/>
    </row>
    <row r="13" spans="1:18" x14ac:dyDescent="0.25">
      <c r="A13" s="8"/>
      <c r="B13" s="8"/>
      <c r="C13" s="8"/>
      <c r="D13" s="8"/>
      <c r="E13" s="3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</row>
    <row r="15" spans="1:18" x14ac:dyDescent="0.25">
      <c r="A15" s="8"/>
      <c r="B15" s="8"/>
      <c r="C15" s="8"/>
      <c r="D15" s="8"/>
      <c r="E15" s="3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I85"/>
  <sheetViews>
    <sheetView workbookViewId="0">
      <selection activeCell="H46" sqref="H46:H61"/>
    </sheetView>
  </sheetViews>
  <sheetFormatPr baseColWidth="10" defaultColWidth="11.42578125" defaultRowHeight="15.75" x14ac:dyDescent="0.25"/>
  <cols>
    <col min="2" max="2" width="53.7109375" style="116" bestFit="1" customWidth="1"/>
    <col min="3" max="3" width="28.140625" style="136" customWidth="1"/>
    <col min="4" max="4" width="7.42578125" style="117" bestFit="1" customWidth="1"/>
    <col min="5" max="5" width="23" style="117" customWidth="1"/>
    <col min="6" max="6" width="27.7109375" style="118" customWidth="1"/>
    <col min="7" max="7" width="18.7109375" style="119" customWidth="1"/>
    <col min="8" max="8" width="17.7109375" customWidth="1"/>
    <col min="9" max="9" width="13.42578125" bestFit="1" customWidth="1"/>
  </cols>
  <sheetData>
    <row r="6" spans="2:9" s="130" customFormat="1" ht="31.5" x14ac:dyDescent="0.25">
      <c r="B6" s="127" t="s">
        <v>92</v>
      </c>
      <c r="C6" s="139" t="s">
        <v>93</v>
      </c>
      <c r="D6" s="128" t="s">
        <v>94</v>
      </c>
      <c r="E6" s="129" t="s">
        <v>95</v>
      </c>
      <c r="F6" s="129" t="s">
        <v>96</v>
      </c>
      <c r="G6" s="129" t="s">
        <v>97</v>
      </c>
      <c r="H6" s="131" t="s">
        <v>98</v>
      </c>
    </row>
    <row r="7" spans="2:9" s="110" customFormat="1" ht="15" x14ac:dyDescent="0.25">
      <c r="B7" s="220" t="s">
        <v>99</v>
      </c>
      <c r="C7" s="134" t="s">
        <v>100</v>
      </c>
      <c r="D7" s="111">
        <v>5</v>
      </c>
      <c r="E7" s="214">
        <v>2</v>
      </c>
      <c r="F7" s="114">
        <v>39241.67</v>
      </c>
      <c r="G7" s="113">
        <f>F7*E7</f>
        <v>78483.34</v>
      </c>
      <c r="H7" s="132">
        <f>G7*D7</f>
        <v>392416.69999999995</v>
      </c>
    </row>
    <row r="8" spans="2:9" s="110" customFormat="1" ht="15" x14ac:dyDescent="0.25">
      <c r="B8" s="221"/>
      <c r="C8" s="134" t="s">
        <v>101</v>
      </c>
      <c r="D8" s="111">
        <v>5</v>
      </c>
      <c r="E8" s="215"/>
      <c r="F8" s="114">
        <v>39241.67</v>
      </c>
      <c r="G8" s="113">
        <f>F8*E7</f>
        <v>78483.34</v>
      </c>
      <c r="H8" s="132">
        <f t="shared" ref="H8:H63" si="0">G8*D8</f>
        <v>392416.69999999995</v>
      </c>
    </row>
    <row r="9" spans="2:9" ht="15.75" customHeight="1" x14ac:dyDescent="0.25">
      <c r="B9" s="221"/>
      <c r="C9" s="112" t="s">
        <v>102</v>
      </c>
      <c r="D9" s="115">
        <v>5</v>
      </c>
      <c r="E9" s="215"/>
      <c r="F9" s="114">
        <v>39241.67</v>
      </c>
      <c r="G9" s="113">
        <f>F9*E7</f>
        <v>78483.34</v>
      </c>
      <c r="H9" s="132">
        <f t="shared" si="0"/>
        <v>392416.69999999995</v>
      </c>
      <c r="I9" s="8"/>
    </row>
    <row r="10" spans="2:9" ht="30" x14ac:dyDescent="0.25">
      <c r="B10" s="222"/>
      <c r="C10" s="112" t="s">
        <v>103</v>
      </c>
      <c r="D10" s="115">
        <v>1</v>
      </c>
      <c r="E10" s="216"/>
      <c r="F10" s="114">
        <v>55400</v>
      </c>
      <c r="G10" s="113">
        <f>F10*E7</f>
        <v>110800</v>
      </c>
      <c r="H10" s="132">
        <f t="shared" si="0"/>
        <v>110800</v>
      </c>
      <c r="I10" s="149">
        <f>SUM(H7:H10)</f>
        <v>1288050.0999999999</v>
      </c>
    </row>
    <row r="11" spans="2:9" ht="45" x14ac:dyDescent="0.25">
      <c r="B11" s="217" t="s">
        <v>104</v>
      </c>
      <c r="C11" s="112" t="s">
        <v>105</v>
      </c>
      <c r="D11" s="115">
        <v>1</v>
      </c>
      <c r="E11" s="204">
        <v>4</v>
      </c>
      <c r="F11" s="114">
        <v>83100</v>
      </c>
      <c r="G11" s="114">
        <f>F11*E11</f>
        <v>332400</v>
      </c>
      <c r="H11" s="132">
        <f t="shared" si="0"/>
        <v>332400</v>
      </c>
      <c r="I11" s="8"/>
    </row>
    <row r="12" spans="2:9" ht="30" x14ac:dyDescent="0.25">
      <c r="B12" s="219"/>
      <c r="C12" s="112" t="s">
        <v>106</v>
      </c>
      <c r="D12" s="115">
        <v>1</v>
      </c>
      <c r="E12" s="205"/>
      <c r="F12" s="114">
        <v>106183</v>
      </c>
      <c r="G12" s="114">
        <f>F12*E11</f>
        <v>424732</v>
      </c>
      <c r="H12" s="132">
        <f t="shared" si="0"/>
        <v>424732</v>
      </c>
      <c r="I12" s="8"/>
    </row>
    <row r="13" spans="2:9" ht="30" x14ac:dyDescent="0.25">
      <c r="B13" s="217" t="s">
        <v>107</v>
      </c>
      <c r="C13" s="112" t="s">
        <v>108</v>
      </c>
      <c r="D13" s="115">
        <v>1</v>
      </c>
      <c r="E13" s="204">
        <v>2</v>
      </c>
      <c r="F13" s="114">
        <v>83100</v>
      </c>
      <c r="G13" s="114">
        <f>F13*E13</f>
        <v>166200</v>
      </c>
      <c r="H13" s="132">
        <f t="shared" si="0"/>
        <v>166200</v>
      </c>
      <c r="I13" s="8"/>
    </row>
    <row r="14" spans="2:9" ht="15" x14ac:dyDescent="0.25">
      <c r="B14" s="218"/>
      <c r="C14" s="112" t="s">
        <v>109</v>
      </c>
      <c r="D14" s="115">
        <v>1</v>
      </c>
      <c r="E14" s="205"/>
      <c r="F14" s="114">
        <v>106183</v>
      </c>
      <c r="G14" s="114">
        <f>F14*E13</f>
        <v>212366</v>
      </c>
      <c r="H14" s="132">
        <f t="shared" si="0"/>
        <v>212366</v>
      </c>
      <c r="I14" s="8"/>
    </row>
    <row r="15" spans="2:9" ht="30" x14ac:dyDescent="0.25">
      <c r="B15" s="217" t="s">
        <v>110</v>
      </c>
      <c r="C15" s="112" t="s">
        <v>111</v>
      </c>
      <c r="D15" s="115">
        <v>1</v>
      </c>
      <c r="E15" s="204">
        <v>1</v>
      </c>
      <c r="F15" s="114">
        <v>83100</v>
      </c>
      <c r="G15" s="114">
        <f>F15*E15</f>
        <v>83100</v>
      </c>
      <c r="H15" s="132">
        <f t="shared" si="0"/>
        <v>83100</v>
      </c>
      <c r="I15" s="8"/>
    </row>
    <row r="16" spans="2:9" ht="15" x14ac:dyDescent="0.25">
      <c r="B16" s="218"/>
      <c r="C16" s="112" t="s">
        <v>112</v>
      </c>
      <c r="D16" s="115">
        <v>1</v>
      </c>
      <c r="E16" s="205"/>
      <c r="F16" s="114">
        <v>106183</v>
      </c>
      <c r="G16" s="114">
        <f>F16*E15</f>
        <v>106183</v>
      </c>
      <c r="H16" s="132">
        <f t="shared" si="0"/>
        <v>106183</v>
      </c>
      <c r="I16" s="8"/>
    </row>
    <row r="17" spans="2:9" ht="30" x14ac:dyDescent="0.25">
      <c r="B17" s="217" t="s">
        <v>113</v>
      </c>
      <c r="C17" s="112" t="s">
        <v>114</v>
      </c>
      <c r="D17" s="115">
        <v>1</v>
      </c>
      <c r="E17" s="204">
        <v>4</v>
      </c>
      <c r="F17" s="114">
        <v>83100</v>
      </c>
      <c r="G17" s="114">
        <f>F17*E17</f>
        <v>332400</v>
      </c>
      <c r="H17" s="132">
        <f t="shared" si="0"/>
        <v>332400</v>
      </c>
    </row>
    <row r="18" spans="2:9" ht="15" x14ac:dyDescent="0.25">
      <c r="B18" s="218"/>
      <c r="C18" s="135" t="s">
        <v>115</v>
      </c>
      <c r="D18" s="141">
        <v>1</v>
      </c>
      <c r="E18" s="205"/>
      <c r="F18" s="114">
        <v>106183</v>
      </c>
      <c r="G18" s="114">
        <f>F18*E17</f>
        <v>424732</v>
      </c>
      <c r="H18" s="132">
        <f t="shared" si="0"/>
        <v>424732</v>
      </c>
    </row>
    <row r="19" spans="2:9" s="8" customFormat="1" ht="15" x14ac:dyDescent="0.25">
      <c r="B19" s="220" t="s">
        <v>116</v>
      </c>
      <c r="C19" s="134" t="s">
        <v>117</v>
      </c>
      <c r="D19" s="111">
        <v>5</v>
      </c>
      <c r="E19" s="204">
        <v>2</v>
      </c>
      <c r="F19" s="114">
        <v>39241.67</v>
      </c>
      <c r="G19" s="114">
        <f>F19*E19</f>
        <v>78483.34</v>
      </c>
      <c r="H19" s="132">
        <f t="shared" si="0"/>
        <v>392416.69999999995</v>
      </c>
    </row>
    <row r="20" spans="2:9" s="8" customFormat="1" ht="15" x14ac:dyDescent="0.25">
      <c r="B20" s="221"/>
      <c r="C20" s="134" t="s">
        <v>101</v>
      </c>
      <c r="D20" s="111">
        <v>5</v>
      </c>
      <c r="E20" s="206"/>
      <c r="F20" s="114">
        <v>39241.67</v>
      </c>
      <c r="G20" s="114">
        <f>F20*E19</f>
        <v>78483.34</v>
      </c>
      <c r="H20" s="132">
        <f t="shared" si="0"/>
        <v>392416.69999999995</v>
      </c>
    </row>
    <row r="21" spans="2:9" ht="15.75" customHeight="1" x14ac:dyDescent="0.25">
      <c r="B21" s="221"/>
      <c r="C21" s="112" t="s">
        <v>102</v>
      </c>
      <c r="D21" s="115">
        <v>5</v>
      </c>
      <c r="E21" s="206"/>
      <c r="F21" s="114">
        <v>39241.67</v>
      </c>
      <c r="G21" s="114">
        <f>F21*E19</f>
        <v>78483.34</v>
      </c>
      <c r="H21" s="132">
        <f t="shared" si="0"/>
        <v>392416.69999999995</v>
      </c>
    </row>
    <row r="22" spans="2:9" ht="30" x14ac:dyDescent="0.25">
      <c r="B22" s="222"/>
      <c r="C22" s="112" t="s">
        <v>118</v>
      </c>
      <c r="D22" s="115">
        <v>1</v>
      </c>
      <c r="E22" s="205"/>
      <c r="F22" s="114">
        <v>55400</v>
      </c>
      <c r="G22" s="114">
        <f>F22*E19</f>
        <v>110800</v>
      </c>
      <c r="H22" s="132">
        <f t="shared" si="0"/>
        <v>110800</v>
      </c>
      <c r="I22" s="156">
        <f>SUM(H11:H22)</f>
        <v>3370163.1000000006</v>
      </c>
    </row>
    <row r="23" spans="2:9" ht="18" customHeight="1" x14ac:dyDescent="0.25">
      <c r="B23" s="142" t="s">
        <v>119</v>
      </c>
      <c r="C23" s="112" t="s">
        <v>120</v>
      </c>
      <c r="D23" s="115">
        <v>1</v>
      </c>
      <c r="E23" s="115">
        <v>5</v>
      </c>
      <c r="F23" s="114">
        <v>39241.67</v>
      </c>
      <c r="G23" s="114">
        <f>F23*E23</f>
        <v>196208.34999999998</v>
      </c>
      <c r="H23" s="132">
        <f t="shared" si="0"/>
        <v>196208.34999999998</v>
      </c>
    </row>
    <row r="24" spans="2:9" ht="15.75" customHeight="1" x14ac:dyDescent="0.25">
      <c r="B24" s="217" t="s">
        <v>121</v>
      </c>
      <c r="C24" s="112" t="s">
        <v>109</v>
      </c>
      <c r="D24" s="115">
        <v>1</v>
      </c>
      <c r="E24" s="204">
        <v>4</v>
      </c>
      <c r="F24" s="114">
        <v>106183</v>
      </c>
      <c r="G24" s="114">
        <f>F24*E24</f>
        <v>424732</v>
      </c>
      <c r="H24" s="132">
        <f t="shared" si="0"/>
        <v>424732</v>
      </c>
    </row>
    <row r="25" spans="2:9" ht="30" x14ac:dyDescent="0.25">
      <c r="B25" s="219"/>
      <c r="C25" s="112" t="s">
        <v>106</v>
      </c>
      <c r="D25" s="115">
        <v>1</v>
      </c>
      <c r="E25" s="206"/>
      <c r="F25" s="114">
        <v>106183</v>
      </c>
      <c r="G25" s="114">
        <f>F25*E24</f>
        <v>424732</v>
      </c>
      <c r="H25" s="132">
        <f t="shared" si="0"/>
        <v>424732</v>
      </c>
    </row>
    <row r="26" spans="2:9" ht="15" x14ac:dyDescent="0.25">
      <c r="B26" s="219"/>
      <c r="C26" s="135" t="s">
        <v>115</v>
      </c>
      <c r="D26" s="115">
        <v>1</v>
      </c>
      <c r="E26" s="206"/>
      <c r="F26" s="114">
        <v>106183</v>
      </c>
      <c r="G26" s="114">
        <f>F26*E24</f>
        <v>424732</v>
      </c>
      <c r="H26" s="132">
        <f t="shared" si="0"/>
        <v>424732</v>
      </c>
    </row>
    <row r="27" spans="2:9" ht="15" x14ac:dyDescent="0.25">
      <c r="B27" s="219"/>
      <c r="C27" s="112" t="s">
        <v>112</v>
      </c>
      <c r="D27" s="115">
        <v>1</v>
      </c>
      <c r="E27" s="206"/>
      <c r="F27" s="114">
        <v>106183</v>
      </c>
      <c r="G27" s="114">
        <f>F27*E24</f>
        <v>424732</v>
      </c>
      <c r="H27" s="132">
        <f t="shared" si="0"/>
        <v>424732</v>
      </c>
    </row>
    <row r="28" spans="2:9" ht="15" x14ac:dyDescent="0.25">
      <c r="B28" s="218"/>
      <c r="C28" s="112" t="s">
        <v>122</v>
      </c>
      <c r="D28" s="115">
        <v>1</v>
      </c>
      <c r="E28" s="205"/>
      <c r="F28" s="114">
        <v>36933.33</v>
      </c>
      <c r="G28" s="114">
        <f>F28*E24</f>
        <v>147733.32</v>
      </c>
      <c r="H28" s="132">
        <f t="shared" si="0"/>
        <v>147733.32</v>
      </c>
    </row>
    <row r="29" spans="2:9" ht="15.75" customHeight="1" x14ac:dyDescent="0.25">
      <c r="B29" s="217" t="s">
        <v>123</v>
      </c>
      <c r="C29" s="112" t="s">
        <v>117</v>
      </c>
      <c r="D29" s="115">
        <v>5</v>
      </c>
      <c r="E29" s="204">
        <v>4</v>
      </c>
      <c r="F29" s="114">
        <v>39241.67</v>
      </c>
      <c r="G29" s="114">
        <f>F29*E29</f>
        <v>156966.68</v>
      </c>
      <c r="H29" s="132">
        <f t="shared" si="0"/>
        <v>784833.39999999991</v>
      </c>
    </row>
    <row r="30" spans="2:9" ht="15" x14ac:dyDescent="0.25">
      <c r="B30" s="219"/>
      <c r="C30" s="112" t="s">
        <v>102</v>
      </c>
      <c r="D30" s="115">
        <v>5</v>
      </c>
      <c r="E30" s="206"/>
      <c r="F30" s="114">
        <v>39241.67</v>
      </c>
      <c r="G30" s="114">
        <f>F30*E29</f>
        <v>156966.68</v>
      </c>
      <c r="H30" s="132">
        <f t="shared" si="0"/>
        <v>784833.39999999991</v>
      </c>
    </row>
    <row r="31" spans="2:9" ht="45" x14ac:dyDescent="0.25">
      <c r="B31" s="219"/>
      <c r="C31" s="112" t="s">
        <v>105</v>
      </c>
      <c r="D31" s="115">
        <v>1</v>
      </c>
      <c r="E31" s="206"/>
      <c r="F31" s="114">
        <v>83100</v>
      </c>
      <c r="G31" s="114">
        <f>F31*E29</f>
        <v>332400</v>
      </c>
      <c r="H31" s="132">
        <f t="shared" si="0"/>
        <v>332400</v>
      </c>
    </row>
    <row r="32" spans="2:9" ht="30.75" thickBot="1" x14ac:dyDescent="0.3">
      <c r="B32" s="218"/>
      <c r="C32" s="112" t="s">
        <v>106</v>
      </c>
      <c r="D32" s="115">
        <v>1</v>
      </c>
      <c r="E32" s="205"/>
      <c r="F32" s="114">
        <v>106183</v>
      </c>
      <c r="G32" s="114">
        <f>F32*E29</f>
        <v>424732</v>
      </c>
      <c r="H32" s="132">
        <f t="shared" si="0"/>
        <v>424732</v>
      </c>
    </row>
    <row r="33" spans="2:9" s="8" customFormat="1" ht="15" customHeight="1" x14ac:dyDescent="0.25">
      <c r="B33" s="211" t="s">
        <v>124</v>
      </c>
      <c r="C33" s="112" t="s">
        <v>117</v>
      </c>
      <c r="D33" s="115">
        <v>5</v>
      </c>
      <c r="E33" s="204">
        <v>2</v>
      </c>
      <c r="F33" s="114">
        <v>39241.67</v>
      </c>
      <c r="G33" s="114">
        <f>F33*E33:E36</f>
        <v>78483.34</v>
      </c>
      <c r="H33" s="132">
        <f t="shared" si="0"/>
        <v>392416.69999999995</v>
      </c>
    </row>
    <row r="34" spans="2:9" ht="30.75" customHeight="1" x14ac:dyDescent="0.25">
      <c r="B34" s="212"/>
      <c r="C34" s="134" t="s">
        <v>101</v>
      </c>
      <c r="D34" s="115">
        <v>5</v>
      </c>
      <c r="E34" s="206"/>
      <c r="F34" s="114">
        <v>39241.67</v>
      </c>
      <c r="G34" s="114">
        <f>F34*E33</f>
        <v>78483.34</v>
      </c>
      <c r="H34" s="132">
        <f t="shared" si="0"/>
        <v>392416.69999999995</v>
      </c>
    </row>
    <row r="35" spans="2:9" ht="30" customHeight="1" x14ac:dyDescent="0.25">
      <c r="B35" s="212"/>
      <c r="C35" s="112" t="s">
        <v>108</v>
      </c>
      <c r="D35" s="115">
        <v>1</v>
      </c>
      <c r="E35" s="206"/>
      <c r="F35" s="114">
        <v>83100</v>
      </c>
      <c r="G35" s="114">
        <f>F35*E33</f>
        <v>166200</v>
      </c>
      <c r="H35" s="132">
        <f t="shared" si="0"/>
        <v>166200</v>
      </c>
    </row>
    <row r="36" spans="2:9" ht="15.75" customHeight="1" thickBot="1" x14ac:dyDescent="0.3">
      <c r="B36" s="213"/>
      <c r="C36" s="112" t="s">
        <v>109</v>
      </c>
      <c r="D36" s="115">
        <v>1</v>
      </c>
      <c r="E36" s="205"/>
      <c r="F36" s="114">
        <v>106183</v>
      </c>
      <c r="G36" s="114">
        <f>F36*E33</f>
        <v>212366</v>
      </c>
      <c r="H36" s="132">
        <f t="shared" si="0"/>
        <v>212366</v>
      </c>
    </row>
    <row r="37" spans="2:9" ht="29.25" customHeight="1" x14ac:dyDescent="0.25">
      <c r="B37" s="217" t="s">
        <v>125</v>
      </c>
      <c r="C37" s="134" t="s">
        <v>101</v>
      </c>
      <c r="D37" s="115">
        <v>5</v>
      </c>
      <c r="E37" s="204">
        <v>2</v>
      </c>
      <c r="F37" s="114">
        <v>39241.67</v>
      </c>
      <c r="G37" s="114">
        <f>F37*E37</f>
        <v>78483.34</v>
      </c>
      <c r="H37" s="132">
        <f t="shared" si="0"/>
        <v>392416.69999999995</v>
      </c>
    </row>
    <row r="38" spans="2:9" ht="15" x14ac:dyDescent="0.25">
      <c r="B38" s="218"/>
      <c r="C38" s="135" t="s">
        <v>115</v>
      </c>
      <c r="D38" s="115">
        <v>1</v>
      </c>
      <c r="E38" s="205"/>
      <c r="F38" s="114">
        <v>106183</v>
      </c>
      <c r="G38" s="114">
        <f>F38*E37</f>
        <v>212366</v>
      </c>
      <c r="H38" s="132">
        <f t="shared" si="0"/>
        <v>212366</v>
      </c>
    </row>
    <row r="39" spans="2:9" ht="30.75" customHeight="1" x14ac:dyDescent="0.25">
      <c r="B39" s="217" t="s">
        <v>126</v>
      </c>
      <c r="C39" s="134" t="s">
        <v>100</v>
      </c>
      <c r="D39" s="115">
        <v>5</v>
      </c>
      <c r="E39" s="204">
        <v>5</v>
      </c>
      <c r="F39" s="114">
        <v>39241.67</v>
      </c>
      <c r="G39" s="114">
        <f>F39*E39</f>
        <v>196208.34999999998</v>
      </c>
      <c r="H39" s="132">
        <f t="shared" si="0"/>
        <v>981041.74999999988</v>
      </c>
    </row>
    <row r="40" spans="2:9" ht="15" x14ac:dyDescent="0.25">
      <c r="B40" s="219"/>
      <c r="C40" s="134" t="s">
        <v>101</v>
      </c>
      <c r="D40" s="115">
        <v>5</v>
      </c>
      <c r="E40" s="206"/>
      <c r="F40" s="114">
        <v>39241.67</v>
      </c>
      <c r="G40" s="114">
        <f>F40*E39</f>
        <v>196208.34999999998</v>
      </c>
      <c r="H40" s="132">
        <f t="shared" si="0"/>
        <v>981041.74999999988</v>
      </c>
    </row>
    <row r="41" spans="2:9" ht="30" x14ac:dyDescent="0.25">
      <c r="B41" s="219"/>
      <c r="C41" s="112" t="s">
        <v>111</v>
      </c>
      <c r="D41" s="115">
        <v>1</v>
      </c>
      <c r="E41" s="206"/>
      <c r="F41" s="114">
        <v>83100</v>
      </c>
      <c r="G41" s="114">
        <f>F41*E39</f>
        <v>415500</v>
      </c>
      <c r="H41" s="132">
        <f t="shared" si="0"/>
        <v>415500</v>
      </c>
    </row>
    <row r="42" spans="2:9" ht="15" x14ac:dyDescent="0.25">
      <c r="B42" s="218"/>
      <c r="C42" s="112" t="s">
        <v>112</v>
      </c>
      <c r="D42" s="115">
        <v>1</v>
      </c>
      <c r="E42" s="205"/>
      <c r="F42" s="114">
        <v>106183</v>
      </c>
      <c r="G42" s="114">
        <f>F42*E39</f>
        <v>530915</v>
      </c>
      <c r="H42" s="132">
        <f t="shared" si="0"/>
        <v>530915</v>
      </c>
    </row>
    <row r="43" spans="2:9" ht="44.25" customHeight="1" x14ac:dyDescent="0.25">
      <c r="B43" s="217" t="s">
        <v>127</v>
      </c>
      <c r="C43" s="112" t="s">
        <v>111</v>
      </c>
      <c r="D43" s="115">
        <v>1</v>
      </c>
      <c r="E43" s="204">
        <v>2</v>
      </c>
      <c r="F43" s="114">
        <v>83100</v>
      </c>
      <c r="G43" s="114">
        <f>F43*E43</f>
        <v>166200</v>
      </c>
      <c r="H43" s="132">
        <f t="shared" si="0"/>
        <v>166200</v>
      </c>
    </row>
    <row r="44" spans="2:9" ht="15" x14ac:dyDescent="0.25">
      <c r="B44" s="218"/>
      <c r="C44" s="112" t="s">
        <v>112</v>
      </c>
      <c r="D44" s="115">
        <v>1</v>
      </c>
      <c r="E44" s="205"/>
      <c r="F44" s="114">
        <v>106183</v>
      </c>
      <c r="G44" s="114">
        <f>F44*E43</f>
        <v>212366</v>
      </c>
      <c r="H44" s="132">
        <f t="shared" si="0"/>
        <v>212366</v>
      </c>
    </row>
    <row r="45" spans="2:9" ht="30.75" thickBot="1" x14ac:dyDescent="0.3">
      <c r="B45" s="143" t="s">
        <v>128</v>
      </c>
      <c r="C45" s="112" t="s">
        <v>103</v>
      </c>
      <c r="D45" s="115">
        <v>1</v>
      </c>
      <c r="E45" s="115">
        <v>1</v>
      </c>
      <c r="F45" s="114">
        <v>55400</v>
      </c>
      <c r="G45" s="114">
        <f>F45*E45</f>
        <v>55400</v>
      </c>
      <c r="H45" s="132">
        <f t="shared" si="0"/>
        <v>55400</v>
      </c>
      <c r="I45" s="156">
        <f>SUM(H23:H45)</f>
        <v>9480315.0700000003</v>
      </c>
    </row>
    <row r="46" spans="2:9" s="8" customFormat="1" ht="15" customHeight="1" x14ac:dyDescent="0.25">
      <c r="B46" s="211" t="s">
        <v>129</v>
      </c>
      <c r="C46" s="134" t="s">
        <v>100</v>
      </c>
      <c r="D46" s="115">
        <v>5</v>
      </c>
      <c r="E46" s="204">
        <v>2</v>
      </c>
      <c r="F46" s="114">
        <v>39241.67</v>
      </c>
      <c r="G46" s="114">
        <f>F46*E46:E49</f>
        <v>78483.34</v>
      </c>
      <c r="H46" s="132">
        <f t="shared" si="0"/>
        <v>392416.69999999995</v>
      </c>
    </row>
    <row r="47" spans="2:9" ht="15" x14ac:dyDescent="0.25">
      <c r="B47" s="212"/>
      <c r="C47" s="112" t="s">
        <v>102</v>
      </c>
      <c r="D47" s="115">
        <v>5</v>
      </c>
      <c r="E47" s="206"/>
      <c r="F47" s="114">
        <v>39241.67</v>
      </c>
      <c r="G47" s="114">
        <f>F47*E46</f>
        <v>78483.34</v>
      </c>
      <c r="H47" s="132">
        <f t="shared" si="0"/>
        <v>392416.69999999995</v>
      </c>
    </row>
    <row r="48" spans="2:9" s="8" customFormat="1" ht="45" x14ac:dyDescent="0.25">
      <c r="B48" s="212"/>
      <c r="C48" s="112" t="s">
        <v>105</v>
      </c>
      <c r="D48" s="115">
        <v>1</v>
      </c>
      <c r="E48" s="206"/>
      <c r="F48" s="114">
        <v>83100</v>
      </c>
      <c r="G48" s="114">
        <f>F48*E46</f>
        <v>166200</v>
      </c>
      <c r="H48" s="132">
        <f t="shared" si="0"/>
        <v>166200</v>
      </c>
    </row>
    <row r="49" spans="2:9" ht="30.75" thickBot="1" x14ac:dyDescent="0.3">
      <c r="B49" s="213"/>
      <c r="C49" s="112" t="s">
        <v>106</v>
      </c>
      <c r="D49" s="115">
        <v>1</v>
      </c>
      <c r="E49" s="205"/>
      <c r="F49" s="114">
        <v>106183</v>
      </c>
      <c r="G49" s="114">
        <f>F49*E46</f>
        <v>212366</v>
      </c>
      <c r="H49" s="132">
        <f t="shared" si="0"/>
        <v>212366</v>
      </c>
    </row>
    <row r="50" spans="2:9" s="8" customFormat="1" ht="15.75" customHeight="1" x14ac:dyDescent="0.25">
      <c r="B50" s="153"/>
      <c r="C50" s="134" t="s">
        <v>100</v>
      </c>
      <c r="D50" s="115">
        <v>5</v>
      </c>
      <c r="E50" s="204">
        <v>2</v>
      </c>
      <c r="F50" s="114">
        <v>39241.67</v>
      </c>
      <c r="G50" s="114">
        <f>F50*E50:E51</f>
        <v>78483.34</v>
      </c>
      <c r="H50" s="132">
        <f t="shared" si="0"/>
        <v>392416.69999999995</v>
      </c>
    </row>
    <row r="51" spans="2:9" ht="15" customHeight="1" x14ac:dyDescent="0.25">
      <c r="B51" s="154" t="s">
        <v>130</v>
      </c>
      <c r="C51" s="134" t="s">
        <v>101</v>
      </c>
      <c r="D51" s="115">
        <v>5</v>
      </c>
      <c r="E51" s="206"/>
      <c r="F51" s="114">
        <v>39241.67</v>
      </c>
      <c r="G51" s="114">
        <f>F51*E50</f>
        <v>78483.34</v>
      </c>
      <c r="H51" s="132">
        <f t="shared" si="0"/>
        <v>392416.69999999995</v>
      </c>
    </row>
    <row r="52" spans="2:9" ht="30.75" customHeight="1" thickBot="1" x14ac:dyDescent="0.3">
      <c r="B52" s="152" t="s">
        <v>131</v>
      </c>
      <c r="C52" s="112" t="s">
        <v>108</v>
      </c>
      <c r="D52" s="115">
        <v>1</v>
      </c>
      <c r="E52" s="205"/>
      <c r="F52" s="114">
        <v>83100</v>
      </c>
      <c r="G52" s="114">
        <f>F52*E50</f>
        <v>166200</v>
      </c>
      <c r="H52" s="132">
        <f t="shared" si="0"/>
        <v>166200</v>
      </c>
    </row>
    <row r="53" spans="2:9" ht="30.75" customHeight="1" x14ac:dyDescent="0.25">
      <c r="B53" s="207" t="s">
        <v>132</v>
      </c>
      <c r="C53" s="112" t="s">
        <v>133</v>
      </c>
      <c r="D53" s="115">
        <v>5</v>
      </c>
      <c r="E53" s="204">
        <v>2</v>
      </c>
      <c r="F53" s="114">
        <v>39241.67</v>
      </c>
      <c r="G53" s="114">
        <f>F53*E53</f>
        <v>78483.34</v>
      </c>
      <c r="H53" s="132">
        <f t="shared" si="0"/>
        <v>392416.69999999995</v>
      </c>
    </row>
    <row r="54" spans="2:9" ht="15" x14ac:dyDescent="0.25">
      <c r="B54" s="208"/>
      <c r="C54" s="134" t="s">
        <v>101</v>
      </c>
      <c r="D54" s="115">
        <v>5</v>
      </c>
      <c r="E54" s="206"/>
      <c r="F54" s="114">
        <v>39241.67</v>
      </c>
      <c r="G54" s="114">
        <f>F54*E53</f>
        <v>78483.34</v>
      </c>
      <c r="H54" s="132">
        <f t="shared" si="0"/>
        <v>392416.69999999995</v>
      </c>
    </row>
    <row r="55" spans="2:9" ht="30" x14ac:dyDescent="0.25">
      <c r="B55" s="208"/>
      <c r="C55" s="112" t="s">
        <v>111</v>
      </c>
      <c r="D55" s="115">
        <v>1</v>
      </c>
      <c r="E55" s="206"/>
      <c r="F55" s="114">
        <v>83100</v>
      </c>
      <c r="G55" s="114">
        <f>F55*E53</f>
        <v>166200</v>
      </c>
      <c r="H55" s="132">
        <f t="shared" si="0"/>
        <v>166200</v>
      </c>
    </row>
    <row r="56" spans="2:9" thickBot="1" x14ac:dyDescent="0.3">
      <c r="B56" s="209"/>
      <c r="C56" s="112" t="s">
        <v>109</v>
      </c>
      <c r="D56" s="115">
        <v>1</v>
      </c>
      <c r="E56" s="205"/>
      <c r="F56" s="114">
        <v>106183</v>
      </c>
      <c r="G56" s="114">
        <f>F56*E53</f>
        <v>212366</v>
      </c>
      <c r="H56" s="132">
        <f t="shared" si="0"/>
        <v>212366</v>
      </c>
    </row>
    <row r="57" spans="2:9" ht="15" x14ac:dyDescent="0.25">
      <c r="B57" s="207" t="s">
        <v>134</v>
      </c>
      <c r="C57" s="134" t="s">
        <v>101</v>
      </c>
      <c r="D57" s="115">
        <v>5</v>
      </c>
      <c r="E57" s="204">
        <v>2</v>
      </c>
      <c r="F57" s="114">
        <v>39241.67</v>
      </c>
      <c r="G57" s="114">
        <f>F57*E57</f>
        <v>78483.34</v>
      </c>
      <c r="H57" s="132">
        <f t="shared" si="0"/>
        <v>392416.69999999995</v>
      </c>
    </row>
    <row r="58" spans="2:9" ht="30" x14ac:dyDescent="0.25">
      <c r="B58" s="208"/>
      <c r="C58" s="112" t="s">
        <v>114</v>
      </c>
      <c r="D58" s="115">
        <v>1</v>
      </c>
      <c r="E58" s="206"/>
      <c r="F58" s="114">
        <v>83100</v>
      </c>
      <c r="G58" s="114">
        <f>F58*E57</f>
        <v>166200</v>
      </c>
      <c r="H58" s="132">
        <f t="shared" si="0"/>
        <v>166200</v>
      </c>
    </row>
    <row r="59" spans="2:9" thickBot="1" x14ac:dyDescent="0.3">
      <c r="B59" s="209"/>
      <c r="C59" s="135" t="s">
        <v>115</v>
      </c>
      <c r="D59" s="115">
        <v>1</v>
      </c>
      <c r="E59" s="205"/>
      <c r="F59" s="114">
        <v>106183</v>
      </c>
      <c r="G59" s="114">
        <f>F59*E57</f>
        <v>212366</v>
      </c>
      <c r="H59" s="132">
        <f t="shared" si="0"/>
        <v>212366</v>
      </c>
    </row>
    <row r="60" spans="2:9" ht="30.75" customHeight="1" x14ac:dyDescent="0.25">
      <c r="B60" s="207" t="s">
        <v>135</v>
      </c>
      <c r="C60" s="112" t="s">
        <v>111</v>
      </c>
      <c r="D60" s="115">
        <v>1</v>
      </c>
      <c r="E60" s="204">
        <v>2</v>
      </c>
      <c r="F60" s="114">
        <v>83100</v>
      </c>
      <c r="G60" s="114">
        <f>F60*E60</f>
        <v>166200</v>
      </c>
      <c r="H60" s="132">
        <f t="shared" si="0"/>
        <v>166200</v>
      </c>
    </row>
    <row r="61" spans="2:9" ht="15" x14ac:dyDescent="0.25">
      <c r="B61" s="210"/>
      <c r="C61" s="112" t="s">
        <v>112</v>
      </c>
      <c r="D61" s="141">
        <v>1</v>
      </c>
      <c r="E61" s="206"/>
      <c r="F61" s="114">
        <v>106183</v>
      </c>
      <c r="G61" s="120">
        <f>F61*E60</f>
        <v>212366</v>
      </c>
      <c r="H61" s="132">
        <f t="shared" si="0"/>
        <v>212366</v>
      </c>
      <c r="I61" s="156">
        <f>SUM(H46:H61)</f>
        <v>4427380.9000000004</v>
      </c>
    </row>
    <row r="62" spans="2:9" ht="15" x14ac:dyDescent="0.25">
      <c r="B62" s="202" t="s">
        <v>136</v>
      </c>
      <c r="C62" s="112" t="s">
        <v>137</v>
      </c>
      <c r="D62" s="115">
        <v>1</v>
      </c>
      <c r="E62" s="204">
        <v>33</v>
      </c>
      <c r="F62" s="114">
        <v>83100</v>
      </c>
      <c r="G62" s="114">
        <f>F62*E62</f>
        <v>2742300</v>
      </c>
      <c r="H62" s="132">
        <f t="shared" si="0"/>
        <v>2742300</v>
      </c>
    </row>
    <row r="63" spans="2:9" ht="15" x14ac:dyDescent="0.25">
      <c r="B63" s="203"/>
      <c r="C63" s="112" t="s">
        <v>138</v>
      </c>
      <c r="D63" s="115">
        <v>1</v>
      </c>
      <c r="E63" s="205"/>
      <c r="F63" s="114">
        <v>106183</v>
      </c>
      <c r="G63" s="114">
        <f>F63*E62</f>
        <v>3504039</v>
      </c>
      <c r="H63" s="132">
        <f t="shared" si="0"/>
        <v>3504039</v>
      </c>
      <c r="I63" s="158">
        <f>SUM(H62:H63)</f>
        <v>6246339</v>
      </c>
    </row>
    <row r="64" spans="2:9" x14ac:dyDescent="0.25">
      <c r="G64" s="133"/>
      <c r="H64" s="121">
        <f>SUM(H7:H63)</f>
        <v>24812248.169999994</v>
      </c>
    </row>
    <row r="67" spans="2:7" x14ac:dyDescent="0.25">
      <c r="B67" s="123" t="s">
        <v>139</v>
      </c>
      <c r="C67" s="123" t="s">
        <v>140</v>
      </c>
      <c r="D67" s="124" t="s">
        <v>141</v>
      </c>
      <c r="E67" s="124" t="s">
        <v>142</v>
      </c>
    </row>
    <row r="68" spans="2:7" x14ac:dyDescent="0.25">
      <c r="B68" s="122" t="s">
        <v>143</v>
      </c>
      <c r="C68" s="137">
        <v>21</v>
      </c>
      <c r="D68" s="115">
        <v>5</v>
      </c>
      <c r="E68" s="125">
        <f>39241.67*C68*D68</f>
        <v>4120375.3499999996</v>
      </c>
      <c r="F68" s="126"/>
    </row>
    <row r="69" spans="2:7" x14ac:dyDescent="0.25">
      <c r="B69" s="122" t="s">
        <v>144</v>
      </c>
      <c r="C69" s="137">
        <v>19</v>
      </c>
      <c r="D69" s="115">
        <v>5</v>
      </c>
      <c r="E69" s="125">
        <f t="shared" ref="E69:E70" si="1">39241.67*C69*D69</f>
        <v>3727958.65</v>
      </c>
    </row>
    <row r="70" spans="2:7" x14ac:dyDescent="0.25">
      <c r="B70" s="122" t="s">
        <v>145</v>
      </c>
      <c r="C70" s="137">
        <v>10</v>
      </c>
      <c r="D70" s="115">
        <v>5</v>
      </c>
      <c r="E70" s="125">
        <f t="shared" si="1"/>
        <v>1962083.4999999998</v>
      </c>
    </row>
    <row r="71" spans="2:7" x14ac:dyDescent="0.25">
      <c r="B71" s="122" t="s">
        <v>103</v>
      </c>
      <c r="C71" s="137">
        <v>5</v>
      </c>
      <c r="D71" s="115">
        <v>1</v>
      </c>
      <c r="E71" s="125">
        <f>55400*C71*D71</f>
        <v>277000</v>
      </c>
    </row>
    <row r="72" spans="2:7" x14ac:dyDescent="0.25">
      <c r="B72" s="122" t="s">
        <v>105</v>
      </c>
      <c r="C72" s="137">
        <v>10</v>
      </c>
      <c r="D72" s="115">
        <v>1</v>
      </c>
      <c r="E72" s="125">
        <f>83100*C72*D72</f>
        <v>831000</v>
      </c>
    </row>
    <row r="73" spans="2:7" x14ac:dyDescent="0.25">
      <c r="B73" s="122" t="s">
        <v>108</v>
      </c>
      <c r="C73" s="137">
        <v>6</v>
      </c>
      <c r="D73" s="115">
        <v>1</v>
      </c>
      <c r="E73" s="125">
        <f>83100*C73*D73</f>
        <v>498600</v>
      </c>
    </row>
    <row r="74" spans="2:7" x14ac:dyDescent="0.25">
      <c r="B74" s="122" t="s">
        <v>111</v>
      </c>
      <c r="C74" s="137">
        <v>12</v>
      </c>
      <c r="D74" s="115">
        <v>1</v>
      </c>
      <c r="E74" s="125">
        <f t="shared" ref="E74:E75" si="2">83100*C74*D74</f>
        <v>997200</v>
      </c>
    </row>
    <row r="75" spans="2:7" s="8" customFormat="1" x14ac:dyDescent="0.25">
      <c r="B75" s="122" t="s">
        <v>114</v>
      </c>
      <c r="C75" s="137">
        <v>6</v>
      </c>
      <c r="D75" s="115">
        <v>1</v>
      </c>
      <c r="E75" s="125">
        <f t="shared" si="2"/>
        <v>498600</v>
      </c>
      <c r="F75" s="118"/>
      <c r="G75" s="119"/>
    </row>
    <row r="76" spans="2:7" x14ac:dyDescent="0.25">
      <c r="B76" s="122" t="s">
        <v>146</v>
      </c>
      <c r="C76" s="137">
        <v>14</v>
      </c>
      <c r="D76" s="115">
        <v>1</v>
      </c>
      <c r="E76" s="125">
        <f>106183*C76*D76</f>
        <v>1486562</v>
      </c>
    </row>
    <row r="77" spans="2:7" x14ac:dyDescent="0.25">
      <c r="B77" s="122" t="s">
        <v>109</v>
      </c>
      <c r="C77" s="137">
        <v>10</v>
      </c>
      <c r="D77" s="115">
        <v>1</v>
      </c>
      <c r="E77" s="125">
        <f t="shared" ref="E77:E80" si="3">106183*C77*D77</f>
        <v>1061830</v>
      </c>
    </row>
    <row r="78" spans="2:7" x14ac:dyDescent="0.25">
      <c r="B78" s="122" t="s">
        <v>147</v>
      </c>
      <c r="C78" s="137">
        <v>14</v>
      </c>
      <c r="D78" s="115">
        <v>1</v>
      </c>
      <c r="E78" s="125">
        <f t="shared" si="3"/>
        <v>1486562</v>
      </c>
    </row>
    <row r="79" spans="2:7" x14ac:dyDescent="0.25">
      <c r="B79" s="122" t="s">
        <v>148</v>
      </c>
      <c r="C79" s="137">
        <v>12</v>
      </c>
      <c r="D79" s="115">
        <v>1</v>
      </c>
      <c r="E79" s="125">
        <f t="shared" si="3"/>
        <v>1274196</v>
      </c>
    </row>
    <row r="80" spans="2:7" s="8" customFormat="1" x14ac:dyDescent="0.25">
      <c r="B80" s="122" t="s">
        <v>138</v>
      </c>
      <c r="C80" s="137">
        <v>33</v>
      </c>
      <c r="D80" s="115">
        <v>1</v>
      </c>
      <c r="E80" s="125">
        <f t="shared" si="3"/>
        <v>3504039</v>
      </c>
      <c r="F80" s="118"/>
      <c r="G80" s="119"/>
    </row>
    <row r="81" spans="2:7" s="8" customFormat="1" x14ac:dyDescent="0.25">
      <c r="B81" s="122" t="s">
        <v>137</v>
      </c>
      <c r="C81" s="137">
        <v>33</v>
      </c>
      <c r="D81" s="115">
        <v>1</v>
      </c>
      <c r="E81" s="125">
        <f>83100*C81*D81</f>
        <v>2742300</v>
      </c>
      <c r="F81" s="118"/>
      <c r="G81" s="119"/>
    </row>
    <row r="82" spans="2:7" x14ac:dyDescent="0.25">
      <c r="B82" s="109" t="s">
        <v>120</v>
      </c>
      <c r="C82" s="138">
        <v>5</v>
      </c>
      <c r="D82" s="115">
        <v>1</v>
      </c>
      <c r="E82" s="125">
        <f>39241.67*C82*D82</f>
        <v>196208.34999999998</v>
      </c>
    </row>
    <row r="83" spans="2:7" x14ac:dyDescent="0.25">
      <c r="B83" s="122" t="s">
        <v>149</v>
      </c>
      <c r="C83" s="138">
        <v>4</v>
      </c>
      <c r="D83" s="115">
        <v>1</v>
      </c>
      <c r="E83" s="125">
        <f t="shared" ref="E83:E84" si="4">39241.67*C83*D83</f>
        <v>156966.68</v>
      </c>
    </row>
    <row r="84" spans="2:7" x14ac:dyDescent="0.25">
      <c r="B84" s="116" t="s">
        <v>150</v>
      </c>
      <c r="E84" s="125">
        <f t="shared" si="4"/>
        <v>0</v>
      </c>
    </row>
    <row r="85" spans="2:7" x14ac:dyDescent="0.25">
      <c r="E85" s="125">
        <f>SUM(E68:E83)</f>
        <v>24821481.530000001</v>
      </c>
    </row>
  </sheetData>
  <mergeCells count="35">
    <mergeCell ref="E13:E14"/>
    <mergeCell ref="B33:B36"/>
    <mergeCell ref="E53:E56"/>
    <mergeCell ref="E19:E22"/>
    <mergeCell ref="E7:E10"/>
    <mergeCell ref="B37:B38"/>
    <mergeCell ref="B39:B42"/>
    <mergeCell ref="B43:B44"/>
    <mergeCell ref="B17:B18"/>
    <mergeCell ref="B24:B28"/>
    <mergeCell ref="B29:B32"/>
    <mergeCell ref="B7:B10"/>
    <mergeCell ref="B11:B12"/>
    <mergeCell ref="B13:B14"/>
    <mergeCell ref="B15:B16"/>
    <mergeCell ref="E33:E36"/>
    <mergeCell ref="E15:E16"/>
    <mergeCell ref="E17:E18"/>
    <mergeCell ref="B19:B22"/>
    <mergeCell ref="E11:E12"/>
    <mergeCell ref="B62:B63"/>
    <mergeCell ref="E62:E63"/>
    <mergeCell ref="E24:E28"/>
    <mergeCell ref="E29:E32"/>
    <mergeCell ref="E37:E38"/>
    <mergeCell ref="E39:E42"/>
    <mergeCell ref="E43:E44"/>
    <mergeCell ref="B57:B59"/>
    <mergeCell ref="B60:B61"/>
    <mergeCell ref="B53:B56"/>
    <mergeCell ref="B46:B49"/>
    <mergeCell ref="E46:E49"/>
    <mergeCell ref="E50:E52"/>
    <mergeCell ref="E57:E59"/>
    <mergeCell ref="E60:E6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O29"/>
  <sheetViews>
    <sheetView topLeftCell="A4" workbookViewId="0">
      <selection activeCell="C16" sqref="C16"/>
    </sheetView>
  </sheetViews>
  <sheetFormatPr baseColWidth="10" defaultColWidth="11.42578125" defaultRowHeight="15" x14ac:dyDescent="0.25"/>
  <cols>
    <col min="3" max="3" width="35" customWidth="1"/>
    <col min="4" max="4" width="17.85546875" style="1" bestFit="1" customWidth="1"/>
    <col min="5" max="5" width="17.28515625" customWidth="1"/>
    <col min="6" max="6" width="20" customWidth="1"/>
    <col min="7" max="7" width="15.85546875" customWidth="1"/>
    <col min="8" max="8" width="15" customWidth="1"/>
    <col min="9" max="9" width="14.42578125" bestFit="1" customWidth="1"/>
    <col min="10" max="10" width="13" customWidth="1"/>
    <col min="11" max="11" width="12.28515625" bestFit="1" customWidth="1"/>
    <col min="13" max="13" width="12.28515625" bestFit="1" customWidth="1"/>
    <col min="14" max="14" width="22.28515625" bestFit="1" customWidth="1"/>
    <col min="15" max="15" width="33.5703125" bestFit="1" customWidth="1"/>
  </cols>
  <sheetData>
    <row r="3" spans="3:15" ht="15" customHeight="1" x14ac:dyDescent="0.25">
      <c r="C3" s="225" t="s">
        <v>151</v>
      </c>
      <c r="D3" s="226"/>
      <c r="E3" s="226"/>
      <c r="F3" s="226"/>
      <c r="G3" s="40"/>
      <c r="H3" s="8"/>
      <c r="I3" s="8"/>
      <c r="J3" s="8"/>
      <c r="K3" s="8"/>
      <c r="L3" s="8"/>
      <c r="M3" s="8"/>
      <c r="N3" s="8"/>
      <c r="O3" s="8"/>
    </row>
    <row r="4" spans="3:15" s="7" customFormat="1" ht="28.5" customHeight="1" x14ac:dyDescent="0.25">
      <c r="C4" s="52" t="s">
        <v>81</v>
      </c>
      <c r="D4" s="53" t="s">
        <v>152</v>
      </c>
      <c r="E4" s="54" t="s">
        <v>153</v>
      </c>
      <c r="F4" s="54" t="s">
        <v>154</v>
      </c>
      <c r="G4" s="41"/>
    </row>
    <row r="5" spans="3:15" x14ac:dyDescent="0.25">
      <c r="C5" s="9" t="s">
        <v>155</v>
      </c>
      <c r="D5" s="19">
        <v>800000</v>
      </c>
      <c r="E5" s="19">
        <f>D5/30</f>
        <v>26666.666666666668</v>
      </c>
      <c r="F5" s="22">
        <f>(D5*1.5)/8</f>
        <v>150000</v>
      </c>
      <c r="G5" s="42"/>
      <c r="H5" s="8"/>
      <c r="I5" s="8"/>
      <c r="J5" s="8"/>
      <c r="K5" s="8"/>
      <c r="L5" s="8"/>
      <c r="M5" s="8"/>
      <c r="N5" s="8"/>
      <c r="O5" s="8"/>
    </row>
    <row r="6" spans="3:15" x14ac:dyDescent="0.25">
      <c r="C6" s="9" t="s">
        <v>156</v>
      </c>
      <c r="D6" s="19">
        <v>298000</v>
      </c>
      <c r="E6" s="19">
        <f>D6/30</f>
        <v>9933.3333333333339</v>
      </c>
      <c r="F6" s="22">
        <f t="shared" ref="F6:F10" si="0">(D6*1.5)/8</f>
        <v>55875</v>
      </c>
      <c r="G6" s="42"/>
      <c r="H6" s="8"/>
      <c r="I6" s="8"/>
      <c r="J6" s="8"/>
      <c r="K6" s="8"/>
      <c r="L6" s="8"/>
      <c r="M6" s="8"/>
      <c r="N6" s="8"/>
      <c r="O6" s="8"/>
    </row>
    <row r="7" spans="3:15" s="8" customFormat="1" x14ac:dyDescent="0.25">
      <c r="C7" s="9" t="s">
        <v>157</v>
      </c>
      <c r="D7" s="19">
        <v>270000</v>
      </c>
      <c r="E7" s="19">
        <f>D7/30</f>
        <v>9000</v>
      </c>
      <c r="F7" s="22">
        <f t="shared" si="0"/>
        <v>50625</v>
      </c>
      <c r="G7" s="39"/>
    </row>
    <row r="8" spans="3:15" x14ac:dyDescent="0.25">
      <c r="C8" s="9" t="s">
        <v>158</v>
      </c>
      <c r="D8" s="19">
        <v>550000</v>
      </c>
      <c r="E8" s="19">
        <f t="shared" ref="E8:E10" si="1">D8/30</f>
        <v>18333.333333333332</v>
      </c>
      <c r="F8" s="22">
        <f t="shared" si="0"/>
        <v>103125</v>
      </c>
      <c r="G8" s="39"/>
      <c r="H8" s="8"/>
      <c r="I8" s="8"/>
      <c r="J8" s="8"/>
      <c r="K8" s="8"/>
      <c r="L8" s="8"/>
      <c r="M8" s="8"/>
      <c r="N8" s="8"/>
      <c r="O8" s="8"/>
    </row>
    <row r="9" spans="3:15" s="8" customFormat="1" x14ac:dyDescent="0.25">
      <c r="C9" s="9" t="s">
        <v>159</v>
      </c>
      <c r="D9" s="19">
        <f>N25</f>
        <v>21535300</v>
      </c>
      <c r="E9" s="19">
        <f t="shared" si="1"/>
        <v>717843.33333333337</v>
      </c>
      <c r="F9" s="22">
        <f>(D9*1.5)/8+N17</f>
        <v>7777368.75</v>
      </c>
      <c r="G9" s="39"/>
    </row>
    <row r="10" spans="3:15" x14ac:dyDescent="0.25">
      <c r="C10" s="9" t="s">
        <v>160</v>
      </c>
      <c r="D10" s="19">
        <v>360000</v>
      </c>
      <c r="E10" s="19">
        <f t="shared" si="1"/>
        <v>12000</v>
      </c>
      <c r="F10" s="22">
        <f t="shared" si="0"/>
        <v>67500</v>
      </c>
      <c r="G10" s="39"/>
      <c r="H10" s="8"/>
      <c r="I10" s="8"/>
      <c r="J10" s="8"/>
      <c r="K10" s="8"/>
      <c r="L10" s="8"/>
      <c r="M10" s="8"/>
      <c r="N10" s="8"/>
      <c r="O10" s="8"/>
    </row>
    <row r="11" spans="3:15" x14ac:dyDescent="0.25">
      <c r="C11" s="9"/>
      <c r="D11" s="26"/>
      <c r="E11" s="27"/>
      <c r="F11" s="66">
        <f>SUM(F5:F10)</f>
        <v>8204493.75</v>
      </c>
      <c r="G11" s="39"/>
      <c r="H11" s="8"/>
      <c r="I11" s="8"/>
      <c r="J11" s="8"/>
      <c r="K11" s="8"/>
      <c r="L11" s="8"/>
      <c r="M11" s="8"/>
      <c r="N11" s="8"/>
      <c r="O11" s="8"/>
    </row>
    <row r="14" spans="3:15" s="51" customFormat="1" ht="27.75" customHeight="1" x14ac:dyDescent="0.25">
      <c r="C14" s="227" t="s">
        <v>161</v>
      </c>
      <c r="D14" s="229" t="s">
        <v>162</v>
      </c>
      <c r="E14" s="223" t="s">
        <v>163</v>
      </c>
      <c r="F14" s="49" t="s">
        <v>164</v>
      </c>
      <c r="G14" s="49" t="s">
        <v>165</v>
      </c>
      <c r="H14" s="49" t="s">
        <v>166</v>
      </c>
      <c r="I14" s="89" t="s">
        <v>167</v>
      </c>
      <c r="J14" s="90" t="s">
        <v>168</v>
      </c>
      <c r="K14" s="90" t="s">
        <v>169</v>
      </c>
      <c r="L14" s="90" t="s">
        <v>170</v>
      </c>
      <c r="M14" s="89" t="s">
        <v>171</v>
      </c>
      <c r="N14" s="223" t="s">
        <v>172</v>
      </c>
      <c r="O14" s="50"/>
    </row>
    <row r="15" spans="3:15" s="51" customFormat="1" ht="15" customHeight="1" x14ac:dyDescent="0.25">
      <c r="C15" s="228"/>
      <c r="D15" s="224"/>
      <c r="E15" s="230"/>
      <c r="F15" s="93">
        <v>0.04</v>
      </c>
      <c r="G15" s="94">
        <v>0.12</v>
      </c>
      <c r="H15" s="93">
        <v>8.3299999999999999E-2</v>
      </c>
      <c r="I15" s="93">
        <v>0.01</v>
      </c>
      <c r="J15" s="95">
        <v>4.1700000000000001E-2</v>
      </c>
      <c r="K15" s="93">
        <v>0.03</v>
      </c>
      <c r="L15" s="93">
        <v>0.02</v>
      </c>
      <c r="M15" s="96">
        <v>0.04</v>
      </c>
      <c r="N15" s="224"/>
      <c r="O15" s="50"/>
    </row>
    <row r="16" spans="3:15" x14ac:dyDescent="0.25">
      <c r="C16" s="47" t="s">
        <v>173</v>
      </c>
      <c r="D16" s="22">
        <v>3200000</v>
      </c>
      <c r="E16" s="18"/>
      <c r="F16" s="19">
        <f>D16*F15</f>
        <v>128000</v>
      </c>
      <c r="G16" s="19">
        <f>D16*G15</f>
        <v>384000</v>
      </c>
      <c r="H16" s="19">
        <f>D16*H15</f>
        <v>266560</v>
      </c>
      <c r="I16" s="19">
        <f>D16*I15</f>
        <v>32000</v>
      </c>
      <c r="J16" s="19">
        <f>D16*J15</f>
        <v>133440</v>
      </c>
      <c r="K16" s="19">
        <f>D16*K15</f>
        <v>96000</v>
      </c>
      <c r="L16" s="19">
        <f>D16*L15</f>
        <v>64000</v>
      </c>
      <c r="M16" s="19">
        <f>D16*M15</f>
        <v>128000</v>
      </c>
      <c r="N16" s="20">
        <f>SUM(D16:M16)</f>
        <v>4432000</v>
      </c>
      <c r="O16" s="43"/>
    </row>
    <row r="17" spans="3:15" s="8" customFormat="1" x14ac:dyDescent="0.25">
      <c r="C17" s="47" t="s">
        <v>174</v>
      </c>
      <c r="D17" s="22">
        <v>2700000</v>
      </c>
      <c r="E17" s="21"/>
      <c r="F17" s="19">
        <f>D17*F15</f>
        <v>108000</v>
      </c>
      <c r="G17" s="19">
        <f>D17*G15</f>
        <v>324000</v>
      </c>
      <c r="H17" s="19">
        <f>D17*H15</f>
        <v>224910</v>
      </c>
      <c r="I17" s="19">
        <f>D17*I15</f>
        <v>27000</v>
      </c>
      <c r="J17" s="19">
        <f>D17*J15</f>
        <v>112590</v>
      </c>
      <c r="K17" s="19">
        <f>D17*K15</f>
        <v>81000</v>
      </c>
      <c r="L17" s="19">
        <f>D17*L15</f>
        <v>54000</v>
      </c>
      <c r="M17" s="19">
        <f>D17*M15</f>
        <v>108000</v>
      </c>
      <c r="N17" s="20">
        <f>SUM(D17:M17)</f>
        <v>3739500</v>
      </c>
      <c r="O17" s="43"/>
    </row>
    <row r="18" spans="3:15" x14ac:dyDescent="0.25">
      <c r="C18" s="48" t="s">
        <v>175</v>
      </c>
      <c r="D18" s="22">
        <v>2700000</v>
      </c>
      <c r="E18" s="8"/>
      <c r="F18" s="19">
        <f>D18*F15</f>
        <v>108000</v>
      </c>
      <c r="G18" s="19">
        <f>D18*G15</f>
        <v>324000</v>
      </c>
      <c r="H18" s="19">
        <f>D18*H15</f>
        <v>224910</v>
      </c>
      <c r="I18" s="19">
        <f>D18*I15</f>
        <v>27000</v>
      </c>
      <c r="J18" s="19">
        <f>D18*J15</f>
        <v>112590</v>
      </c>
      <c r="K18" s="19">
        <f>D18*K15</f>
        <v>81000</v>
      </c>
      <c r="L18" s="19">
        <f>D18*L15</f>
        <v>54000</v>
      </c>
      <c r="M18" s="19">
        <f>D18*M15</f>
        <v>108000</v>
      </c>
      <c r="N18" s="20">
        <f t="shared" ref="N18:N20" si="2">SUM(D18:M18)</f>
        <v>3739500</v>
      </c>
      <c r="O18" s="43"/>
    </row>
    <row r="19" spans="3:15" x14ac:dyDescent="0.25">
      <c r="C19" s="47" t="s">
        <v>176</v>
      </c>
      <c r="D19" s="22">
        <f>1300000</f>
        <v>1300000</v>
      </c>
      <c r="E19" s="21"/>
      <c r="F19" s="19">
        <f>D19*F15</f>
        <v>52000</v>
      </c>
      <c r="G19" s="19">
        <f>D19*G15</f>
        <v>156000</v>
      </c>
      <c r="H19" s="19">
        <f>D19*H15</f>
        <v>108290</v>
      </c>
      <c r="I19" s="19">
        <f>D19*I15</f>
        <v>13000</v>
      </c>
      <c r="J19" s="19">
        <f>D19*J15</f>
        <v>54210</v>
      </c>
      <c r="K19" s="19">
        <f>D19*K15</f>
        <v>39000</v>
      </c>
      <c r="L19" s="19">
        <f>D19*L15</f>
        <v>26000</v>
      </c>
      <c r="M19" s="19">
        <f>D19*M15</f>
        <v>52000</v>
      </c>
      <c r="N19" s="20">
        <f t="shared" si="2"/>
        <v>1800500</v>
      </c>
      <c r="O19" s="43"/>
    </row>
    <row r="20" spans="3:15" s="8" customFormat="1" x14ac:dyDescent="0.25">
      <c r="C20" s="47" t="s">
        <v>177</v>
      </c>
      <c r="D20" s="22">
        <f>1300000</f>
        <v>1300000</v>
      </c>
      <c r="E20" s="21"/>
      <c r="F20" s="19">
        <f>D20*F15</f>
        <v>52000</v>
      </c>
      <c r="G20" s="19">
        <f>D20*G15</f>
        <v>156000</v>
      </c>
      <c r="H20" s="19">
        <f>D20*H15</f>
        <v>108290</v>
      </c>
      <c r="I20" s="19">
        <f>D20*I15</f>
        <v>13000</v>
      </c>
      <c r="J20" s="19">
        <f>D20*J15</f>
        <v>54210</v>
      </c>
      <c r="K20" s="19">
        <f>D20*K15</f>
        <v>39000</v>
      </c>
      <c r="L20" s="19">
        <f>D20*L15</f>
        <v>26000</v>
      </c>
      <c r="M20" s="19">
        <f>D20*M15</f>
        <v>52000</v>
      </c>
      <c r="N20" s="20">
        <f t="shared" si="2"/>
        <v>1800500</v>
      </c>
      <c r="O20" s="43"/>
    </row>
    <row r="21" spans="3:15" x14ac:dyDescent="0.25">
      <c r="C21" s="47" t="s">
        <v>178</v>
      </c>
      <c r="D21" s="22">
        <v>1300000</v>
      </c>
      <c r="E21" s="21"/>
      <c r="F21" s="19">
        <f>D21*F15</f>
        <v>52000</v>
      </c>
      <c r="G21" s="19">
        <f>D21*G15</f>
        <v>156000</v>
      </c>
      <c r="H21" s="19">
        <f>D21*H15</f>
        <v>108290</v>
      </c>
      <c r="I21" s="19">
        <f>D21*I15</f>
        <v>13000</v>
      </c>
      <c r="J21" s="19">
        <f>D21*J15</f>
        <v>54210</v>
      </c>
      <c r="K21" s="19">
        <f>D21*K15</f>
        <v>39000</v>
      </c>
      <c r="L21" s="19">
        <f>D21*L15</f>
        <v>26000</v>
      </c>
      <c r="M21" s="19">
        <f>D21*M15</f>
        <v>52000</v>
      </c>
      <c r="N21" s="20">
        <f t="shared" ref="N21:N24" si="3">SUM(D21:M21)</f>
        <v>1800500</v>
      </c>
      <c r="O21" s="43"/>
    </row>
    <row r="22" spans="3:15" x14ac:dyDescent="0.25">
      <c r="C22" s="47" t="s">
        <v>179</v>
      </c>
      <c r="D22" s="22">
        <v>1200000</v>
      </c>
      <c r="E22" s="21"/>
      <c r="F22" s="19">
        <f>D23*F15</f>
        <v>48000</v>
      </c>
      <c r="G22" s="19">
        <f>D22*G15</f>
        <v>144000</v>
      </c>
      <c r="H22" s="19">
        <f>D22*H15</f>
        <v>99960</v>
      </c>
      <c r="I22" s="19">
        <f>D22*I15</f>
        <v>12000</v>
      </c>
      <c r="J22" s="19">
        <f>D22*J15</f>
        <v>50040</v>
      </c>
      <c r="K22" s="19">
        <f>D22*K15</f>
        <v>36000</v>
      </c>
      <c r="L22" s="19">
        <f>D22*L15</f>
        <v>24000</v>
      </c>
      <c r="M22" s="19">
        <f>D22*M15</f>
        <v>48000</v>
      </c>
      <c r="N22" s="20">
        <f t="shared" si="3"/>
        <v>1662000</v>
      </c>
      <c r="O22" s="99">
        <f>(F15+G15+H15+I15+J15+K15+L15+M15)</f>
        <v>0.38500000000000006</v>
      </c>
    </row>
    <row r="23" spans="3:15" x14ac:dyDescent="0.25">
      <c r="C23" s="47" t="s">
        <v>180</v>
      </c>
      <c r="D23" s="22">
        <v>1200000</v>
      </c>
      <c r="E23" s="21"/>
      <c r="F23" s="19">
        <f>D23*F15</f>
        <v>48000</v>
      </c>
      <c r="G23" s="19">
        <f>D23*G15</f>
        <v>144000</v>
      </c>
      <c r="H23" s="19">
        <f>D23*H15</f>
        <v>99960</v>
      </c>
      <c r="I23" s="19">
        <f>D23*I15</f>
        <v>12000</v>
      </c>
      <c r="J23" s="19">
        <f>D23*J15</f>
        <v>50040</v>
      </c>
      <c r="K23" s="19">
        <f>D23*K15</f>
        <v>36000</v>
      </c>
      <c r="L23" s="19">
        <f>D23*L15</f>
        <v>24000</v>
      </c>
      <c r="M23" s="19">
        <f>D23*M15</f>
        <v>48000</v>
      </c>
      <c r="N23" s="20">
        <f t="shared" si="3"/>
        <v>1662000</v>
      </c>
      <c r="O23" s="43"/>
    </row>
    <row r="24" spans="3:15" x14ac:dyDescent="0.25">
      <c r="C24" s="47" t="s">
        <v>181</v>
      </c>
      <c r="D24" s="22">
        <v>600000</v>
      </c>
      <c r="E24" s="21">
        <v>67800</v>
      </c>
      <c r="F24" s="19">
        <f>D24*F15</f>
        <v>24000</v>
      </c>
      <c r="G24" s="19">
        <f>D24*G15</f>
        <v>72000</v>
      </c>
      <c r="H24" s="19">
        <f>D24*H15</f>
        <v>49980</v>
      </c>
      <c r="I24" s="19">
        <f>D24*I15</f>
        <v>6000</v>
      </c>
      <c r="J24" s="19">
        <f>D24*J15</f>
        <v>25020</v>
      </c>
      <c r="K24" s="19">
        <f>D24*K15</f>
        <v>18000</v>
      </c>
      <c r="L24" s="19">
        <f>D24*L15</f>
        <v>12000</v>
      </c>
      <c r="M24" s="19">
        <f>D24*M15</f>
        <v>24000</v>
      </c>
      <c r="N24" s="20">
        <f t="shared" si="3"/>
        <v>898800</v>
      </c>
      <c r="O24" s="43"/>
    </row>
    <row r="25" spans="3:15" x14ac:dyDescent="0.25">
      <c r="C25" s="8"/>
      <c r="D25" s="23"/>
      <c r="E25" s="91"/>
      <c r="F25" s="8"/>
      <c r="G25" s="8"/>
      <c r="H25" s="8"/>
      <c r="I25" s="8"/>
      <c r="J25" s="8"/>
      <c r="K25" s="8"/>
      <c r="L25" s="8"/>
      <c r="M25" s="8"/>
      <c r="N25" s="37">
        <f>SUM(N16:N24)</f>
        <v>21535300</v>
      </c>
      <c r="O25" s="44"/>
    </row>
    <row r="26" spans="3:15" x14ac:dyDescent="0.25">
      <c r="C26" s="64"/>
      <c r="E26" s="8"/>
      <c r="F26" s="92"/>
      <c r="G26" s="8"/>
      <c r="H26" s="8"/>
      <c r="I26" s="8"/>
      <c r="J26" s="8"/>
      <c r="K26" s="8"/>
      <c r="L26" s="8"/>
      <c r="M26" s="8"/>
      <c r="N26" s="8"/>
      <c r="O26" s="8"/>
    </row>
    <row r="27" spans="3:15" x14ac:dyDescent="0.25">
      <c r="C27" s="64"/>
      <c r="E27" s="8"/>
      <c r="F27" s="8"/>
      <c r="G27" s="8"/>
      <c r="H27" s="8"/>
      <c r="I27" s="92"/>
      <c r="J27" s="8"/>
      <c r="K27" s="8"/>
      <c r="L27" s="8"/>
      <c r="M27" s="8"/>
      <c r="N27" s="8"/>
      <c r="O27" s="8"/>
    </row>
    <row r="28" spans="3:15" x14ac:dyDescent="0.25">
      <c r="C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</row>
    <row r="29" spans="3:15" x14ac:dyDescent="0.25">
      <c r="C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</row>
  </sheetData>
  <mergeCells count="5">
    <mergeCell ref="N14:N15"/>
    <mergeCell ref="C3:F3"/>
    <mergeCell ref="C14:C15"/>
    <mergeCell ref="D14:D15"/>
    <mergeCell ref="E14:E1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E8"/>
  <sheetViews>
    <sheetView workbookViewId="0">
      <selection activeCell="G21" sqref="G21"/>
    </sheetView>
  </sheetViews>
  <sheetFormatPr baseColWidth="10" defaultColWidth="9.140625" defaultRowHeight="15" x14ac:dyDescent="0.25"/>
  <cols>
    <col min="3" max="3" width="33.5703125" bestFit="1" customWidth="1"/>
    <col min="4" max="4" width="19.5703125" customWidth="1"/>
  </cols>
  <sheetData>
    <row r="2" spans="3:5" x14ac:dyDescent="0.25">
      <c r="C2" s="140" t="s">
        <v>81</v>
      </c>
      <c r="D2" s="140" t="s">
        <v>182</v>
      </c>
      <c r="E2" s="8"/>
    </row>
    <row r="3" spans="3:5" x14ac:dyDescent="0.25">
      <c r="C3" s="9" t="s">
        <v>183</v>
      </c>
      <c r="D3" s="82">
        <f>(CANALES!I27)</f>
        <v>111029276</v>
      </c>
      <c r="E3" s="8"/>
    </row>
    <row r="4" spans="3:5" x14ac:dyDescent="0.25">
      <c r="C4" s="9" t="s">
        <v>184</v>
      </c>
      <c r="D4" s="38">
        <f>'Cableado Estructurado'!J28</f>
        <v>85421009</v>
      </c>
      <c r="E4" s="8"/>
    </row>
    <row r="5" spans="3:5" x14ac:dyDescent="0.25">
      <c r="C5" s="9" t="s">
        <v>185</v>
      </c>
      <c r="D5" s="38">
        <f>('Costos Soporte'!I11)</f>
        <v>157364000</v>
      </c>
      <c r="E5" s="8"/>
    </row>
    <row r="6" spans="3:5" x14ac:dyDescent="0.25">
      <c r="C6" s="9" t="s">
        <v>186</v>
      </c>
      <c r="D6" s="38">
        <f>('nomina operativa'!H64)</f>
        <v>24812248.169999994</v>
      </c>
      <c r="E6" s="8"/>
    </row>
    <row r="7" spans="3:5" x14ac:dyDescent="0.25">
      <c r="C7" s="9" t="s">
        <v>187</v>
      </c>
      <c r="D7" s="38">
        <f>'Costos administrativos '!F11</f>
        <v>8204493.75</v>
      </c>
      <c r="E7" s="8"/>
    </row>
    <row r="8" spans="3:5" x14ac:dyDescent="0.25">
      <c r="C8" s="8"/>
      <c r="D8" s="68">
        <f>SUM(D3:D7)</f>
        <v>386831026.92000002</v>
      </c>
      <c r="E8" s="6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0"/>
  <sheetViews>
    <sheetView tabSelected="1" topLeftCell="C1" workbookViewId="0">
      <selection activeCell="D15" sqref="D15"/>
    </sheetView>
  </sheetViews>
  <sheetFormatPr baseColWidth="10" defaultColWidth="9.140625" defaultRowHeight="15" x14ac:dyDescent="0.25"/>
  <cols>
    <col min="3" max="3" width="40" customWidth="1"/>
    <col min="4" max="4" width="14.42578125" style="78" bestFit="1" customWidth="1"/>
    <col min="6" max="6" width="33.140625" bestFit="1" customWidth="1"/>
    <col min="7" max="7" width="26.85546875" style="83" customWidth="1"/>
  </cols>
  <sheetData>
    <row r="1" spans="2:14" s="8" customFormat="1" x14ac:dyDescent="0.25">
      <c r="D1" s="78"/>
      <c r="G1" s="83"/>
    </row>
    <row r="2" spans="2:14" ht="41.25" customHeight="1" x14ac:dyDescent="0.25">
      <c r="B2" s="8"/>
      <c r="C2" s="232" t="s">
        <v>188</v>
      </c>
      <c r="D2" s="233"/>
      <c r="E2" s="233"/>
      <c r="F2" s="234"/>
      <c r="G2" s="88">
        <f>(D13+G23)</f>
        <v>386831026.91999996</v>
      </c>
      <c r="H2" s="8"/>
      <c r="I2" s="8"/>
      <c r="J2" s="8"/>
      <c r="K2" s="8"/>
      <c r="L2" s="8"/>
      <c r="M2" s="8"/>
      <c r="N2" s="8"/>
    </row>
    <row r="3" spans="2:14" x14ac:dyDescent="0.25">
      <c r="B3" s="8"/>
      <c r="C3" s="8"/>
      <c r="E3" s="8"/>
      <c r="F3" s="8"/>
      <c r="H3" s="8"/>
      <c r="I3" s="8"/>
      <c r="J3" s="8"/>
      <c r="K3" s="8"/>
      <c r="L3" s="8"/>
      <c r="M3" s="8"/>
      <c r="N3" s="8"/>
    </row>
    <row r="4" spans="2:14" s="7" customFormat="1" ht="15" customHeight="1" x14ac:dyDescent="0.25">
      <c r="C4" s="231" t="s">
        <v>189</v>
      </c>
      <c r="D4" s="231"/>
      <c r="F4" s="231" t="s">
        <v>190</v>
      </c>
      <c r="G4" s="231"/>
    </row>
    <row r="5" spans="2:14" s="7" customFormat="1" x14ac:dyDescent="0.25">
      <c r="C5" s="75" t="s">
        <v>191</v>
      </c>
      <c r="D5" s="79" t="s">
        <v>192</v>
      </c>
      <c r="F5" s="74" t="s">
        <v>81</v>
      </c>
      <c r="G5" s="81" t="s">
        <v>192</v>
      </c>
    </row>
    <row r="6" spans="2:14" ht="15.75" thickBot="1" x14ac:dyDescent="0.3">
      <c r="B6" s="8"/>
      <c r="C6" s="86" t="s">
        <v>24</v>
      </c>
      <c r="D6" s="76">
        <f>(CANALES!I20)</f>
        <v>3771000</v>
      </c>
      <c r="E6" s="8"/>
      <c r="F6" s="86" t="s">
        <v>9</v>
      </c>
      <c r="G6" s="82">
        <f>(CANALES!I6)</f>
        <v>3198720</v>
      </c>
      <c r="H6" s="8"/>
      <c r="I6" s="8"/>
      <c r="J6" s="8"/>
      <c r="K6" s="8"/>
      <c r="L6" s="8"/>
      <c r="M6" s="8"/>
      <c r="N6" s="8"/>
    </row>
    <row r="7" spans="2:14" ht="15.75" thickBot="1" x14ac:dyDescent="0.3">
      <c r="B7" s="8"/>
      <c r="C7" s="86" t="s">
        <v>25</v>
      </c>
      <c r="D7" s="76">
        <f>(CANALES!I21)</f>
        <v>2132000</v>
      </c>
      <c r="E7" s="8"/>
      <c r="F7" s="86" t="s">
        <v>11</v>
      </c>
      <c r="G7" s="82">
        <f>(CANALES!I7)</f>
        <v>3056196</v>
      </c>
      <c r="H7" s="8"/>
      <c r="I7" s="8"/>
      <c r="J7" s="8"/>
      <c r="K7" s="8"/>
      <c r="L7" s="8"/>
      <c r="M7" s="8"/>
      <c r="N7" s="8"/>
    </row>
    <row r="8" spans="2:14" ht="15.75" thickBot="1" x14ac:dyDescent="0.3">
      <c r="B8" s="8"/>
      <c r="C8" s="86" t="s">
        <v>26</v>
      </c>
      <c r="D8" s="76">
        <f>(CANALES!I22)</f>
        <v>11508000</v>
      </c>
      <c r="E8" s="8"/>
      <c r="F8" s="86" t="s">
        <v>12</v>
      </c>
      <c r="G8" s="82">
        <f>(CANALES!I8)</f>
        <v>1936440</v>
      </c>
      <c r="H8" s="8"/>
      <c r="I8" s="8"/>
      <c r="J8" s="8"/>
      <c r="K8" s="8"/>
      <c r="L8" s="8"/>
      <c r="M8" s="8"/>
      <c r="N8" s="8"/>
    </row>
    <row r="9" spans="2:14" ht="15.75" thickBot="1" x14ac:dyDescent="0.3">
      <c r="B9" s="8"/>
      <c r="C9" s="86" t="s">
        <v>27</v>
      </c>
      <c r="D9" s="76">
        <f>(CANALES!I23)</f>
        <v>14391000</v>
      </c>
      <c r="E9" s="8"/>
      <c r="F9" s="86" t="s">
        <v>13</v>
      </c>
      <c r="G9" s="82">
        <f>(CANALES!I9)</f>
        <v>1827360</v>
      </c>
      <c r="H9" s="8"/>
      <c r="I9" s="8"/>
      <c r="J9" s="8"/>
      <c r="K9" s="8"/>
      <c r="L9" s="8"/>
      <c r="M9" s="8"/>
      <c r="N9" s="8"/>
    </row>
    <row r="10" spans="2:14" ht="15.75" thickBot="1" x14ac:dyDescent="0.3">
      <c r="B10" s="8"/>
      <c r="C10" s="86" t="s">
        <v>28</v>
      </c>
      <c r="D10" s="76">
        <f>(CANALES!I24)</f>
        <v>4400000</v>
      </c>
      <c r="E10" s="8"/>
      <c r="F10" s="86" t="s">
        <v>14</v>
      </c>
      <c r="G10" s="82">
        <f>(CANALES!I10)</f>
        <v>1242600</v>
      </c>
      <c r="H10" s="8"/>
      <c r="I10" s="8"/>
      <c r="J10" s="8"/>
      <c r="K10" s="8"/>
      <c r="L10" s="8"/>
      <c r="M10" s="8"/>
      <c r="N10" s="8"/>
    </row>
    <row r="11" spans="2:14" ht="15.75" thickBot="1" x14ac:dyDescent="0.3">
      <c r="B11" s="8"/>
      <c r="C11" s="86" t="s">
        <v>29</v>
      </c>
      <c r="D11" s="76">
        <f>(CANALES!I25)</f>
        <v>2500000</v>
      </c>
      <c r="E11" s="8"/>
      <c r="F11" s="86" t="s">
        <v>15</v>
      </c>
      <c r="G11" s="82">
        <f>(CANALES!I11)</f>
        <v>1180500</v>
      </c>
      <c r="H11" s="8"/>
      <c r="I11" s="8"/>
      <c r="J11" s="8"/>
      <c r="K11" s="8"/>
      <c r="L11" s="8"/>
      <c r="M11" s="8"/>
      <c r="N11" s="8"/>
    </row>
    <row r="12" spans="2:14" ht="15.75" thickBot="1" x14ac:dyDescent="0.3">
      <c r="B12" s="8"/>
      <c r="C12" s="9" t="s">
        <v>193</v>
      </c>
      <c r="D12" s="77">
        <f>'Cableado Estructurado'!J28</f>
        <v>85421009</v>
      </c>
      <c r="E12" s="8"/>
      <c r="F12" s="86" t="s">
        <v>16</v>
      </c>
      <c r="G12" s="82">
        <f>(CANALES!I12)</f>
        <v>1158408</v>
      </c>
      <c r="H12" s="8"/>
      <c r="I12" s="8"/>
      <c r="J12" s="8"/>
      <c r="K12" s="8"/>
      <c r="L12" s="8"/>
      <c r="M12" s="8"/>
      <c r="N12" s="8"/>
    </row>
    <row r="13" spans="2:14" ht="15.75" thickBot="1" x14ac:dyDescent="0.3">
      <c r="B13" s="8"/>
      <c r="C13" s="70"/>
      <c r="D13" s="85">
        <f>SUM(D6:D12)</f>
        <v>124123009</v>
      </c>
      <c r="E13" s="8"/>
      <c r="F13" s="86" t="s">
        <v>17</v>
      </c>
      <c r="G13" s="82">
        <f>(CANALES!I13)</f>
        <v>1103412</v>
      </c>
      <c r="H13" s="8"/>
      <c r="I13" s="8"/>
      <c r="J13" s="8"/>
      <c r="K13" s="8"/>
      <c r="L13" s="8"/>
      <c r="M13" s="8"/>
      <c r="N13" s="8"/>
    </row>
    <row r="14" spans="2:14" ht="15.75" thickBot="1" x14ac:dyDescent="0.3">
      <c r="B14" s="8"/>
      <c r="C14" s="70"/>
      <c r="D14" s="80"/>
      <c r="E14" s="8"/>
      <c r="F14" s="86" t="s">
        <v>18</v>
      </c>
      <c r="G14" s="82">
        <f>(CANALES!I14)</f>
        <v>1068720</v>
      </c>
      <c r="H14" s="8"/>
      <c r="I14" s="8"/>
      <c r="J14" s="8"/>
      <c r="K14" s="8"/>
      <c r="L14" s="8"/>
      <c r="M14" s="8"/>
      <c r="N14" s="8"/>
    </row>
    <row r="15" spans="2:14" ht="15.75" thickBot="1" x14ac:dyDescent="0.3">
      <c r="B15" s="8"/>
      <c r="C15" s="70"/>
      <c r="D15" s="80"/>
      <c r="E15" s="8"/>
      <c r="F15" s="86" t="s">
        <v>19</v>
      </c>
      <c r="G15" s="82">
        <f>(CANALES!I15)</f>
        <v>1003104</v>
      </c>
      <c r="H15" s="8"/>
      <c r="I15" s="8"/>
      <c r="J15" s="8"/>
      <c r="K15" s="8"/>
      <c r="L15" s="8"/>
      <c r="M15" s="8"/>
      <c r="N15" s="8"/>
    </row>
    <row r="16" spans="2:14" ht="15.75" thickBot="1" x14ac:dyDescent="0.3">
      <c r="B16" s="8"/>
      <c r="C16" s="70"/>
      <c r="D16" s="80"/>
      <c r="E16" s="8"/>
      <c r="F16" s="86" t="s">
        <v>20</v>
      </c>
      <c r="G16" s="82">
        <f>(CANALES!I16)</f>
        <v>4011816</v>
      </c>
      <c r="H16" s="8"/>
      <c r="I16" s="8"/>
      <c r="J16" s="8"/>
      <c r="K16" s="8"/>
      <c r="L16" s="8"/>
      <c r="M16" s="8"/>
      <c r="N16" s="8"/>
    </row>
    <row r="17" spans="2:14" s="8" customFormat="1" x14ac:dyDescent="0.25">
      <c r="C17" s="70"/>
      <c r="D17" s="80"/>
      <c r="F17" s="98" t="s">
        <v>194</v>
      </c>
      <c r="G17" s="82">
        <f>(CANALES!I26)</f>
        <v>3400000</v>
      </c>
    </row>
    <row r="18" spans="2:14" ht="12.75" customHeight="1" x14ac:dyDescent="0.25">
      <c r="B18" s="8"/>
      <c r="C18" s="70"/>
      <c r="D18" s="80"/>
      <c r="E18" s="8"/>
      <c r="F18" s="105" t="s">
        <v>195</v>
      </c>
      <c r="G18" s="106">
        <f>(CANALES!I17)</f>
        <v>48000000</v>
      </c>
      <c r="H18" s="8"/>
      <c r="I18" s="8"/>
      <c r="J18" s="8"/>
      <c r="K18" s="8"/>
      <c r="L18" s="8"/>
      <c r="M18" s="8"/>
      <c r="N18" s="8"/>
    </row>
    <row r="19" spans="2:14" x14ac:dyDescent="0.25">
      <c r="B19" s="8"/>
      <c r="C19" s="70"/>
      <c r="D19" s="80"/>
      <c r="E19" s="8"/>
      <c r="F19" s="9" t="s">
        <v>196</v>
      </c>
      <c r="G19" s="82">
        <f>(CANALES!I19)</f>
        <v>140000</v>
      </c>
      <c r="H19" s="8"/>
      <c r="I19" s="8"/>
      <c r="J19" s="8"/>
      <c r="K19" s="8"/>
      <c r="L19" s="8"/>
      <c r="M19" s="8"/>
      <c r="N19" s="8"/>
    </row>
    <row r="20" spans="2:14" x14ac:dyDescent="0.25">
      <c r="B20" s="8"/>
      <c r="C20" s="8"/>
      <c r="E20" s="8"/>
      <c r="F20" s="9" t="s">
        <v>197</v>
      </c>
      <c r="G20" s="82">
        <f>('Costos Soporte'!I11)</f>
        <v>157364000</v>
      </c>
      <c r="H20" s="8"/>
      <c r="I20" s="8"/>
      <c r="J20" s="8"/>
      <c r="K20" s="8"/>
      <c r="L20" s="8"/>
      <c r="M20" s="8"/>
      <c r="N20" s="8"/>
    </row>
    <row r="21" spans="2:14" x14ac:dyDescent="0.25">
      <c r="B21" s="8"/>
      <c r="C21" s="8"/>
      <c r="E21" s="8"/>
      <c r="F21" s="9" t="s">
        <v>198</v>
      </c>
      <c r="G21" s="82">
        <f>('nomina operativa'!H64)</f>
        <v>24812248.169999994</v>
      </c>
      <c r="H21" s="8"/>
      <c r="I21" s="8"/>
      <c r="J21" s="8"/>
      <c r="K21" s="8"/>
      <c r="L21" s="8"/>
      <c r="M21" s="8"/>
      <c r="N21" s="8"/>
    </row>
    <row r="22" spans="2:14" x14ac:dyDescent="0.25">
      <c r="B22" s="8"/>
      <c r="C22" s="8"/>
      <c r="E22" s="8"/>
      <c r="F22" s="9" t="s">
        <v>199</v>
      </c>
      <c r="G22" s="77">
        <f>'Costos administrativos '!F11</f>
        <v>8204493.75</v>
      </c>
      <c r="H22" s="8"/>
      <c r="I22" s="8"/>
      <c r="J22" s="8"/>
      <c r="K22" s="8"/>
      <c r="L22" s="8"/>
      <c r="M22" s="8"/>
      <c r="N22" s="8"/>
    </row>
    <row r="23" spans="2:14" x14ac:dyDescent="0.25">
      <c r="B23" s="8"/>
      <c r="C23" s="8"/>
      <c r="E23" s="8"/>
      <c r="F23" s="8"/>
      <c r="G23" s="84">
        <f>SUM(G6:G22)</f>
        <v>262708017.91999999</v>
      </c>
      <c r="H23" s="8"/>
      <c r="I23" s="8"/>
      <c r="J23" s="8"/>
      <c r="K23" s="8"/>
      <c r="L23" s="8"/>
      <c r="M23" s="8"/>
      <c r="N23" s="8"/>
    </row>
    <row r="24" spans="2:14" x14ac:dyDescent="0.25">
      <c r="B24" s="8"/>
      <c r="C24" s="97" t="s">
        <v>200</v>
      </c>
      <c r="E24" s="8"/>
      <c r="F24" s="8"/>
      <c r="H24" s="8"/>
      <c r="I24" s="8"/>
      <c r="J24" s="8"/>
      <c r="K24" s="8"/>
      <c r="L24" s="8"/>
      <c r="M24" s="8"/>
      <c r="N24" s="8"/>
    </row>
    <row r="25" spans="2:14" x14ac:dyDescent="0.25">
      <c r="B25" s="8"/>
      <c r="C25" s="14" t="s">
        <v>201</v>
      </c>
      <c r="E25" s="8"/>
      <c r="F25" s="8"/>
      <c r="H25" s="8"/>
      <c r="I25" s="8"/>
      <c r="J25" s="8"/>
      <c r="K25" s="8"/>
      <c r="L25" s="8"/>
      <c r="M25" s="8"/>
      <c r="N25" s="8"/>
    </row>
    <row r="26" spans="2:14" x14ac:dyDescent="0.25">
      <c r="B26" s="8"/>
      <c r="C26" s="97" t="s">
        <v>202</v>
      </c>
      <c r="E26" s="8"/>
      <c r="F26" s="8"/>
      <c r="H26" s="8"/>
      <c r="I26" s="8"/>
      <c r="J26" s="8"/>
      <c r="K26" s="8"/>
      <c r="L26" s="8"/>
      <c r="M26" s="8"/>
      <c r="N26" s="8"/>
    </row>
    <row r="27" spans="2:14" x14ac:dyDescent="0.25">
      <c r="B27" s="8"/>
      <c r="C27" s="14" t="s">
        <v>203</v>
      </c>
      <c r="E27" s="8"/>
      <c r="F27" s="8"/>
      <c r="H27" s="8"/>
      <c r="I27" s="8"/>
      <c r="J27" s="8"/>
      <c r="K27" s="8"/>
      <c r="L27" s="8"/>
      <c r="M27" s="8"/>
      <c r="N27" s="8"/>
    </row>
    <row r="28" spans="2:14" x14ac:dyDescent="0.25">
      <c r="B28" s="8"/>
      <c r="C28" s="8"/>
      <c r="E28" s="8"/>
      <c r="F28" s="8"/>
      <c r="H28" s="8"/>
      <c r="I28" s="8"/>
      <c r="J28" s="8"/>
      <c r="K28" s="8"/>
      <c r="L28" s="8"/>
      <c r="M28" s="8"/>
      <c r="N28" s="8"/>
    </row>
    <row r="29" spans="2:14" x14ac:dyDescent="0.25">
      <c r="B29" s="8"/>
      <c r="C29" s="8"/>
      <c r="E29" s="8"/>
      <c r="F29" s="8"/>
      <c r="H29" s="8"/>
      <c r="I29" s="8"/>
      <c r="J29" s="8"/>
      <c r="K29" s="8"/>
      <c r="L29" s="8"/>
      <c r="M29" s="8"/>
      <c r="N29" s="8"/>
    </row>
    <row r="30" spans="2:14" x14ac:dyDescent="0.25">
      <c r="B30" s="8"/>
      <c r="C30" s="8"/>
      <c r="E30" s="8"/>
      <c r="F30" s="8"/>
      <c r="H30" s="8"/>
      <c r="I30" s="8"/>
      <c r="J30" s="8"/>
      <c r="K30" s="8"/>
      <c r="L30" s="8"/>
      <c r="M30" s="8"/>
      <c r="N30" s="8"/>
    </row>
  </sheetData>
  <mergeCells count="3">
    <mergeCell ref="F4:G4"/>
    <mergeCell ref="C4:D4"/>
    <mergeCell ref="C2:F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E11"/>
  <sheetViews>
    <sheetView workbookViewId="0">
      <selection activeCell="C6" sqref="C6:E11"/>
    </sheetView>
  </sheetViews>
  <sheetFormatPr baseColWidth="10" defaultColWidth="11.42578125" defaultRowHeight="15" x14ac:dyDescent="0.25"/>
  <cols>
    <col min="3" max="3" width="24.85546875" customWidth="1"/>
    <col min="4" max="4" width="33.85546875" customWidth="1"/>
  </cols>
  <sheetData>
    <row r="5" spans="3:5" ht="15.75" thickBot="1" x14ac:dyDescent="0.3">
      <c r="C5" s="8"/>
      <c r="D5" s="8"/>
      <c r="E5" s="8"/>
    </row>
    <row r="6" spans="3:5" ht="15.75" x14ac:dyDescent="0.25">
      <c r="C6" s="147" t="s">
        <v>161</v>
      </c>
      <c r="D6" s="147" t="s">
        <v>192</v>
      </c>
      <c r="E6" s="148" t="s">
        <v>204</v>
      </c>
    </row>
    <row r="7" spans="3:5" x14ac:dyDescent="0.25">
      <c r="C7" s="101" t="s">
        <v>205</v>
      </c>
      <c r="D7" s="144">
        <f>PRESUPUESTO!G23</f>
        <v>262708017.91999999</v>
      </c>
      <c r="E7" s="9"/>
    </row>
    <row r="8" spans="3:5" x14ac:dyDescent="0.25">
      <c r="C8" s="101" t="s">
        <v>206</v>
      </c>
      <c r="D8" s="144">
        <f>PRESUPUESTO!D13</f>
        <v>124123009</v>
      </c>
      <c r="E8" s="9"/>
    </row>
    <row r="9" spans="3:5" x14ac:dyDescent="0.25">
      <c r="C9" s="101" t="s">
        <v>207</v>
      </c>
      <c r="D9" s="144">
        <f>500000000-(D7+D8+D10)</f>
        <v>63168973.080000043</v>
      </c>
      <c r="E9" s="103">
        <f>D9/D11</f>
        <v>0.12633794616000008</v>
      </c>
    </row>
    <row r="10" spans="3:5" x14ac:dyDescent="0.25">
      <c r="C10" s="101" t="s">
        <v>208</v>
      </c>
      <c r="D10" s="145">
        <v>50000000</v>
      </c>
      <c r="E10" s="104">
        <f>D10/D11</f>
        <v>0.1</v>
      </c>
    </row>
    <row r="11" spans="3:5" ht="15.75" x14ac:dyDescent="0.25">
      <c r="C11" s="102"/>
      <c r="D11" s="146">
        <f>D7+D8+D9+D10</f>
        <v>500000000</v>
      </c>
      <c r="E11" s="102"/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M47"/>
  <sheetViews>
    <sheetView zoomScale="85" zoomScaleNormal="85" workbookViewId="0">
      <selection activeCell="I20" sqref="I20"/>
    </sheetView>
  </sheetViews>
  <sheetFormatPr baseColWidth="10" defaultColWidth="9.140625" defaultRowHeight="15" x14ac:dyDescent="0.25"/>
  <cols>
    <col min="1" max="1" width="17.85546875" bestFit="1" customWidth="1"/>
    <col min="2" max="2" width="5.5703125" bestFit="1" customWidth="1"/>
    <col min="3" max="3" width="10.7109375" bestFit="1" customWidth="1"/>
    <col min="4" max="4" width="30.7109375" bestFit="1" customWidth="1"/>
    <col min="5" max="5" width="24.7109375" customWidth="1"/>
    <col min="6" max="6" width="22.5703125" bestFit="1" customWidth="1"/>
    <col min="7" max="7" width="20.140625" bestFit="1" customWidth="1"/>
    <col min="8" max="8" width="15.140625" bestFit="1" customWidth="1"/>
    <col min="9" max="9" width="20.42578125" customWidth="1"/>
    <col min="10" max="10" width="19.28515625" bestFit="1" customWidth="1"/>
    <col min="11" max="11" width="21.5703125" bestFit="1" customWidth="1"/>
    <col min="12" max="12" width="15.28515625" bestFit="1" customWidth="1"/>
    <col min="13" max="13" width="21.5703125" bestFit="1" customWidth="1"/>
    <col min="14" max="14" width="19.28515625" bestFit="1" customWidth="1"/>
    <col min="15" max="15" width="14.42578125" customWidth="1"/>
  </cols>
  <sheetData>
    <row r="3" spans="1:13" ht="15" customHeight="1" x14ac:dyDescent="0.25">
      <c r="A3" s="9" t="s">
        <v>214</v>
      </c>
      <c r="B3" s="9" t="s">
        <v>223</v>
      </c>
      <c r="C3" s="9" t="s">
        <v>209</v>
      </c>
      <c r="D3" s="9" t="s">
        <v>233</v>
      </c>
      <c r="H3" s="159" t="s">
        <v>210</v>
      </c>
      <c r="I3" s="159"/>
      <c r="J3" s="8"/>
      <c r="K3" s="8"/>
      <c r="L3" s="8"/>
    </row>
    <row r="4" spans="1:13" x14ac:dyDescent="0.25">
      <c r="A4" s="166" t="s">
        <v>224</v>
      </c>
      <c r="B4" s="167">
        <v>2</v>
      </c>
      <c r="C4" s="168">
        <v>41252</v>
      </c>
      <c r="D4" s="169">
        <f>(I8*2)+I12</f>
        <v>15037631.796875</v>
      </c>
      <c r="H4" s="9" t="s">
        <v>211</v>
      </c>
      <c r="I4" s="38">
        <f>(('Costos administrativos '!F11))</f>
        <v>8204493.75</v>
      </c>
      <c r="J4" s="8"/>
      <c r="K4" s="8"/>
      <c r="L4" s="8"/>
    </row>
    <row r="5" spans="1:13" x14ac:dyDescent="0.25">
      <c r="A5" s="166" t="s">
        <v>218</v>
      </c>
      <c r="B5" s="167">
        <v>8</v>
      </c>
      <c r="C5" s="168" t="s">
        <v>225</v>
      </c>
      <c r="D5" s="169">
        <f>D4+(I8*8)+I13</f>
        <v>78558322.084374994</v>
      </c>
      <c r="E5" s="157"/>
      <c r="H5" s="9" t="s">
        <v>185</v>
      </c>
      <c r="I5" s="38">
        <f>('Costos Soporte'!I11)</f>
        <v>157364000</v>
      </c>
      <c r="J5" s="8"/>
      <c r="K5" s="8"/>
      <c r="L5" s="8"/>
    </row>
    <row r="6" spans="1:13" x14ac:dyDescent="0.25">
      <c r="A6" s="166" t="s">
        <v>219</v>
      </c>
      <c r="B6" s="167">
        <v>18</v>
      </c>
      <c r="C6" s="168" t="s">
        <v>226</v>
      </c>
      <c r="D6" s="169">
        <f>D5+(I8*18)+I14+J14+L11</f>
        <v>350904866.45528221</v>
      </c>
      <c r="E6" s="157"/>
      <c r="H6" s="9" t="s">
        <v>212</v>
      </c>
      <c r="I6" s="38">
        <f>((CANALES!I18))</f>
        <v>68787276</v>
      </c>
      <c r="J6" s="8"/>
      <c r="K6" s="8"/>
      <c r="L6" s="8"/>
    </row>
    <row r="7" spans="1:13" x14ac:dyDescent="0.25">
      <c r="A7" s="166" t="s">
        <v>220</v>
      </c>
      <c r="B7" s="167">
        <v>3</v>
      </c>
      <c r="C7" s="168" t="s">
        <v>227</v>
      </c>
      <c r="D7" s="169">
        <f>D6+(I8*3)+I15</f>
        <v>377888695.05059469</v>
      </c>
      <c r="E7" s="157"/>
      <c r="H7" s="13" t="s">
        <v>230</v>
      </c>
      <c r="I7" s="9">
        <f>((('nomina operativa'!I63)))</f>
        <v>6246339</v>
      </c>
      <c r="J7" s="8"/>
      <c r="K7" s="8"/>
      <c r="L7" s="8"/>
    </row>
    <row r="8" spans="1:13" ht="15" customHeight="1" x14ac:dyDescent="0.25">
      <c r="A8" s="9" t="s">
        <v>229</v>
      </c>
      <c r="B8" s="167">
        <v>1</v>
      </c>
      <c r="C8" s="168" t="s">
        <v>228</v>
      </c>
      <c r="D8" s="38">
        <f>D7+I8</f>
        <v>385407510.94903219</v>
      </c>
      <c r="E8" s="157"/>
      <c r="H8" s="8"/>
      <c r="I8" s="171">
        <f>SUM(I4:I7)/32</f>
        <v>7518815.8984375</v>
      </c>
      <c r="J8" s="8"/>
      <c r="K8" s="8"/>
      <c r="L8" s="8"/>
    </row>
    <row r="9" spans="1:13" x14ac:dyDescent="0.25">
      <c r="C9" s="8"/>
      <c r="D9" s="8"/>
      <c r="E9" s="8"/>
      <c r="H9" s="8"/>
      <c r="I9" s="8"/>
      <c r="J9" s="8"/>
      <c r="K9" s="8"/>
      <c r="L9" s="8"/>
    </row>
    <row r="10" spans="1:13" x14ac:dyDescent="0.25">
      <c r="C10" s="8"/>
      <c r="D10" s="8"/>
      <c r="E10" s="8"/>
      <c r="H10" s="162" t="s">
        <v>213</v>
      </c>
      <c r="I10" s="163"/>
      <c r="J10" s="163"/>
      <c r="K10" s="8"/>
      <c r="L10" s="173" t="s">
        <v>231</v>
      </c>
      <c r="M10" s="165" t="s">
        <v>232</v>
      </c>
    </row>
    <row r="11" spans="1:13" x14ac:dyDescent="0.25">
      <c r="C11" s="8"/>
      <c r="D11" s="8"/>
      <c r="E11" s="8"/>
      <c r="H11" s="155" t="s">
        <v>214</v>
      </c>
      <c r="I11" s="155" t="s">
        <v>215</v>
      </c>
      <c r="J11" s="155" t="s">
        <v>216</v>
      </c>
      <c r="K11" s="8"/>
      <c r="L11" s="172">
        <f>PRESUPUESTO!G17</f>
        <v>3400000</v>
      </c>
      <c r="M11" s="172">
        <f>PRESUPUESTO!G19/31</f>
        <v>4516.1290322580644</v>
      </c>
    </row>
    <row r="12" spans="1:13" x14ac:dyDescent="0.25">
      <c r="C12" s="8"/>
      <c r="D12" s="8"/>
      <c r="E12" s="8"/>
      <c r="H12" s="9" t="s">
        <v>217</v>
      </c>
      <c r="I12" s="38" t="b">
        <f>H36=H36=('nomina operativa'!I10)</f>
        <v>0</v>
      </c>
      <c r="J12" s="38">
        <f>M11*2</f>
        <v>9032.2580645161288</v>
      </c>
      <c r="K12" s="8"/>
      <c r="L12" s="8"/>
    </row>
    <row r="13" spans="1:13" x14ac:dyDescent="0.25">
      <c r="C13" s="8"/>
      <c r="D13" s="8"/>
      <c r="E13" s="8"/>
      <c r="H13" s="9" t="s">
        <v>218</v>
      </c>
      <c r="I13" s="38">
        <f>('nomina operativa'!I22)</f>
        <v>3370163.1000000006</v>
      </c>
      <c r="J13" s="38">
        <f>M11*8</f>
        <v>36129.032258064515</v>
      </c>
      <c r="K13" s="8"/>
      <c r="L13" s="8"/>
    </row>
    <row r="14" spans="1:13" x14ac:dyDescent="0.25">
      <c r="C14" s="8"/>
      <c r="D14" s="8"/>
      <c r="E14" s="8"/>
      <c r="H14" s="9" t="s">
        <v>219</v>
      </c>
      <c r="I14" s="38">
        <f>('nomina operativa'!I45)</f>
        <v>9480315.0700000003</v>
      </c>
      <c r="J14" s="38">
        <f>(PRESUPUESTO!D13)+(M11+18)</f>
        <v>124127543.12903225</v>
      </c>
      <c r="K14" s="8"/>
      <c r="L14" s="8"/>
    </row>
    <row r="15" spans="1:13" ht="15" customHeight="1" x14ac:dyDescent="0.25">
      <c r="C15" s="8"/>
      <c r="D15" s="8"/>
      <c r="E15" s="8"/>
      <c r="H15" s="9" t="s">
        <v>220</v>
      </c>
      <c r="I15" s="38">
        <f>('nomina operativa'!I61)</f>
        <v>4427380.9000000004</v>
      </c>
      <c r="J15" s="38">
        <f>M11*3</f>
        <v>13548.387096774193</v>
      </c>
      <c r="K15" s="8"/>
      <c r="L15" s="8"/>
    </row>
    <row r="16" spans="1:13" x14ac:dyDescent="0.25">
      <c r="C16" s="8"/>
      <c r="D16" s="8"/>
      <c r="E16" s="8"/>
      <c r="H16" s="9" t="s">
        <v>221</v>
      </c>
      <c r="I16" s="169">
        <v>0</v>
      </c>
      <c r="J16" s="38">
        <v>0</v>
      </c>
      <c r="K16" s="8"/>
      <c r="L16" s="8"/>
    </row>
    <row r="18" spans="6:7" x14ac:dyDescent="0.25">
      <c r="F18" s="15"/>
      <c r="G18" s="170"/>
    </row>
    <row r="19" spans="6:7" x14ac:dyDescent="0.25">
      <c r="G19" s="8"/>
    </row>
    <row r="34" spans="3:12" x14ac:dyDescent="0.25">
      <c r="C34" s="176" t="s">
        <v>209</v>
      </c>
      <c r="D34" s="176" t="s">
        <v>261</v>
      </c>
      <c r="E34" s="176" t="s">
        <v>262</v>
      </c>
      <c r="G34" s="235"/>
      <c r="H34" s="235"/>
      <c r="I34" s="15"/>
    </row>
    <row r="35" spans="3:12" x14ac:dyDescent="0.25">
      <c r="C35" s="168">
        <v>41252</v>
      </c>
      <c r="D35" s="169">
        <f>D4</f>
        <v>15037631.796875</v>
      </c>
      <c r="E35" s="169">
        <f>D35</f>
        <v>15037631.796875</v>
      </c>
      <c r="G35" s="176" t="s">
        <v>263</v>
      </c>
      <c r="H35" s="176" t="s">
        <v>235</v>
      </c>
      <c r="I35" s="176" t="s">
        <v>222</v>
      </c>
    </row>
    <row r="36" spans="3:12" x14ac:dyDescent="0.25">
      <c r="C36" s="168" t="s">
        <v>225</v>
      </c>
      <c r="D36" s="169">
        <f t="shared" ref="D36:D39" si="0">D5</f>
        <v>78558322.084374994</v>
      </c>
      <c r="E36" s="169">
        <f>D36</f>
        <v>78558322.084374994</v>
      </c>
      <c r="G36" s="9" t="s">
        <v>234</v>
      </c>
      <c r="H36" s="160">
        <f>('Informacion sobrecosto riesgos'!C10)</f>
        <v>26903301.800000001</v>
      </c>
      <c r="I36" s="9" t="s">
        <v>256</v>
      </c>
    </row>
    <row r="37" spans="3:12" x14ac:dyDescent="0.25">
      <c r="C37" s="168" t="s">
        <v>226</v>
      </c>
      <c r="D37" s="169">
        <f t="shared" si="0"/>
        <v>350904866.45528221</v>
      </c>
      <c r="E37" s="169">
        <f>D37+H36+H37+H38</f>
        <v>385998130.05528218</v>
      </c>
      <c r="G37" s="9" t="s">
        <v>236</v>
      </c>
      <c r="H37" s="160">
        <f>('Informacion sobrecosto riesgos'!C26)</f>
        <v>4094980.9</v>
      </c>
      <c r="I37" s="9" t="s">
        <v>256</v>
      </c>
      <c r="K37" s="8"/>
      <c r="L37" s="8"/>
    </row>
    <row r="38" spans="3:12" x14ac:dyDescent="0.25">
      <c r="C38" s="168" t="s">
        <v>227</v>
      </c>
      <c r="D38" s="169">
        <f t="shared" si="0"/>
        <v>377888695.05059469</v>
      </c>
      <c r="E38" s="169">
        <f>E37+(D38-D37)</f>
        <v>412981958.65059465</v>
      </c>
      <c r="G38" s="9" t="s">
        <v>237</v>
      </c>
      <c r="H38" s="160">
        <f>('Informacion sobrecosto riesgos'!C44)</f>
        <v>4094980.8999999994</v>
      </c>
      <c r="I38" s="9" t="s">
        <v>256</v>
      </c>
      <c r="K38" s="8"/>
      <c r="L38" s="8"/>
    </row>
    <row r="39" spans="3:12" x14ac:dyDescent="0.25">
      <c r="C39" s="168" t="s">
        <v>228</v>
      </c>
      <c r="D39" s="169">
        <f t="shared" si="0"/>
        <v>385407510.94903219</v>
      </c>
      <c r="E39" s="169">
        <f>E38+(D39-D38)</f>
        <v>420500774.54903215</v>
      </c>
      <c r="G39" s="15"/>
      <c r="H39" s="161"/>
      <c r="I39" s="15"/>
      <c r="J39" s="8"/>
      <c r="K39" s="8"/>
      <c r="L39" s="8"/>
    </row>
    <row r="40" spans="3:12" x14ac:dyDescent="0.25">
      <c r="G40" s="15"/>
      <c r="H40" s="15"/>
      <c r="I40" s="15"/>
      <c r="J40" s="8"/>
      <c r="K40" s="8"/>
      <c r="L40" s="8"/>
    </row>
    <row r="41" spans="3:12" x14ac:dyDescent="0.25">
      <c r="G41" s="236"/>
      <c r="H41" s="236"/>
      <c r="I41" s="236"/>
      <c r="J41" s="8"/>
    </row>
    <row r="42" spans="3:12" x14ac:dyDescent="0.25">
      <c r="G42" s="193"/>
      <c r="H42" s="193"/>
      <c r="I42" s="193"/>
      <c r="J42" s="8"/>
    </row>
    <row r="43" spans="3:12" x14ac:dyDescent="0.25">
      <c r="G43" s="15"/>
      <c r="H43" s="161"/>
      <c r="I43" s="161"/>
      <c r="J43" s="8"/>
      <c r="K43" s="8"/>
      <c r="L43" s="8"/>
    </row>
    <row r="44" spans="3:12" x14ac:dyDescent="0.25">
      <c r="G44" s="15"/>
      <c r="H44" s="161"/>
      <c r="I44" s="161"/>
      <c r="J44" s="8"/>
      <c r="K44" s="8"/>
      <c r="L44" s="8"/>
    </row>
    <row r="45" spans="3:12" x14ac:dyDescent="0.25">
      <c r="G45" s="15"/>
      <c r="H45" s="161"/>
      <c r="I45" s="161"/>
      <c r="J45" s="8"/>
      <c r="K45" s="8"/>
      <c r="L45" s="8"/>
    </row>
    <row r="46" spans="3:12" x14ac:dyDescent="0.25">
      <c r="G46" s="15"/>
      <c r="H46" s="161"/>
      <c r="I46" s="161"/>
      <c r="J46" s="8"/>
      <c r="K46" s="8"/>
      <c r="L46" s="8"/>
    </row>
    <row r="47" spans="3:12" x14ac:dyDescent="0.25">
      <c r="G47" s="15"/>
      <c r="H47" s="161"/>
      <c r="I47" s="161"/>
      <c r="J47" s="8"/>
      <c r="K47" s="8"/>
      <c r="L47" s="8"/>
    </row>
  </sheetData>
  <mergeCells count="2">
    <mergeCell ref="G34:H34"/>
    <mergeCell ref="G41:I41"/>
  </mergeCells>
  <pageMargins left="0.7" right="0.7" top="0.75" bottom="0.75" header="0.3" footer="0.3"/>
  <pageSetup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CANALES</vt:lpstr>
      <vt:lpstr>Cableado Estructurado</vt:lpstr>
      <vt:lpstr>Costos Soporte</vt:lpstr>
      <vt:lpstr>nomina operativa</vt:lpstr>
      <vt:lpstr>Costos administrativos </vt:lpstr>
      <vt:lpstr>Estimacion Total costos</vt:lpstr>
      <vt:lpstr>PRESUPUESTO</vt:lpstr>
      <vt:lpstr>AIU</vt:lpstr>
      <vt:lpstr>costo VS tiempo</vt:lpstr>
      <vt:lpstr>Informacion sobrecosto riesgos</vt:lpstr>
      <vt:lpstr>AIU REAL</vt:lpstr>
      <vt:lpstr>costos de soporte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ANGELICA</dc:creator>
  <cp:lastModifiedBy>sonia</cp:lastModifiedBy>
  <dcterms:created xsi:type="dcterms:W3CDTF">2012-10-16T20:32:30Z</dcterms:created>
  <dcterms:modified xsi:type="dcterms:W3CDTF">2012-12-04T01:56:29Z</dcterms:modified>
</cp:coreProperties>
</file>