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nicol\Downloads\"/>
    </mc:Choice>
  </mc:AlternateContent>
  <xr:revisionPtr revIDLastSave="0" documentId="8_{386A564D-730E-4E56-ACEE-CE5802337792}" xr6:coauthVersionLast="47" xr6:coauthVersionMax="47" xr10:uidLastSave="{00000000-0000-0000-0000-000000000000}"/>
  <bookViews>
    <workbookView xWindow="-120" yWindow="-120" windowWidth="20730" windowHeight="11040" tabRatio="1000" xr2:uid="{00000000-000D-0000-FFFF-FFFF00000000}"/>
  </bookViews>
  <sheets>
    <sheet name="NOMINA" sheetId="8" r:id="rId1"/>
    <sheet name="CREDITO" sheetId="12" r:id="rId2"/>
    <sheet name="Diferido " sheetId="18" r:id="rId3"/>
    <sheet name="BALANCE GENERAL PAPEL DE W" sheetId="16" state="hidden" r:id="rId4"/>
    <sheet name="SEGMENTACION DE MERCADO   " sheetId="11" r:id="rId5"/>
    <sheet name="1 - INVERSIONES" sheetId="1" r:id="rId6"/>
    <sheet name="DEPRECIACIONES" sheetId="9" r:id="rId7"/>
    <sheet name="2 - COSTOS &amp; GASTOS" sheetId="2" r:id="rId8"/>
    <sheet name="2 - GASTOS DE PRODUCCION " sheetId="10" r:id="rId9"/>
    <sheet name="3 - INGRESOS" sheetId="3" r:id="rId10"/>
    <sheet name="4 - ESTADO DE RESULTADOS  FINAL" sheetId="4" r:id="rId11"/>
    <sheet name="4 - ESTADO DE RESULTADOS (OP.)" sheetId="13" r:id="rId12"/>
    <sheet name="4 - ESTADO DE RESULTADOS (PS)" sheetId="14" r:id="rId13"/>
    <sheet name="BALANCE GENERAL FINAL" sheetId="17" r:id="rId14"/>
    <sheet name="5 - FLUJO CAJA" sheetId="7" r:id="rId15"/>
    <sheet name="WACC" sheetId="15" r:id="rId16"/>
  </sheets>
  <calcPr calcId="191028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7" roundtripDataSignature="AMtx7mjbq7o8abg9fLm0aZxw2Yofserx/A=="/>
    </ext>
  </extLst>
</workbook>
</file>

<file path=xl/calcChain.xml><?xml version="1.0" encoding="utf-8"?>
<calcChain xmlns="http://schemas.openxmlformats.org/spreadsheetml/2006/main">
  <c r="B30" i="7" l="1"/>
  <c r="B29" i="7"/>
  <c r="E6" i="15"/>
  <c r="C28" i="9"/>
  <c r="N18" i="17"/>
  <c r="B6" i="16"/>
  <c r="B4" i="2"/>
  <c r="G7" i="14"/>
  <c r="D7" i="14"/>
  <c r="E7" i="14"/>
  <c r="F7" i="14"/>
  <c r="D7" i="13"/>
  <c r="E7" i="13"/>
  <c r="F7" i="13"/>
  <c r="G7" i="13"/>
  <c r="C18" i="4"/>
  <c r="F16" i="17"/>
  <c r="G16" i="16"/>
  <c r="N20" i="17"/>
  <c r="N19" i="17"/>
  <c r="G7" i="16"/>
  <c r="F7" i="16"/>
  <c r="E7" i="16"/>
  <c r="D7" i="16"/>
  <c r="G14" i="4"/>
  <c r="E14" i="4"/>
  <c r="F14" i="4"/>
  <c r="D14" i="4"/>
  <c r="C7" i="16"/>
  <c r="C14" i="4"/>
  <c r="G16" i="18"/>
  <c r="F16" i="18"/>
  <c r="E16" i="18"/>
  <c r="D16" i="18"/>
  <c r="C16" i="18"/>
  <c r="B16" i="18"/>
  <c r="G13" i="18"/>
  <c r="F13" i="18"/>
  <c r="E13" i="18"/>
  <c r="D13" i="18"/>
  <c r="C13" i="18"/>
  <c r="B13" i="18"/>
  <c r="G11" i="18"/>
  <c r="F11" i="18"/>
  <c r="E11" i="18"/>
  <c r="D11" i="18"/>
  <c r="C11" i="18"/>
  <c r="B11" i="18"/>
  <c r="N27" i="16"/>
  <c r="O27" i="16"/>
  <c r="P27" i="16"/>
  <c r="Q27" i="16"/>
  <c r="M27" i="16"/>
  <c r="C4" i="16" s="1"/>
  <c r="C4" i="17" s="1"/>
  <c r="D4" i="16"/>
  <c r="D4" i="17" s="1"/>
  <c r="B6" i="2"/>
  <c r="B17" i="17"/>
  <c r="C5" i="17"/>
  <c r="C9" i="17"/>
  <c r="D9" i="17"/>
  <c r="E9" i="17"/>
  <c r="F9" i="17"/>
  <c r="G9" i="17"/>
  <c r="E10" i="17"/>
  <c r="F10" i="17"/>
  <c r="G10" i="17"/>
  <c r="B9" i="17"/>
  <c r="B11" i="17"/>
  <c r="R9" i="17"/>
  <c r="Q9" i="17"/>
  <c r="P9" i="17"/>
  <c r="O9" i="17"/>
  <c r="I17" i="17"/>
  <c r="C17" i="17"/>
  <c r="D17" i="17" s="1"/>
  <c r="E16" i="17"/>
  <c r="D16" i="17"/>
  <c r="C16" i="17"/>
  <c r="Q22" i="16"/>
  <c r="P22" i="16"/>
  <c r="O22" i="16"/>
  <c r="B16" i="12"/>
  <c r="N22" i="16"/>
  <c r="E4" i="16"/>
  <c r="E4" i="17" s="1"/>
  <c r="F4" i="16"/>
  <c r="F4" i="17" s="1"/>
  <c r="G4" i="16"/>
  <c r="G4" i="17" s="1"/>
  <c r="D16" i="16"/>
  <c r="D23" i="16"/>
  <c r="E23" i="16" s="1"/>
  <c r="F23" i="16" s="1"/>
  <c r="G23" i="16" s="1"/>
  <c r="D26" i="16"/>
  <c r="E26" i="16" s="1"/>
  <c r="F26" i="16" s="1"/>
  <c r="G26" i="16" s="1"/>
  <c r="C16" i="16"/>
  <c r="B4" i="16"/>
  <c r="B32" i="16" s="1"/>
  <c r="B6" i="4"/>
  <c r="F10" i="16"/>
  <c r="G10" i="16" s="1"/>
  <c r="G25" i="16" s="1"/>
  <c r="E10" i="16"/>
  <c r="D10" i="16"/>
  <c r="D10" i="17" s="1"/>
  <c r="C10" i="16"/>
  <c r="C10" i="17" s="1"/>
  <c r="C9" i="4"/>
  <c r="I75" i="8"/>
  <c r="H17" i="16"/>
  <c r="I76" i="8" s="1"/>
  <c r="I18" i="16"/>
  <c r="G16" i="2"/>
  <c r="C18" i="16"/>
  <c r="D18" i="16" s="1"/>
  <c r="E18" i="16" s="1"/>
  <c r="O67" i="8"/>
  <c r="T77" i="8"/>
  <c r="I18" i="2"/>
  <c r="H18" i="2"/>
  <c r="G18" i="2"/>
  <c r="T76" i="8" s="1"/>
  <c r="T75" i="8"/>
  <c r="G17" i="2"/>
  <c r="J20" i="16"/>
  <c r="E76" i="8"/>
  <c r="F75" i="8"/>
  <c r="E75" i="8"/>
  <c r="L75" i="8"/>
  <c r="L77" i="8"/>
  <c r="L76" i="8"/>
  <c r="T13" i="8"/>
  <c r="I65" i="8"/>
  <c r="B7" i="16"/>
  <c r="B22" i="16" s="1"/>
  <c r="B16" i="2"/>
  <c r="C16" i="2"/>
  <c r="D16" i="2"/>
  <c r="E16" i="2"/>
  <c r="F16" i="2"/>
  <c r="B17" i="2"/>
  <c r="C17" i="2"/>
  <c r="D17" i="2"/>
  <c r="E17" i="2"/>
  <c r="F17" i="2"/>
  <c r="C18" i="2"/>
  <c r="D18" i="2"/>
  <c r="E18" i="2"/>
  <c r="F18" i="2"/>
  <c r="B19" i="2"/>
  <c r="C19" i="2"/>
  <c r="D19" i="2" s="1"/>
  <c r="E19" i="2" s="1"/>
  <c r="F19" i="2" s="1"/>
  <c r="C20" i="2"/>
  <c r="D20" i="2" s="1"/>
  <c r="E20" i="2" s="1"/>
  <c r="F20" i="2" s="1"/>
  <c r="B22" i="2"/>
  <c r="C22" i="2" s="1"/>
  <c r="D22" i="2" s="1"/>
  <c r="E22" i="2" s="1"/>
  <c r="F22" i="2" s="1"/>
  <c r="E16" i="16"/>
  <c r="B16" i="16"/>
  <c r="B5" i="16" s="1"/>
  <c r="B5" i="17" s="1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5" i="12"/>
  <c r="B14" i="12"/>
  <c r="B13" i="12"/>
  <c r="B12" i="12"/>
  <c r="B11" i="12"/>
  <c r="B10" i="12"/>
  <c r="B9" i="12"/>
  <c r="B8" i="12"/>
  <c r="B7" i="12"/>
  <c r="B6" i="12"/>
  <c r="B5" i="12"/>
  <c r="B4" i="12"/>
  <c r="E4" i="12"/>
  <c r="C5" i="12"/>
  <c r="C4" i="12"/>
  <c r="D4" i="12"/>
  <c r="D64" i="12"/>
  <c r="I10" i="12"/>
  <c r="C15" i="4"/>
  <c r="C24" i="1"/>
  <c r="B18" i="4"/>
  <c r="B34" i="8"/>
  <c r="G15" i="4"/>
  <c r="F15" i="4"/>
  <c r="E15" i="4"/>
  <c r="D15" i="4"/>
  <c r="B10" i="1"/>
  <c r="C11" i="4"/>
  <c r="H13" i="8"/>
  <c r="I13" i="8" s="1"/>
  <c r="N13" i="8"/>
  <c r="L13" i="8"/>
  <c r="D13" i="8"/>
  <c r="B23" i="16"/>
  <c r="G10" i="1"/>
  <c r="F10" i="1"/>
  <c r="E10" i="1"/>
  <c r="D10" i="1"/>
  <c r="C10" i="1"/>
  <c r="F16" i="16" l="1"/>
  <c r="G16" i="17"/>
  <c r="B7" i="17"/>
  <c r="B16" i="17"/>
  <c r="H16" i="17" s="1"/>
  <c r="B6" i="17"/>
  <c r="B4" i="17"/>
  <c r="B23" i="17" s="1"/>
  <c r="E17" i="17"/>
  <c r="F18" i="16"/>
  <c r="G18" i="16" s="1"/>
  <c r="D5" i="16"/>
  <c r="B8" i="16"/>
  <c r="B8" i="17" s="1"/>
  <c r="C32" i="16"/>
  <c r="H20" i="16"/>
  <c r="H17" i="2" s="1"/>
  <c r="I17" i="2" s="1"/>
  <c r="I77" i="8"/>
  <c r="H19" i="16"/>
  <c r="H16" i="16"/>
  <c r="D5" i="17" l="1"/>
  <c r="E5" i="16"/>
  <c r="F5" i="16" s="1"/>
  <c r="G5" i="16" s="1"/>
  <c r="C23" i="17"/>
  <c r="C7" i="17"/>
  <c r="E5" i="17"/>
  <c r="F17" i="17"/>
  <c r="D23" i="17"/>
  <c r="H18" i="16"/>
  <c r="J18" i="16" s="1"/>
  <c r="D32" i="16"/>
  <c r="I20" i="16"/>
  <c r="K20" i="16" s="1"/>
  <c r="G5" i="17" l="1"/>
  <c r="F5" i="17"/>
  <c r="D7" i="17"/>
  <c r="E23" i="17"/>
  <c r="G17" i="17"/>
  <c r="E32" i="16"/>
  <c r="F32" i="16" s="1"/>
  <c r="G32" i="16" s="1"/>
  <c r="E7" i="17" l="1"/>
  <c r="H17" i="17"/>
  <c r="J17" i="17" s="1"/>
  <c r="F23" i="17"/>
  <c r="F7" i="17" l="1"/>
  <c r="G23" i="17"/>
  <c r="G7" i="17" l="1"/>
  <c r="K3" i="12" l="1"/>
  <c r="B24" i="1"/>
  <c r="B34" i="1"/>
  <c r="B33" i="1"/>
  <c r="B5" i="8"/>
  <c r="F29" i="7"/>
  <c r="D4" i="10"/>
  <c r="B12" i="2"/>
  <c r="B9" i="2"/>
  <c r="D10" i="4"/>
  <c r="B6" i="8"/>
  <c r="S14" i="8"/>
  <c r="D5" i="8"/>
  <c r="E5" i="8"/>
  <c r="F5" i="8"/>
  <c r="H5" i="8"/>
  <c r="I5" i="8"/>
  <c r="J5" i="8"/>
  <c r="K5" i="8"/>
  <c r="L5" i="8"/>
  <c r="M5" i="8"/>
  <c r="N5" i="8"/>
  <c r="O5" i="8"/>
  <c r="P5" i="8"/>
  <c r="Q5" i="8"/>
  <c r="R5" i="8"/>
  <c r="S5" i="8"/>
  <c r="T5" i="8"/>
  <c r="D6" i="8"/>
  <c r="E6" i="8"/>
  <c r="F6" i="8"/>
  <c r="H6" i="8"/>
  <c r="I6" i="8"/>
  <c r="J6" i="8"/>
  <c r="K6" i="8"/>
  <c r="L6" i="8"/>
  <c r="M6" i="8"/>
  <c r="N6" i="8"/>
  <c r="O6" i="8"/>
  <c r="P6" i="8"/>
  <c r="Q6" i="8"/>
  <c r="R6" i="8"/>
  <c r="S6" i="8"/>
  <c r="T6" i="8"/>
  <c r="B7" i="8"/>
  <c r="C7" i="8"/>
  <c r="D7" i="8"/>
  <c r="E7" i="8"/>
  <c r="F7" i="8"/>
  <c r="H7" i="8"/>
  <c r="I7" i="8"/>
  <c r="J7" i="8"/>
  <c r="K7" i="8"/>
  <c r="L7" i="8"/>
  <c r="M7" i="8"/>
  <c r="N7" i="8"/>
  <c r="O7" i="8"/>
  <c r="P7" i="8"/>
  <c r="Q7" i="8"/>
  <c r="R7" i="8"/>
  <c r="S7" i="8"/>
  <c r="T7" i="8"/>
  <c r="B14" i="8"/>
  <c r="B13" i="8"/>
  <c r="B15" i="8"/>
  <c r="B26" i="8"/>
  <c r="C10" i="4"/>
  <c r="D11" i="4"/>
  <c r="C4" i="15"/>
  <c r="B6" i="15"/>
  <c r="C6" i="15" s="1"/>
  <c r="C5" i="15"/>
  <c r="E5" i="15" s="1"/>
  <c r="E4" i="15"/>
  <c r="C3" i="3"/>
  <c r="D3" i="3" s="1"/>
  <c r="E3" i="3" s="1"/>
  <c r="F3" i="3" s="1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42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C17" i="9"/>
  <c r="E17" i="9"/>
  <c r="D17" i="9"/>
  <c r="D16" i="9"/>
  <c r="E16" i="9"/>
  <c r="C16" i="9"/>
  <c r="B27" i="9"/>
  <c r="B26" i="9"/>
  <c r="B25" i="9"/>
  <c r="B24" i="9"/>
  <c r="B23" i="9"/>
  <c r="G20" i="9" s="1"/>
  <c r="B22" i="9"/>
  <c r="B21" i="9"/>
  <c r="B20" i="9"/>
  <c r="C20" i="9" s="1"/>
  <c r="B19" i="9"/>
  <c r="B18" i="9"/>
  <c r="B15" i="9"/>
  <c r="G15" i="9" s="1"/>
  <c r="B14" i="9"/>
  <c r="B13" i="9"/>
  <c r="C13" i="9" s="1"/>
  <c r="B12" i="9"/>
  <c r="E12" i="9" s="1"/>
  <c r="B11" i="9"/>
  <c r="C11" i="9" s="1"/>
  <c r="B10" i="9"/>
  <c r="B9" i="9"/>
  <c r="B8" i="9"/>
  <c r="B7" i="9"/>
  <c r="B6" i="9"/>
  <c r="B5" i="9"/>
  <c r="B4" i="9"/>
  <c r="B3" i="9"/>
  <c r="M16" i="9"/>
  <c r="N16" i="9" s="1"/>
  <c r="C14" i="2"/>
  <c r="D14" i="2" s="1"/>
  <c r="E14" i="2" s="1"/>
  <c r="F14" i="2" s="1"/>
  <c r="C13" i="2"/>
  <c r="C10" i="2"/>
  <c r="D10" i="2" s="1"/>
  <c r="E10" i="2" s="1"/>
  <c r="F10" i="2" s="1"/>
  <c r="C8" i="2"/>
  <c r="D8" i="2" s="1"/>
  <c r="E8" i="2" s="1"/>
  <c r="F8" i="2" s="1"/>
  <c r="B5" i="11"/>
  <c r="C11" i="10"/>
  <c r="B6" i="11"/>
  <c r="B7" i="11" s="1"/>
  <c r="B8" i="11" s="1"/>
  <c r="C4" i="10"/>
  <c r="B21" i="8"/>
  <c r="B32" i="8"/>
  <c r="B45" i="8" s="1"/>
  <c r="B58" i="8" s="1"/>
  <c r="B71" i="8" s="1"/>
  <c r="B33" i="8"/>
  <c r="B46" i="8" s="1"/>
  <c r="B59" i="8" s="1"/>
  <c r="B72" i="8" s="1"/>
  <c r="B31" i="8"/>
  <c r="B27" i="8"/>
  <c r="C14" i="8"/>
  <c r="C27" i="8" s="1"/>
  <c r="C40" i="8" s="1"/>
  <c r="C53" i="8" s="1"/>
  <c r="C66" i="8" s="1"/>
  <c r="C13" i="8"/>
  <c r="F8" i="9"/>
  <c r="G8" i="9"/>
  <c r="M8" i="9" s="1"/>
  <c r="N8" i="9" s="1"/>
  <c r="H8" i="9"/>
  <c r="I8" i="9"/>
  <c r="J8" i="9"/>
  <c r="M17" i="9"/>
  <c r="N17" i="9" s="1"/>
  <c r="S27" i="8"/>
  <c r="Q27" i="8"/>
  <c r="M27" i="8"/>
  <c r="N27" i="8" s="1"/>
  <c r="K27" i="8"/>
  <c r="J27" i="8"/>
  <c r="L27" i="8" s="1"/>
  <c r="D27" i="8"/>
  <c r="S13" i="8"/>
  <c r="S15" i="8" s="1"/>
  <c r="Q14" i="8"/>
  <c r="Q13" i="8"/>
  <c r="Q15" i="8" s="1"/>
  <c r="M13" i="8"/>
  <c r="M14" i="8"/>
  <c r="K14" i="8"/>
  <c r="K13" i="8"/>
  <c r="K15" i="8" s="1"/>
  <c r="J14" i="8"/>
  <c r="L14" i="8" s="1"/>
  <c r="J13" i="8"/>
  <c r="F14" i="8"/>
  <c r="F13" i="8"/>
  <c r="E14" i="8"/>
  <c r="H14" i="8" s="1"/>
  <c r="E13" i="8"/>
  <c r="F15" i="8"/>
  <c r="E15" i="8"/>
  <c r="H15" i="8" s="1"/>
  <c r="P13" i="8"/>
  <c r="D14" i="8"/>
  <c r="G33" i="1"/>
  <c r="F33" i="1"/>
  <c r="E33" i="1"/>
  <c r="D33" i="1"/>
  <c r="C33" i="1"/>
  <c r="G24" i="1"/>
  <c r="F24" i="1"/>
  <c r="E24" i="1"/>
  <c r="D24" i="1"/>
  <c r="G6" i="1"/>
  <c r="D4" i="1"/>
  <c r="C4" i="1"/>
  <c r="B6" i="1"/>
  <c r="B4" i="1" s="1"/>
  <c r="B39" i="1" s="1"/>
  <c r="G4" i="1"/>
  <c r="F4" i="1"/>
  <c r="E13" i="9" l="1"/>
  <c r="D13" i="9"/>
  <c r="C3" i="9"/>
  <c r="B10" i="16"/>
  <c r="D11" i="9"/>
  <c r="B8" i="4"/>
  <c r="B16" i="4" s="1"/>
  <c r="B20" i="4" s="1"/>
  <c r="B22" i="4" s="1"/>
  <c r="B24" i="4" s="1"/>
  <c r="G12" i="9"/>
  <c r="J13" i="9"/>
  <c r="L13" i="9"/>
  <c r="I13" i="9"/>
  <c r="F12" i="9"/>
  <c r="H13" i="9"/>
  <c r="B28" i="9"/>
  <c r="I15" i="9"/>
  <c r="H15" i="9"/>
  <c r="M15" i="9" s="1"/>
  <c r="N15" i="9" s="1"/>
  <c r="K13" i="9"/>
  <c r="G13" i="9"/>
  <c r="F13" i="9"/>
  <c r="C12" i="4"/>
  <c r="E20" i="9"/>
  <c r="F20" i="9"/>
  <c r="D21" i="9"/>
  <c r="D12" i="9"/>
  <c r="C12" i="9"/>
  <c r="D20" i="9"/>
  <c r="G11" i="9"/>
  <c r="F11" i="9"/>
  <c r="E11" i="9"/>
  <c r="E5" i="12"/>
  <c r="C6" i="12" s="1"/>
  <c r="C17" i="11"/>
  <c r="B2" i="3" s="1"/>
  <c r="C2" i="3" s="1"/>
  <c r="D2" i="3" s="1"/>
  <c r="E2" i="3" s="1"/>
  <c r="C16" i="11"/>
  <c r="C15" i="11"/>
  <c r="B10" i="11"/>
  <c r="D18" i="9"/>
  <c r="E18" i="9"/>
  <c r="C18" i="9"/>
  <c r="H19" i="9"/>
  <c r="I19" i="9"/>
  <c r="G19" i="9"/>
  <c r="F22" i="9"/>
  <c r="G22" i="9"/>
  <c r="H22" i="9"/>
  <c r="I22" i="9"/>
  <c r="E22" i="9"/>
  <c r="G23" i="9"/>
  <c r="H23" i="9"/>
  <c r="I23" i="9"/>
  <c r="J23" i="9"/>
  <c r="F23" i="9"/>
  <c r="E21" i="9"/>
  <c r="F21" i="9"/>
  <c r="G21" i="9"/>
  <c r="H21" i="9"/>
  <c r="D24" i="9"/>
  <c r="E24" i="9"/>
  <c r="F24" i="9"/>
  <c r="G24" i="9"/>
  <c r="H24" i="9"/>
  <c r="I24" i="9"/>
  <c r="J24" i="9"/>
  <c r="K24" i="9"/>
  <c r="L24" i="9"/>
  <c r="C24" i="9"/>
  <c r="D25" i="9"/>
  <c r="E25" i="9"/>
  <c r="F25" i="9"/>
  <c r="G25" i="9"/>
  <c r="H25" i="9"/>
  <c r="I25" i="9"/>
  <c r="J25" i="9"/>
  <c r="K25" i="9"/>
  <c r="L25" i="9"/>
  <c r="C25" i="9"/>
  <c r="E26" i="9"/>
  <c r="F26" i="9"/>
  <c r="G26" i="9"/>
  <c r="H26" i="9"/>
  <c r="I26" i="9"/>
  <c r="J26" i="9"/>
  <c r="K26" i="9"/>
  <c r="L26" i="9"/>
  <c r="D26" i="9"/>
  <c r="F27" i="9"/>
  <c r="G27" i="9"/>
  <c r="H27" i="9"/>
  <c r="I27" i="9"/>
  <c r="J27" i="9"/>
  <c r="K27" i="9"/>
  <c r="L27" i="9"/>
  <c r="E27" i="9"/>
  <c r="D3" i="9"/>
  <c r="E3" i="9"/>
  <c r="F3" i="9"/>
  <c r="G3" i="9"/>
  <c r="H3" i="9"/>
  <c r="I3" i="9"/>
  <c r="J3" i="9"/>
  <c r="K3" i="9"/>
  <c r="L3" i="9"/>
  <c r="E4" i="9"/>
  <c r="F4" i="9"/>
  <c r="G4" i="9"/>
  <c r="H4" i="9"/>
  <c r="I4" i="9"/>
  <c r="J4" i="9"/>
  <c r="K4" i="9"/>
  <c r="L4" i="9"/>
  <c r="D4" i="9"/>
  <c r="D5" i="9"/>
  <c r="E5" i="9"/>
  <c r="F5" i="9"/>
  <c r="G5" i="9"/>
  <c r="H5" i="9"/>
  <c r="I5" i="9"/>
  <c r="J5" i="9"/>
  <c r="K5" i="9"/>
  <c r="L5" i="9"/>
  <c r="C5" i="9"/>
  <c r="E6" i="9"/>
  <c r="F6" i="9"/>
  <c r="G6" i="9"/>
  <c r="H6" i="9"/>
  <c r="I6" i="9"/>
  <c r="J6" i="9"/>
  <c r="K6" i="9"/>
  <c r="L6" i="9"/>
  <c r="D6" i="9"/>
  <c r="M6" i="9" s="1"/>
  <c r="N6" i="9" s="1"/>
  <c r="F7" i="9"/>
  <c r="G7" i="9"/>
  <c r="H7" i="9"/>
  <c r="I7" i="9"/>
  <c r="J7" i="9"/>
  <c r="K7" i="9"/>
  <c r="L7" i="9"/>
  <c r="E7" i="9"/>
  <c r="M7" i="9" s="1"/>
  <c r="N7" i="9" s="1"/>
  <c r="D9" i="9"/>
  <c r="E9" i="9"/>
  <c r="F9" i="9"/>
  <c r="G9" i="9"/>
  <c r="H9" i="9"/>
  <c r="I9" i="9"/>
  <c r="J9" i="9"/>
  <c r="K9" i="9"/>
  <c r="L9" i="9"/>
  <c r="D10" i="9"/>
  <c r="E10" i="9"/>
  <c r="F10" i="9"/>
  <c r="G10" i="9"/>
  <c r="C10" i="9"/>
  <c r="D14" i="9"/>
  <c r="E14" i="9"/>
  <c r="C14" i="9"/>
  <c r="M14" i="9" s="1"/>
  <c r="N14" i="9" s="1"/>
  <c r="C9" i="2"/>
  <c r="E11" i="4"/>
  <c r="C12" i="2"/>
  <c r="D13" i="2"/>
  <c r="O14" i="8"/>
  <c r="P14" i="8"/>
  <c r="P27" i="8"/>
  <c r="B40" i="8"/>
  <c r="E27" i="8"/>
  <c r="F27" i="8"/>
  <c r="C14" i="10"/>
  <c r="C15" i="10"/>
  <c r="C13" i="10"/>
  <c r="C16" i="10" s="1"/>
  <c r="B44" i="8"/>
  <c r="C15" i="8"/>
  <c r="C26" i="8"/>
  <c r="O27" i="8"/>
  <c r="R14" i="8"/>
  <c r="T14" i="8" s="1"/>
  <c r="I15" i="8"/>
  <c r="O13" i="8"/>
  <c r="M15" i="8"/>
  <c r="N15" i="8" s="1"/>
  <c r="N14" i="8"/>
  <c r="D15" i="8"/>
  <c r="P15" i="8" s="1"/>
  <c r="I14" i="8"/>
  <c r="L15" i="8"/>
  <c r="J15" i="8"/>
  <c r="E4" i="1"/>
  <c r="E39" i="1" s="1"/>
  <c r="F39" i="1"/>
  <c r="G39" i="1"/>
  <c r="G22" i="7" s="1"/>
  <c r="D39" i="1"/>
  <c r="C39" i="1"/>
  <c r="B33" i="16" l="1"/>
  <c r="B24" i="17"/>
  <c r="B26" i="16"/>
  <c r="B18" i="17" s="1"/>
  <c r="B20" i="17" s="1"/>
  <c r="B10" i="17"/>
  <c r="B12" i="17" s="1"/>
  <c r="B13" i="17" s="1"/>
  <c r="C35" i="16"/>
  <c r="B36" i="16"/>
  <c r="B24" i="16"/>
  <c r="B29" i="16" s="1"/>
  <c r="B12" i="16"/>
  <c r="M11" i="9"/>
  <c r="N11" i="9" s="1"/>
  <c r="M26" i="9"/>
  <c r="N26" i="9" s="1"/>
  <c r="M22" i="9"/>
  <c r="N22" i="9" s="1"/>
  <c r="M3" i="9"/>
  <c r="N3" i="9" s="1"/>
  <c r="M10" i="9"/>
  <c r="N10" i="9" s="1"/>
  <c r="M13" i="9"/>
  <c r="N13" i="9" s="1"/>
  <c r="M20" i="9"/>
  <c r="N20" i="9" s="1"/>
  <c r="M27" i="9"/>
  <c r="N27" i="9" s="1"/>
  <c r="M12" i="9"/>
  <c r="N12" i="9" s="1"/>
  <c r="G28" i="9"/>
  <c r="M4" i="9"/>
  <c r="N4" i="9" s="1"/>
  <c r="M25" i="9"/>
  <c r="N25" i="9" s="1"/>
  <c r="M23" i="9"/>
  <c r="N23" i="9" s="1"/>
  <c r="M18" i="9"/>
  <c r="N18" i="9" s="1"/>
  <c r="F10" i="4"/>
  <c r="E10" i="4"/>
  <c r="D12" i="4"/>
  <c r="I17" i="8"/>
  <c r="M24" i="9"/>
  <c r="N24" i="9" s="1"/>
  <c r="M19" i="9"/>
  <c r="N19" i="9" s="1"/>
  <c r="G13" i="7"/>
  <c r="G4" i="7"/>
  <c r="F4" i="7"/>
  <c r="F13" i="7"/>
  <c r="F22" i="7"/>
  <c r="D22" i="7"/>
  <c r="D4" i="7"/>
  <c r="D13" i="7"/>
  <c r="B7" i="2"/>
  <c r="E6" i="12"/>
  <c r="B4" i="3"/>
  <c r="L28" i="9"/>
  <c r="K28" i="9"/>
  <c r="J28" i="9"/>
  <c r="I28" i="9"/>
  <c r="H28" i="9"/>
  <c r="F28" i="9"/>
  <c r="E28" i="9"/>
  <c r="D28" i="9"/>
  <c r="M21" i="9"/>
  <c r="N21" i="9" s="1"/>
  <c r="M9" i="9"/>
  <c r="N9" i="9" s="1"/>
  <c r="M5" i="9"/>
  <c r="D12" i="2"/>
  <c r="E13" i="2"/>
  <c r="D9" i="2"/>
  <c r="F11" i="4"/>
  <c r="H27" i="8"/>
  <c r="I27" i="8" s="1"/>
  <c r="B53" i="8"/>
  <c r="S40" i="8"/>
  <c r="Q40" i="8"/>
  <c r="M40" i="8"/>
  <c r="N40" i="8" s="1"/>
  <c r="K40" i="8"/>
  <c r="J40" i="8"/>
  <c r="L40" i="8" s="1"/>
  <c r="F40" i="8"/>
  <c r="E40" i="8"/>
  <c r="H40" i="8" s="1"/>
  <c r="D40" i="8"/>
  <c r="B47" i="8"/>
  <c r="B57" i="8"/>
  <c r="C28" i="8"/>
  <c r="C39" i="8"/>
  <c r="B28" i="8"/>
  <c r="B39" i="8"/>
  <c r="S26" i="8"/>
  <c r="S28" i="8" s="1"/>
  <c r="Q26" i="8"/>
  <c r="Q28" i="8" s="1"/>
  <c r="M26" i="8"/>
  <c r="K26" i="8"/>
  <c r="K28" i="8" s="1"/>
  <c r="J26" i="8"/>
  <c r="F26" i="8"/>
  <c r="F28" i="8" s="1"/>
  <c r="E26" i="8"/>
  <c r="D26" i="8"/>
  <c r="R27" i="8"/>
  <c r="T27" i="8" s="1"/>
  <c r="O15" i="8"/>
  <c r="R13" i="8"/>
  <c r="C13" i="7"/>
  <c r="C22" i="7"/>
  <c r="C4" i="7"/>
  <c r="E22" i="7"/>
  <c r="E4" i="7"/>
  <c r="E13" i="7"/>
  <c r="C26" i="17" l="1"/>
  <c r="B27" i="17"/>
  <c r="B28" i="17" s="1"/>
  <c r="B29" i="17" s="1"/>
  <c r="B37" i="16"/>
  <c r="B13" i="16"/>
  <c r="C11" i="16"/>
  <c r="B21" i="2"/>
  <c r="C13" i="4" s="1"/>
  <c r="C8" i="4" s="1"/>
  <c r="E21" i="2"/>
  <c r="F13" i="4" s="1"/>
  <c r="C21" i="2"/>
  <c r="D13" i="4" s="1"/>
  <c r="F21" i="2"/>
  <c r="G13" i="4" s="1"/>
  <c r="D21" i="2"/>
  <c r="E13" i="4" s="1"/>
  <c r="C5" i="4"/>
  <c r="C7" i="12"/>
  <c r="G10" i="4"/>
  <c r="E12" i="4"/>
  <c r="M28" i="9"/>
  <c r="C7" i="2"/>
  <c r="C6" i="2" s="1"/>
  <c r="E7" i="12"/>
  <c r="C4" i="4"/>
  <c r="B15" i="3"/>
  <c r="C4" i="13" s="1"/>
  <c r="C3" i="13" s="1"/>
  <c r="B17" i="3"/>
  <c r="C4" i="14" s="1"/>
  <c r="C3" i="14" s="1"/>
  <c r="C4" i="3"/>
  <c r="C29" i="9"/>
  <c r="L29" i="9"/>
  <c r="K29" i="9"/>
  <c r="D29" i="9"/>
  <c r="E29" i="9"/>
  <c r="F29" i="9"/>
  <c r="G29" i="9"/>
  <c r="H29" i="9"/>
  <c r="I29" i="9"/>
  <c r="J29" i="9"/>
  <c r="N5" i="9"/>
  <c r="N28" i="9" s="1"/>
  <c r="E9" i="2"/>
  <c r="G11" i="4"/>
  <c r="E12" i="2"/>
  <c r="F13" i="2"/>
  <c r="F12" i="2" s="1"/>
  <c r="P40" i="8"/>
  <c r="O40" i="8"/>
  <c r="R40" i="8" s="1"/>
  <c r="T40" i="8" s="1"/>
  <c r="I40" i="8"/>
  <c r="B66" i="8"/>
  <c r="S53" i="8"/>
  <c r="Q53" i="8"/>
  <c r="M53" i="8"/>
  <c r="N53" i="8" s="1"/>
  <c r="K53" i="8"/>
  <c r="J53" i="8"/>
  <c r="L53" i="8" s="1"/>
  <c r="F53" i="8"/>
  <c r="E53" i="8"/>
  <c r="H53" i="8" s="1"/>
  <c r="D53" i="8"/>
  <c r="P26" i="8"/>
  <c r="O26" i="8"/>
  <c r="E28" i="8"/>
  <c r="H28" i="8" s="1"/>
  <c r="H26" i="8"/>
  <c r="B60" i="8"/>
  <c r="B70" i="8"/>
  <c r="B73" i="8" s="1"/>
  <c r="D28" i="8"/>
  <c r="P28" i="8" s="1"/>
  <c r="I26" i="8"/>
  <c r="I28" i="8" s="1"/>
  <c r="J28" i="8"/>
  <c r="L26" i="8"/>
  <c r="L28" i="8" s="1"/>
  <c r="M28" i="8"/>
  <c r="N28" i="8" s="1"/>
  <c r="N26" i="8"/>
  <c r="B41" i="8"/>
  <c r="B52" i="8"/>
  <c r="S39" i="8"/>
  <c r="S41" i="8" s="1"/>
  <c r="Q39" i="8"/>
  <c r="Q41" i="8" s="1"/>
  <c r="M39" i="8"/>
  <c r="K39" i="8"/>
  <c r="K41" i="8" s="1"/>
  <c r="J39" i="8"/>
  <c r="F39" i="8"/>
  <c r="F41" i="8" s="1"/>
  <c r="E39" i="8"/>
  <c r="D39" i="8"/>
  <c r="P39" i="8" s="1"/>
  <c r="C41" i="8"/>
  <c r="C52" i="8"/>
  <c r="R15" i="8"/>
  <c r="T15" i="8"/>
  <c r="C6" i="16" l="1"/>
  <c r="C7" i="13"/>
  <c r="C7" i="14" s="1"/>
  <c r="C12" i="16"/>
  <c r="C11" i="17"/>
  <c r="C12" i="17" s="1"/>
  <c r="B38" i="16"/>
  <c r="D11" i="16"/>
  <c r="B18" i="2"/>
  <c r="B15" i="2" s="1"/>
  <c r="C8" i="12"/>
  <c r="G12" i="4"/>
  <c r="F12" i="4"/>
  <c r="C3" i="4"/>
  <c r="C6" i="4" s="1"/>
  <c r="C16" i="4" s="1"/>
  <c r="C20" i="4" s="1"/>
  <c r="C21" i="4" s="1"/>
  <c r="D7" i="2"/>
  <c r="F9" i="2"/>
  <c r="D4" i="3"/>
  <c r="D4" i="4"/>
  <c r="C17" i="3"/>
  <c r="D4" i="14" s="1"/>
  <c r="D3" i="14" s="1"/>
  <c r="C15" i="3"/>
  <c r="D4" i="13" s="1"/>
  <c r="D3" i="13" s="1"/>
  <c r="P53" i="8"/>
  <c r="O53" i="8"/>
  <c r="R53" i="8" s="1"/>
  <c r="T53" i="8" s="1"/>
  <c r="I53" i="8"/>
  <c r="S66" i="8"/>
  <c r="Q66" i="8"/>
  <c r="M66" i="8"/>
  <c r="N66" i="8" s="1"/>
  <c r="K66" i="8"/>
  <c r="J66" i="8"/>
  <c r="L66" i="8" s="1"/>
  <c r="F66" i="8"/>
  <c r="E66" i="8"/>
  <c r="H66" i="8" s="1"/>
  <c r="D66" i="8"/>
  <c r="E41" i="8"/>
  <c r="H41" i="8" s="1"/>
  <c r="H39" i="8"/>
  <c r="B13" i="7"/>
  <c r="B22" i="7"/>
  <c r="C54" i="8"/>
  <c r="C65" i="8"/>
  <c r="C67" i="8" s="1"/>
  <c r="D41" i="8"/>
  <c r="P41" i="8" s="1"/>
  <c r="O39" i="8"/>
  <c r="I39" i="8"/>
  <c r="I41" i="8" s="1"/>
  <c r="J41" i="8"/>
  <c r="L39" i="8"/>
  <c r="L41" i="8" s="1"/>
  <c r="M41" i="8"/>
  <c r="N41" i="8" s="1"/>
  <c r="N39" i="8"/>
  <c r="B54" i="8"/>
  <c r="B65" i="8"/>
  <c r="S52" i="8"/>
  <c r="S54" i="8" s="1"/>
  <c r="Q52" i="8"/>
  <c r="Q54" i="8" s="1"/>
  <c r="M52" i="8"/>
  <c r="K52" i="8"/>
  <c r="K54" i="8" s="1"/>
  <c r="J52" i="8"/>
  <c r="F52" i="8"/>
  <c r="F54" i="8" s="1"/>
  <c r="E52" i="8"/>
  <c r="D52" i="8"/>
  <c r="P52" i="8" s="1"/>
  <c r="O28" i="8"/>
  <c r="R26" i="8"/>
  <c r="C6" i="17" l="1"/>
  <c r="C8" i="16"/>
  <c r="C8" i="17" s="1"/>
  <c r="C13" i="17" s="1"/>
  <c r="D12" i="16"/>
  <c r="D11" i="17"/>
  <c r="D12" i="17" s="1"/>
  <c r="E11" i="16"/>
  <c r="E7" i="2"/>
  <c r="D6" i="2"/>
  <c r="D3" i="4"/>
  <c r="B4" i="7"/>
  <c r="E4" i="3"/>
  <c r="F2" i="3"/>
  <c r="F4" i="3" s="1"/>
  <c r="E4" i="4"/>
  <c r="D17" i="3"/>
  <c r="E4" i="14" s="1"/>
  <c r="E3" i="14" s="1"/>
  <c r="D15" i="3"/>
  <c r="E4" i="13" s="1"/>
  <c r="E3" i="13" s="1"/>
  <c r="E8" i="12"/>
  <c r="P66" i="8"/>
  <c r="O66" i="8"/>
  <c r="R66" i="8" s="1"/>
  <c r="T66" i="8" s="1"/>
  <c r="I66" i="8"/>
  <c r="E54" i="8"/>
  <c r="H54" i="8" s="1"/>
  <c r="H52" i="8"/>
  <c r="R28" i="8"/>
  <c r="T26" i="8"/>
  <c r="T28" i="8" s="1"/>
  <c r="D54" i="8"/>
  <c r="P54" i="8" s="1"/>
  <c r="O52" i="8"/>
  <c r="I52" i="8"/>
  <c r="I54" i="8" s="1"/>
  <c r="J54" i="8"/>
  <c r="L52" i="8"/>
  <c r="L54" i="8" s="1"/>
  <c r="M54" i="8"/>
  <c r="N54" i="8" s="1"/>
  <c r="N52" i="8"/>
  <c r="B67" i="8"/>
  <c r="S65" i="8"/>
  <c r="S67" i="8" s="1"/>
  <c r="Q65" i="8"/>
  <c r="Q67" i="8" s="1"/>
  <c r="M65" i="8"/>
  <c r="K65" i="8"/>
  <c r="K67" i="8" s="1"/>
  <c r="J65" i="8"/>
  <c r="F65" i="8"/>
  <c r="F67" i="8" s="1"/>
  <c r="E65" i="8"/>
  <c r="D65" i="8"/>
  <c r="P65" i="8" s="1"/>
  <c r="O41" i="8"/>
  <c r="R39" i="8"/>
  <c r="R41" i="8" s="1"/>
  <c r="T39" i="8"/>
  <c r="T41" i="8" s="1"/>
  <c r="C13" i="16" l="1"/>
  <c r="E12" i="16"/>
  <c r="E11" i="17"/>
  <c r="E12" i="17" s="1"/>
  <c r="F11" i="16"/>
  <c r="G11" i="16" s="1"/>
  <c r="C9" i="12"/>
  <c r="D15" i="2"/>
  <c r="E9" i="4"/>
  <c r="E8" i="4" s="1"/>
  <c r="C15" i="2"/>
  <c r="D9" i="4"/>
  <c r="D8" i="4" s="1"/>
  <c r="F7" i="2"/>
  <c r="F6" i="2" s="1"/>
  <c r="E6" i="2"/>
  <c r="E3" i="4"/>
  <c r="B5" i="13"/>
  <c r="B10" i="13"/>
  <c r="B12" i="13" s="1"/>
  <c r="B14" i="13" s="1"/>
  <c r="B15" i="7" s="1"/>
  <c r="B17" i="7" s="1"/>
  <c r="B5" i="14"/>
  <c r="B10" i="14"/>
  <c r="B12" i="14" s="1"/>
  <c r="B14" i="14" s="1"/>
  <c r="B24" i="7" s="1"/>
  <c r="G4" i="4"/>
  <c r="F17" i="3"/>
  <c r="G4" i="14" s="1"/>
  <c r="G3" i="14" s="1"/>
  <c r="F15" i="3"/>
  <c r="G4" i="13" s="1"/>
  <c r="G3" i="13" s="1"/>
  <c r="F4" i="4"/>
  <c r="E17" i="3"/>
  <c r="F4" i="14" s="1"/>
  <c r="F3" i="14" s="1"/>
  <c r="E15" i="3"/>
  <c r="F4" i="13" s="1"/>
  <c r="F3" i="13" s="1"/>
  <c r="E9" i="12"/>
  <c r="E67" i="8"/>
  <c r="H67" i="8" s="1"/>
  <c r="H65" i="8"/>
  <c r="D67" i="8"/>
  <c r="P67" i="8" s="1"/>
  <c r="O65" i="8"/>
  <c r="I67" i="8"/>
  <c r="J67" i="8"/>
  <c r="L65" i="8"/>
  <c r="L67" i="8" s="1"/>
  <c r="M67" i="8"/>
  <c r="N67" i="8" s="1"/>
  <c r="N65" i="8"/>
  <c r="O54" i="8"/>
  <c r="R52" i="8"/>
  <c r="R54" i="8" s="1"/>
  <c r="T52" i="8"/>
  <c r="T54" i="8" s="1"/>
  <c r="G12" i="16" l="1"/>
  <c r="G11" i="17"/>
  <c r="G12" i="17" s="1"/>
  <c r="F12" i="16"/>
  <c r="F11" i="17"/>
  <c r="F12" i="17" s="1"/>
  <c r="C10" i="12"/>
  <c r="E15" i="2"/>
  <c r="F9" i="4"/>
  <c r="F8" i="4" s="1"/>
  <c r="F3" i="4"/>
  <c r="G3" i="4"/>
  <c r="B26" i="7"/>
  <c r="B5" i="7"/>
  <c r="B8" i="7" s="1"/>
  <c r="E10" i="12"/>
  <c r="R65" i="8"/>
  <c r="R67" i="8" s="1"/>
  <c r="T65" i="8"/>
  <c r="T67" i="8" s="1"/>
  <c r="C11" i="12" l="1"/>
  <c r="F15" i="2"/>
  <c r="G9" i="4"/>
  <c r="G8" i="4" s="1"/>
  <c r="E11" i="12"/>
  <c r="C12" i="12" l="1"/>
  <c r="E12" i="12"/>
  <c r="C4" i="2"/>
  <c r="D5" i="4" s="1"/>
  <c r="D6" i="16" s="1"/>
  <c r="D4" i="2"/>
  <c r="E5" i="4" s="1"/>
  <c r="E4" i="2"/>
  <c r="F5" i="4" s="1"/>
  <c r="F4" i="2"/>
  <c r="G5" i="4" s="1"/>
  <c r="E6" i="16" l="1"/>
  <c r="D6" i="17"/>
  <c r="D8" i="16"/>
  <c r="C13" i="12"/>
  <c r="G6" i="4"/>
  <c r="G16" i="4" s="1"/>
  <c r="F6" i="4"/>
  <c r="F16" i="4" s="1"/>
  <c r="D6" i="4"/>
  <c r="D16" i="4" s="1"/>
  <c r="E6" i="4"/>
  <c r="E16" i="4" s="1"/>
  <c r="G5" i="14"/>
  <c r="G5" i="13"/>
  <c r="F5" i="14"/>
  <c r="F5" i="13"/>
  <c r="E5" i="14"/>
  <c r="E5" i="13"/>
  <c r="D5" i="14"/>
  <c r="D5" i="13"/>
  <c r="C5" i="14"/>
  <c r="C5" i="13"/>
  <c r="E13" i="12"/>
  <c r="D8" i="17" l="1"/>
  <c r="D13" i="17" s="1"/>
  <c r="D13" i="16"/>
  <c r="F6" i="16"/>
  <c r="E8" i="16"/>
  <c r="E6" i="17"/>
  <c r="C14" i="12"/>
  <c r="E14" i="12"/>
  <c r="E8" i="17" l="1"/>
  <c r="E13" i="17" s="1"/>
  <c r="E13" i="16"/>
  <c r="G6" i="16"/>
  <c r="F8" i="16"/>
  <c r="F6" i="17"/>
  <c r="C15" i="12"/>
  <c r="B24" i="2" s="1"/>
  <c r="E15" i="12"/>
  <c r="G8" i="16" l="1"/>
  <c r="G6" i="17"/>
  <c r="F8" i="17"/>
  <c r="F13" i="17" s="1"/>
  <c r="F13" i="16"/>
  <c r="C19" i="4"/>
  <c r="C9" i="13" s="1"/>
  <c r="C9" i="14" s="1"/>
  <c r="C8" i="14" s="1"/>
  <c r="C10" i="14" s="1"/>
  <c r="B23" i="2"/>
  <c r="C16" i="12"/>
  <c r="C8" i="13"/>
  <c r="C10" i="13" s="1"/>
  <c r="B25" i="2"/>
  <c r="E16" i="12"/>
  <c r="G8" i="17" l="1"/>
  <c r="G13" i="17" s="1"/>
  <c r="G13" i="16"/>
  <c r="C17" i="12"/>
  <c r="C11" i="13"/>
  <c r="C12" i="13" s="1"/>
  <c r="C11" i="14"/>
  <c r="C12" i="14" s="1"/>
  <c r="E17" i="12"/>
  <c r="C18" i="12" l="1"/>
  <c r="C13" i="14"/>
  <c r="C14" i="14" s="1"/>
  <c r="C24" i="7" s="1"/>
  <c r="C26" i="7" s="1"/>
  <c r="C13" i="13"/>
  <c r="C14" i="13" s="1"/>
  <c r="E18" i="12"/>
  <c r="C28" i="16" l="1"/>
  <c r="C19" i="17"/>
  <c r="C22" i="4"/>
  <c r="C15" i="7"/>
  <c r="C17" i="7" s="1"/>
  <c r="C19" i="12"/>
  <c r="C29" i="16"/>
  <c r="E19" i="12"/>
  <c r="C20" i="17" l="1"/>
  <c r="C20" i="12"/>
  <c r="C23" i="4"/>
  <c r="E20" i="12"/>
  <c r="C25" i="17" l="1"/>
  <c r="C34" i="16"/>
  <c r="C24" i="4"/>
  <c r="C21" i="12"/>
  <c r="E21" i="12"/>
  <c r="C33" i="16" l="1"/>
  <c r="C24" i="17"/>
  <c r="D26" i="17" s="1"/>
  <c r="D35" i="16"/>
  <c r="C36" i="16"/>
  <c r="C22" i="12"/>
  <c r="C6" i="7"/>
  <c r="C8" i="7" s="1"/>
  <c r="E22" i="12"/>
  <c r="C27" i="17" l="1"/>
  <c r="C28" i="17" s="1"/>
  <c r="C29" i="17" s="1"/>
  <c r="C37" i="16"/>
  <c r="C38" i="16" s="1"/>
  <c r="C23" i="12"/>
  <c r="E23" i="12"/>
  <c r="C24" i="12" l="1"/>
  <c r="E24" i="12"/>
  <c r="C25" i="12" l="1"/>
  <c r="E25" i="12"/>
  <c r="C26" i="12" l="1"/>
  <c r="E26" i="12"/>
  <c r="C27" i="12" l="1"/>
  <c r="C24" i="2"/>
  <c r="E27" i="12"/>
  <c r="C28" i="12" l="1"/>
  <c r="D19" i="4"/>
  <c r="D9" i="13" s="1"/>
  <c r="D9" i="14" s="1"/>
  <c r="D8" i="14" s="1"/>
  <c r="D10" i="14" s="1"/>
  <c r="C23" i="2"/>
  <c r="C25" i="2" s="1"/>
  <c r="D18" i="4"/>
  <c r="E28" i="12"/>
  <c r="D8" i="13" l="1"/>
  <c r="D10" i="13" s="1"/>
  <c r="C29" i="12"/>
  <c r="D20" i="4"/>
  <c r="D21" i="4" s="1"/>
  <c r="E29" i="12"/>
  <c r="D11" i="13"/>
  <c r="D12" i="13" s="1"/>
  <c r="D11" i="14"/>
  <c r="D12" i="14" s="1"/>
  <c r="D13" i="14" s="1"/>
  <c r="D14" i="14" s="1"/>
  <c r="D24" i="7" s="1"/>
  <c r="D26" i="7" s="1"/>
  <c r="D28" i="16" l="1"/>
  <c r="D29" i="16" s="1"/>
  <c r="D19" i="17"/>
  <c r="D20" i="17" s="1"/>
  <c r="C30" i="12"/>
  <c r="D22" i="4"/>
  <c r="D23" i="4" s="1"/>
  <c r="D13" i="13"/>
  <c r="D14" i="13" s="1"/>
  <c r="D15" i="7" s="1"/>
  <c r="D17" i="7" s="1"/>
  <c r="E30" i="12"/>
  <c r="D25" i="17" l="1"/>
  <c r="D34" i="16"/>
  <c r="C31" i="12"/>
  <c r="D24" i="4"/>
  <c r="E31" i="12"/>
  <c r="D33" i="16" l="1"/>
  <c r="D24" i="17"/>
  <c r="E35" i="16"/>
  <c r="D36" i="16"/>
  <c r="D37" i="16" s="1"/>
  <c r="D38" i="16" s="1"/>
  <c r="C32" i="12"/>
  <c r="D6" i="7"/>
  <c r="D8" i="7" s="1"/>
  <c r="E32" i="12"/>
  <c r="E26" i="17" l="1"/>
  <c r="D27" i="17"/>
  <c r="D28" i="17" s="1"/>
  <c r="D29" i="17" s="1"/>
  <c r="C33" i="12"/>
  <c r="E33" i="12"/>
  <c r="C34" i="12" l="1"/>
  <c r="E34" i="12"/>
  <c r="C35" i="12" l="1"/>
  <c r="E35" i="12"/>
  <c r="C36" i="12" l="1"/>
  <c r="E36" i="12"/>
  <c r="C37" i="12" l="1"/>
  <c r="E37" i="12"/>
  <c r="C38" i="12" l="1"/>
  <c r="E38" i="12"/>
  <c r="C39" i="12" l="1"/>
  <c r="D24" i="2"/>
  <c r="E39" i="12"/>
  <c r="C40" i="12" l="1"/>
  <c r="E19" i="4"/>
  <c r="E9" i="13" s="1"/>
  <c r="E9" i="14" s="1"/>
  <c r="E8" i="14" s="1"/>
  <c r="E10" i="14" s="1"/>
  <c r="D23" i="2"/>
  <c r="D25" i="2" s="1"/>
  <c r="E8" i="13"/>
  <c r="E10" i="13" s="1"/>
  <c r="E18" i="4"/>
  <c r="E40" i="12"/>
  <c r="C41" i="12" l="1"/>
  <c r="E20" i="4"/>
  <c r="E41" i="12"/>
  <c r="E11" i="13"/>
  <c r="E12" i="13" s="1"/>
  <c r="E11" i="14"/>
  <c r="E12" i="14" s="1"/>
  <c r="C42" i="12" l="1"/>
  <c r="E21" i="4"/>
  <c r="E19" i="17" s="1"/>
  <c r="E20" i="17" s="1"/>
  <c r="E13" i="14"/>
  <c r="E14" i="14" s="1"/>
  <c r="E24" i="7" s="1"/>
  <c r="E26" i="7" s="1"/>
  <c r="E13" i="13"/>
  <c r="E14" i="13" s="1"/>
  <c r="E15" i="7" s="1"/>
  <c r="E17" i="7" s="1"/>
  <c r="E42" i="12"/>
  <c r="E28" i="16" l="1"/>
  <c r="E29" i="16" s="1"/>
  <c r="C43" i="12"/>
  <c r="E22" i="4"/>
  <c r="E43" i="12"/>
  <c r="C44" i="12" l="1"/>
  <c r="E23" i="4"/>
  <c r="E44" i="12"/>
  <c r="E25" i="17" l="1"/>
  <c r="E34" i="16"/>
  <c r="C45" i="12"/>
  <c r="E24" i="4"/>
  <c r="E24" i="17" s="1"/>
  <c r="E45" i="12"/>
  <c r="F26" i="17" l="1"/>
  <c r="E27" i="17"/>
  <c r="E28" i="17" s="1"/>
  <c r="E29" i="17" s="1"/>
  <c r="C46" i="12"/>
  <c r="E6" i="7"/>
  <c r="E8" i="7" s="1"/>
  <c r="E33" i="16"/>
  <c r="F35" i="16" s="1"/>
  <c r="E46" i="12"/>
  <c r="E36" i="16" l="1"/>
  <c r="E37" i="16" s="1"/>
  <c r="E38" i="16" s="1"/>
  <c r="C47" i="12"/>
  <c r="E47" i="12"/>
  <c r="C48" i="12" l="1"/>
  <c r="E48" i="12"/>
  <c r="C49" i="12" l="1"/>
  <c r="E49" i="12"/>
  <c r="C50" i="12" l="1"/>
  <c r="E50" i="12"/>
  <c r="C51" i="12" l="1"/>
  <c r="E24" i="2"/>
  <c r="E51" i="12"/>
  <c r="C52" i="12" l="1"/>
  <c r="F19" i="4"/>
  <c r="F9" i="13" s="1"/>
  <c r="F9" i="14" s="1"/>
  <c r="F8" i="14" s="1"/>
  <c r="F10" i="14" s="1"/>
  <c r="E23" i="2"/>
  <c r="E25" i="2" s="1"/>
  <c r="F18" i="4"/>
  <c r="E52" i="12"/>
  <c r="F8" i="13" l="1"/>
  <c r="F10" i="13" s="1"/>
  <c r="C53" i="12"/>
  <c r="F20" i="4"/>
  <c r="F21" i="4" s="1"/>
  <c r="E53" i="12"/>
  <c r="F11" i="13"/>
  <c r="F12" i="13" s="1"/>
  <c r="F11" i="14"/>
  <c r="F12" i="14" s="1"/>
  <c r="F28" i="16" l="1"/>
  <c r="F19" i="17"/>
  <c r="F20" i="17" s="1"/>
  <c r="C54" i="12"/>
  <c r="F22" i="4"/>
  <c r="F23" i="4" s="1"/>
  <c r="F29" i="16"/>
  <c r="F13" i="14"/>
  <c r="F14" i="14" s="1"/>
  <c r="F24" i="7" s="1"/>
  <c r="F26" i="7" s="1"/>
  <c r="F13" i="13"/>
  <c r="F14" i="13" s="1"/>
  <c r="F15" i="7" s="1"/>
  <c r="F17" i="7" s="1"/>
  <c r="E54" i="12"/>
  <c r="F25" i="17" l="1"/>
  <c r="F34" i="16"/>
  <c r="C55" i="12"/>
  <c r="F24" i="4"/>
  <c r="E55" i="12"/>
  <c r="F6" i="7" l="1"/>
  <c r="F8" i="7" s="1"/>
  <c r="F24" i="17"/>
  <c r="F33" i="16"/>
  <c r="G35" i="16" s="1"/>
  <c r="F36" i="16"/>
  <c r="F37" i="16" s="1"/>
  <c r="F38" i="16" s="1"/>
  <c r="C56" i="12"/>
  <c r="E56" i="12"/>
  <c r="G26" i="17" l="1"/>
  <c r="F27" i="17"/>
  <c r="F28" i="17" s="1"/>
  <c r="F29" i="17" s="1"/>
  <c r="C57" i="12"/>
  <c r="E57" i="12"/>
  <c r="C58" i="12" l="1"/>
  <c r="E58" i="12"/>
  <c r="C59" i="12" l="1"/>
  <c r="E59" i="12"/>
  <c r="C60" i="12" l="1"/>
  <c r="E60" i="12"/>
  <c r="C61" i="12" l="1"/>
  <c r="E61" i="12"/>
  <c r="C62" i="12" l="1"/>
  <c r="E62" i="12"/>
  <c r="C63" i="12" l="1"/>
  <c r="E63" i="12"/>
  <c r="B64" i="12" l="1"/>
  <c r="F24" i="2"/>
  <c r="C64" i="12"/>
  <c r="G19" i="4"/>
  <c r="G9" i="13" s="1"/>
  <c r="G9" i="14" s="1"/>
  <c r="F23" i="2"/>
  <c r="F25" i="2" s="1"/>
  <c r="G18" i="4"/>
  <c r="G8" i="13" l="1"/>
  <c r="G10" i="13" s="1"/>
  <c r="G8" i="14"/>
  <c r="G10" i="14" s="1"/>
  <c r="G11" i="14" s="1"/>
  <c r="G12" i="14" s="1"/>
  <c r="G20" i="4"/>
  <c r="G21" i="4" s="1"/>
  <c r="G11" i="13"/>
  <c r="G12" i="13" s="1"/>
  <c r="G28" i="16" l="1"/>
  <c r="G19" i="17"/>
  <c r="G20" i="17" s="1"/>
  <c r="G22" i="4"/>
  <c r="G23" i="4" s="1"/>
  <c r="G29" i="16"/>
  <c r="G13" i="14"/>
  <c r="G14" i="14" s="1"/>
  <c r="G24" i="7" s="1"/>
  <c r="G26" i="7" s="1"/>
  <c r="C31" i="7" s="1"/>
  <c r="G13" i="13"/>
  <c r="G14" i="13" s="1"/>
  <c r="G15" i="7" s="1"/>
  <c r="G17" i="7" s="1"/>
  <c r="C30" i="7" s="1"/>
  <c r="G34" i="16" l="1"/>
  <c r="G25" i="17"/>
  <c r="G24" i="4"/>
  <c r="B31" i="7"/>
  <c r="G33" i="16" l="1"/>
  <c r="G24" i="17"/>
  <c r="G27" i="17" s="1"/>
  <c r="G28" i="17" s="1"/>
  <c r="G29" i="17" s="1"/>
  <c r="G36" i="16"/>
  <c r="G37" i="16" s="1"/>
  <c r="G38" i="16" s="1"/>
  <c r="G6" i="7"/>
  <c r="G8" i="7" s="1"/>
  <c r="D31" i="7"/>
  <c r="E31" i="7"/>
  <c r="D30" i="7"/>
  <c r="E30" i="7"/>
  <c r="C29" i="7" l="1"/>
  <c r="E29" i="7" l="1"/>
  <c r="D2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tc={48A50072-4465-4741-95DE-9BB77314B6EC}</author>
    <author>tc={2B534BAB-C2DC-40E4-8840-6516FA7C85BF}</author>
  </authors>
  <commentList>
    <comment ref="B4" authorId="0" shapeId="0" xr:uid="{48A50072-4465-4741-95DE-9BB77314B6E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uso para la compra de activos
Inv inicial
</t>
      </text>
    </comment>
    <comment ref="B5" authorId="1" shapeId="0" xr:uid="{2B534BAB-C2DC-40E4-8840-6516FA7C85B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uso para pagar la compra de activos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tc={A38A37C2-0AE1-4425-B734-2DDAC50F8AD1}</author>
    <author>tc={1D823E8A-328B-40DA-B6BB-4F433B2B0DA5}</author>
    <author>tc={6AB0D0EC-3A67-4C6C-B02D-15387434B460}</author>
    <author>tc={2D1EDB05-3D85-4FBD-B208-C83DA9B22C12}</author>
    <author>tc={DA912DBC-64E6-4308-A7FC-513588111F0D}</author>
    <author>tc={F2DB4B9F-49F1-4F2F-82DD-5B2E89D1E622}</author>
    <author>tc={67835A03-56A0-450E-A4DF-0770F2CB4DDD}</author>
    <author>tc={0672A77A-99EF-4C89-922F-E35FF8919D81}</author>
  </authors>
  <commentList>
    <comment ref="B4" authorId="0" shapeId="0" xr:uid="{A38A37C2-0AE1-4425-B734-2DDAC50F8AD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uso para la compra de activos
Inv inicial
</t>
      </text>
    </comment>
    <comment ref="B5" authorId="1" shapeId="0" xr:uid="{1D823E8A-328B-40DA-B6BB-4F433B2B0DA5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uso para pagar la compra de activos </t>
      </text>
    </comment>
    <comment ref="C7" authorId="2" shapeId="0" xr:uid="{6AB0D0EC-3A67-4C6C-B02D-15387434B4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DIFIRIO A 1 AÑO</t>
      </text>
    </comment>
    <comment ref="D7" authorId="3" shapeId="0" xr:uid="{2D1EDB05-3D85-4FBD-B208-C83DA9B22C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DIFIRIO A 1 AÑO</t>
      </text>
    </comment>
    <comment ref="E7" authorId="4" shapeId="0" xr:uid="{DA912DBC-64E6-4308-A7FC-513588111F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DIF A 1 AÑO</t>
      </text>
    </comment>
    <comment ref="F7" authorId="5" shapeId="0" xr:uid="{F2DB4B9F-49F1-4F2F-82DD-5B2E89D1E6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DIF A 1 AÑO</t>
      </text>
    </comment>
    <comment ref="G7" authorId="6" shapeId="0" xr:uid="{67835A03-56A0-450E-A4DF-0770F2CB4DD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DIF A 1 AÑO</t>
      </text>
    </comment>
    <comment ref="A18" authorId="7" shapeId="0" xr:uid="{0672A77A-99EF-4C89-922F-E35FF8919D8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PAGARON TODAS LAS CXP</t>
      </text>
    </comment>
  </commentList>
</comments>
</file>

<file path=xl/sharedStrings.xml><?xml version="1.0" encoding="utf-8"?>
<sst xmlns="http://schemas.openxmlformats.org/spreadsheetml/2006/main" count="669" uniqueCount="281">
  <si>
    <t>NOMINA AÑO 0</t>
  </si>
  <si>
    <t> </t>
  </si>
  <si>
    <t>EMPLEADO</t>
  </si>
  <si>
    <t>SALARIO BASICO</t>
  </si>
  <si>
    <t>AUXILIO DE TRANSPORTE</t>
  </si>
  <si>
    <t>TOTAL DEVENGADO</t>
  </si>
  <si>
    <t>SALUD</t>
  </si>
  <si>
    <t>PENSION</t>
  </si>
  <si>
    <t>FONDO DE SOLIDARIDAD</t>
  </si>
  <si>
    <t>TOTAL DEDUCIDO</t>
  </si>
  <si>
    <t>NETO PAGO</t>
  </si>
  <si>
    <t>TOTAL SEGURIDAD SOCIAL</t>
  </si>
  <si>
    <t>CAJA. COMP</t>
  </si>
  <si>
    <t>TOTAL APORTES</t>
  </si>
  <si>
    <t>CESANTIAS</t>
  </si>
  <si>
    <t>PRIMAS</t>
  </si>
  <si>
    <t>VACACIONES</t>
  </si>
  <si>
    <t>INTERES DE CESANTIAS</t>
  </si>
  <si>
    <t>RIESGOS LABORALES</t>
  </si>
  <si>
    <t>TOTAL PRESTACIONES</t>
  </si>
  <si>
    <t xml:space="preserve">LIDER EN OPERACION </t>
  </si>
  <si>
    <t xml:space="preserve">AUXILIAR PRODUCCION </t>
  </si>
  <si>
    <t>TOTALES</t>
  </si>
  <si>
    <t xml:space="preserve"> $            -  </t>
  </si>
  <si>
    <t>NOMINA AÑO 1</t>
  </si>
  <si>
    <t xml:space="preserve">INFLACION </t>
  </si>
  <si>
    <t>EMPLEADOR</t>
  </si>
  <si>
    <t xml:space="preserve">ASESORIAS PROFESIONALES  </t>
  </si>
  <si>
    <t xml:space="preserve">VALOR DE SERVICIO </t>
  </si>
  <si>
    <t>CONTADOR</t>
  </si>
  <si>
    <t xml:space="preserve">CREADOR DE CONTENIDO </t>
  </si>
  <si>
    <t xml:space="preserve">ABOGADO LABORAL Y COMERCIAL </t>
  </si>
  <si>
    <t>TOTAL</t>
  </si>
  <si>
    <t>NOMINA  AÑO 2</t>
  </si>
  <si>
    <t xml:space="preserve">AUXULIAR PRODUCCION </t>
  </si>
  <si>
    <t>NOMINA  AÑO 3</t>
  </si>
  <si>
    <t>INFLACION</t>
  </si>
  <si>
    <t xml:space="preserve">ASESORIAS PROFECIONALES  </t>
  </si>
  <si>
    <t>NOMINA  AÑO 4</t>
  </si>
  <si>
    <t>NOMINA  AÑO 5</t>
  </si>
  <si>
    <t xml:space="preserve">AMORTIZACION DE CREDITO </t>
  </si>
  <si>
    <t>INTERES</t>
  </si>
  <si>
    <t>NO</t>
  </si>
  <si>
    <t>CUOTA</t>
  </si>
  <si>
    <t>ABONO</t>
  </si>
  <si>
    <t xml:space="preserve">SALDO </t>
  </si>
  <si>
    <t>anual</t>
  </si>
  <si>
    <t>mensual</t>
  </si>
  <si>
    <t>Promedio de interes en bancos, en creditos de libre inversion.</t>
  </si>
  <si>
    <t>AÑO</t>
  </si>
  <si>
    <t>Fotografia</t>
  </si>
  <si>
    <t xml:space="preserve">Diseños </t>
  </si>
  <si>
    <t>Gastos de Montaje **</t>
  </si>
  <si>
    <t>Gastos de Puesta en Marcha **</t>
  </si>
  <si>
    <t xml:space="preserve">Consultas Profecionales </t>
  </si>
  <si>
    <t>Capacitación - Entrenamiento</t>
  </si>
  <si>
    <t xml:space="preserve">Mantenimiento de Maquinaria </t>
  </si>
  <si>
    <t xml:space="preserve">Imprevistos </t>
  </si>
  <si>
    <t>2. INVERSIONES DIFERIDAS</t>
  </si>
  <si>
    <t>12 MESES</t>
  </si>
  <si>
    <t>año</t>
  </si>
  <si>
    <t>SE INICIA A AMORTIZAR EN EL 1 AÑO</t>
  </si>
  <si>
    <t xml:space="preserve">ESTADO DE RESULTADOS </t>
  </si>
  <si>
    <t>VENTAS</t>
  </si>
  <si>
    <t>Ingresos Operacionales</t>
  </si>
  <si>
    <t>Costo de Ventas</t>
  </si>
  <si>
    <t>UTILIDAD BRUTA</t>
  </si>
  <si>
    <t xml:space="preserve">GASTOS ADMINISTRATIVOS </t>
  </si>
  <si>
    <t xml:space="preserve">Gastos de Personal </t>
  </si>
  <si>
    <t xml:space="preserve">Arriendamiento </t>
  </si>
  <si>
    <t>Sericios Publicos</t>
  </si>
  <si>
    <t>Publicidad</t>
  </si>
  <si>
    <t xml:space="preserve">Depreciacion Activos Fijos </t>
  </si>
  <si>
    <t>Amortizacion Diferidos</t>
  </si>
  <si>
    <t xml:space="preserve">Prestacion de Servicios Profesionales </t>
  </si>
  <si>
    <t>UTILIDAD OPERACIONAL</t>
  </si>
  <si>
    <t>OTROS GASTOS FINANCIEROS</t>
  </si>
  <si>
    <t xml:space="preserve">INTERESES CREDITO </t>
  </si>
  <si>
    <t>UTILIDAD BRUTA ANTES DE IMPUESTOS</t>
  </si>
  <si>
    <t>IMPUESTOS (30%)</t>
  </si>
  <si>
    <t>UTILIDAD DESPUES ANTES DE IMPUESTOS</t>
  </si>
  <si>
    <t>RESERVA LEGAL (10%)</t>
  </si>
  <si>
    <t>UTILIDAD NETA</t>
  </si>
  <si>
    <t>ACTIVO</t>
  </si>
  <si>
    <t>Efectivos y equivalentes del efectivo</t>
  </si>
  <si>
    <t xml:space="preserve">Banco </t>
  </si>
  <si>
    <t xml:space="preserve">Inventarios </t>
  </si>
  <si>
    <t>faltan los inventarios</t>
  </si>
  <si>
    <t>Diferidos</t>
  </si>
  <si>
    <t>no he entrado a dif  l gto</t>
  </si>
  <si>
    <t>TOTAL ACTIVOS CORRIENTES</t>
  </si>
  <si>
    <t>Propiedad Planta y Equipo</t>
  </si>
  <si>
    <t>Depreciacion Acumulada</t>
  </si>
  <si>
    <t>TOTAL ACTIVOS FIJOS</t>
  </si>
  <si>
    <t>TOTAL ACTIVOS</t>
  </si>
  <si>
    <t xml:space="preserve">PAGOS DE CXP CON BANCOS </t>
  </si>
  <si>
    <t>PASIVOS</t>
  </si>
  <si>
    <t>pago1</t>
  </si>
  <si>
    <t>pagos 2</t>
  </si>
  <si>
    <t>pagos 3</t>
  </si>
  <si>
    <t>pagos 4</t>
  </si>
  <si>
    <t>pagos 5</t>
  </si>
  <si>
    <t>Obligaciones Financieras</t>
  </si>
  <si>
    <t>Obligaciones Empleados</t>
  </si>
  <si>
    <t>CESANTIAS PRIMA VAC INT</t>
  </si>
  <si>
    <t xml:space="preserve">Aportes PARTE EMPLEADO </t>
  </si>
  <si>
    <t>Aportes PARTE EMPLEADOR</t>
  </si>
  <si>
    <t>Acreedores Sevicios, Asesorias, Arrendami</t>
  </si>
  <si>
    <t>cxp gto Diferido</t>
  </si>
  <si>
    <t>cxp invenatrios</t>
  </si>
  <si>
    <t>cxp Obliga Finan</t>
  </si>
  <si>
    <t>cxp afs</t>
  </si>
  <si>
    <t>cxp afs inversion inial</t>
  </si>
  <si>
    <t>CXP Proveedores</t>
  </si>
  <si>
    <t>Impuestos</t>
  </si>
  <si>
    <t>TOTAL PASIVO</t>
  </si>
  <si>
    <t>PATRIMONIO</t>
  </si>
  <si>
    <t>Capital Social</t>
  </si>
  <si>
    <t>Utilidad del ejercicio</t>
  </si>
  <si>
    <t xml:space="preserve">Reserva Legal </t>
  </si>
  <si>
    <t>Utilidades acumuladas</t>
  </si>
  <si>
    <t>TOTAL PATRIMONIO</t>
  </si>
  <si>
    <t>TOTAL PASIVO + PATRIMONIO</t>
  </si>
  <si>
    <t>ITEM</t>
  </si>
  <si>
    <t xml:space="preserve">TABLA DE CRECIMIENTO </t>
  </si>
  <si>
    <t>1. COSTOS DE FABRICACIÓN</t>
  </si>
  <si>
    <t xml:space="preserve">INFLACION PROMEDIO </t>
  </si>
  <si>
    <t>Costos Directos</t>
  </si>
  <si>
    <t>Materia Prima (Insumos)**</t>
  </si>
  <si>
    <t>Imprevistos</t>
  </si>
  <si>
    <t>Gastos de Fabricación</t>
  </si>
  <si>
    <t>Mantenimiento</t>
  </si>
  <si>
    <t>Otros</t>
  </si>
  <si>
    <t>Otros Gastos Indirectos</t>
  </si>
  <si>
    <t>Mano de Obra Indirecta**</t>
  </si>
  <si>
    <t>Materiales Indirectos</t>
  </si>
  <si>
    <t>2. GASTOS ADMINISTRATIVOS</t>
  </si>
  <si>
    <t>Salarios y Otros</t>
  </si>
  <si>
    <t>Aportes Parafiscales Y SEGURIDAD SOCIAL</t>
  </si>
  <si>
    <t>Prestaciones Sociales</t>
  </si>
  <si>
    <t>Arriendo</t>
  </si>
  <si>
    <t>Servicios Públicos</t>
  </si>
  <si>
    <t>Depreciación Operativa</t>
  </si>
  <si>
    <t xml:space="preserve">Publicidad </t>
  </si>
  <si>
    <t>3. GASTOS FINANCIEROS</t>
  </si>
  <si>
    <t>Intereses prestamos</t>
  </si>
  <si>
    <t>COSTO Y GASTO TOTAL</t>
  </si>
  <si>
    <t>SEGMENTO DE MERCADO</t>
  </si>
  <si>
    <t>CHAPINERO HABITANTES</t>
  </si>
  <si>
    <t>Dencidad de trabajos</t>
  </si>
  <si>
    <t>6 A 60 AÑOS</t>
  </si>
  <si>
    <t>CONSUMEN HELADO</t>
  </si>
  <si>
    <t>HABITO DE CONSUMO (MES)(PERSONA)</t>
  </si>
  <si>
    <t>VENTA AL 1.2% DEL MERCADO</t>
  </si>
  <si>
    <t>HABITO DE CONSUMO</t>
  </si>
  <si>
    <t>TIEMPO</t>
  </si>
  <si>
    <t>UNIDADES*PERSONA</t>
  </si>
  <si>
    <t>DIA</t>
  </si>
  <si>
    <t>MES</t>
  </si>
  <si>
    <t xml:space="preserve">GASTO POR UNIDAD </t>
  </si>
  <si>
    <t>INSUMOS</t>
  </si>
  <si>
    <t>$ UNIDAD</t>
  </si>
  <si>
    <t>HARINAS TIPO 1</t>
  </si>
  <si>
    <t>HARINAS TIPO 2</t>
  </si>
  <si>
    <t>HARINAS TIPO 3</t>
  </si>
  <si>
    <t>AZUCRA</t>
  </si>
  <si>
    <t>TOPINGS</t>
  </si>
  <si>
    <t>HELADO</t>
  </si>
  <si>
    <t>EMPAQUE</t>
  </si>
  <si>
    <t>GASTOS FIJOS</t>
  </si>
  <si>
    <t>ARRIENDO</t>
  </si>
  <si>
    <t>PUBLICIDAD ADS</t>
  </si>
  <si>
    <t xml:space="preserve">SERVICIOS </t>
  </si>
  <si>
    <t>ELEMENTO</t>
  </si>
  <si>
    <t>ACTIVOS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</si>
  <si>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</si>
  <si>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</si>
  <si>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</si>
  <si>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</si>
  <si>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</si>
  <si>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</si>
  <si>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</si>
  <si>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</si>
  <si>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</si>
  <si>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</si>
  <si>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DEPRECIACION ACUMULADA</t>
  </si>
  <si>
    <t>VALOR RESIDUAL</t>
  </si>
  <si>
    <t>Nevera 1</t>
  </si>
  <si>
    <t>Nevera 2</t>
  </si>
  <si>
    <t>Congelador 1</t>
  </si>
  <si>
    <t>Congelador 2</t>
  </si>
  <si>
    <t>Congelador 3</t>
  </si>
  <si>
    <t>Congelador 4</t>
  </si>
  <si>
    <t>Mantecadora</t>
  </si>
  <si>
    <t>Batidora</t>
  </si>
  <si>
    <t>Gramera</t>
  </si>
  <si>
    <t>Laminadoras</t>
  </si>
  <si>
    <t>Microondas</t>
  </si>
  <si>
    <t>Computador 1</t>
  </si>
  <si>
    <t>Computador 2</t>
  </si>
  <si>
    <t>Televisor 1</t>
  </si>
  <si>
    <t>Televisor 2</t>
  </si>
  <si>
    <t>Tablet 1</t>
  </si>
  <si>
    <t>Tablet 2</t>
  </si>
  <si>
    <t>Herramientas 1</t>
  </si>
  <si>
    <t>Herramientas 2</t>
  </si>
  <si>
    <t>Herramientas 3</t>
  </si>
  <si>
    <t>Herramientas 4</t>
  </si>
  <si>
    <t>Muebles</t>
  </si>
  <si>
    <t>Decoraciones</t>
  </si>
  <si>
    <t>Depreciación Acumulada</t>
  </si>
  <si>
    <t>Valor Residual</t>
  </si>
  <si>
    <t>Muebles y Enseres</t>
  </si>
  <si>
    <t>años</t>
  </si>
  <si>
    <t>Maquinaria</t>
  </si>
  <si>
    <t>Vehículos</t>
  </si>
  <si>
    <t>Herramientas</t>
  </si>
  <si>
    <t>Computación y Comunicación</t>
  </si>
  <si>
    <t>Obligaciones Laborales</t>
  </si>
  <si>
    <t xml:space="preserve">Cuentas por Pagar </t>
  </si>
  <si>
    <t>INGRESOS POR VENTAS</t>
  </si>
  <si>
    <t>COSTOS Y GASTOS</t>
  </si>
  <si>
    <t xml:space="preserve">COSTO Y GASTO </t>
  </si>
  <si>
    <t>OTROS GASTOS</t>
  </si>
  <si>
    <t>AMORTIZACIÓN DE CREDITO</t>
  </si>
  <si>
    <t>FLUJO DE PRODUCCIÓN (real)</t>
  </si>
  <si>
    <t>1. INVERSIONES FIJAS</t>
  </si>
  <si>
    <t>No Depreciables</t>
  </si>
  <si>
    <t>Terrenos</t>
  </si>
  <si>
    <t>Depreciables</t>
  </si>
  <si>
    <t>Nevera</t>
  </si>
  <si>
    <t>Congeladores</t>
  </si>
  <si>
    <t>Computadores</t>
  </si>
  <si>
    <t>Televisores</t>
  </si>
  <si>
    <t>Tablets</t>
  </si>
  <si>
    <t xml:space="preserve">Herramientas </t>
  </si>
  <si>
    <t>Decoraciones( Lamparas, Cuadros, letreros)</t>
  </si>
  <si>
    <t>3. CAPITAL DE TRABAJO</t>
  </si>
  <si>
    <t>Efectivo (Caja - Bancos)</t>
  </si>
  <si>
    <t>Materias Primas **</t>
  </si>
  <si>
    <t>Materiales **</t>
  </si>
  <si>
    <t>Inventarios (Proceso - Terminados)</t>
  </si>
  <si>
    <t>PRESUPUESTO DE INVERSIÓN TOTAL</t>
  </si>
  <si>
    <t>Producto /Servicio</t>
  </si>
  <si>
    <t xml:space="preserve">Cantidad Vendida </t>
  </si>
  <si>
    <t>Precio Enero 2022</t>
  </si>
  <si>
    <t>Ingresos Reales</t>
  </si>
  <si>
    <t xml:space="preserve">Crecimiento anual </t>
  </si>
  <si>
    <t xml:space="preserve">POR AÑO </t>
  </si>
  <si>
    <t>¿Capacidad Instalada</t>
  </si>
  <si>
    <t>Por inversión en instalaciones</t>
  </si>
  <si>
    <t>Tasa de crecimiento</t>
  </si>
  <si>
    <t>Tasa de inflación</t>
  </si>
  <si>
    <t>INGRESO OPTIMISTA</t>
  </si>
  <si>
    <t>INGRESO PESIMISTA</t>
  </si>
  <si>
    <t>FLUJO DE CAJA</t>
  </si>
  <si>
    <t>PRESUPUESTO DE INVERSIÓN</t>
  </si>
  <si>
    <t>FLUJO DE PRODUCCIÓN</t>
  </si>
  <si>
    <t>FLUJO NETO DE CAJA (REAL)</t>
  </si>
  <si>
    <t>FLUJO NETO DE CAJA (OPTIMISTA)</t>
  </si>
  <si>
    <t>FLUJO NETO DE CAJA (PESIMISTA)</t>
  </si>
  <si>
    <t>INDICADORES</t>
  </si>
  <si>
    <t>TIR</t>
  </si>
  <si>
    <t>VPN</t>
  </si>
  <si>
    <t>B/C</t>
  </si>
  <si>
    <t>CAUE</t>
  </si>
  <si>
    <t>WACC</t>
  </si>
  <si>
    <t>REAL</t>
  </si>
  <si>
    <t>OPTIMISTA</t>
  </si>
  <si>
    <t>PESIMISTA</t>
  </si>
  <si>
    <t>TASAS</t>
  </si>
  <si>
    <t>VALOR</t>
  </si>
  <si>
    <t>INFLACIÓN</t>
  </si>
  <si>
    <t>CRECIMIENTO</t>
  </si>
  <si>
    <t>OPORTUNIDAD</t>
  </si>
  <si>
    <t>DESCUENTO</t>
  </si>
  <si>
    <t xml:space="preserve">INVERSION </t>
  </si>
  <si>
    <t xml:space="preserve">% PARCITIPACION </t>
  </si>
  <si>
    <t>COSTO DE CAPITAL</t>
  </si>
  <si>
    <t xml:space="preserve">INVERSIONISTAS </t>
  </si>
  <si>
    <t>CREDITO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</si>
</sst>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&quot;$&quot;#,##0_);[Red]\(&quot;$&quot;#,##0\)"/>
    <numFmt numFmtId="165" formatCode="_(* #,##0.00_);_(* \(#,##0.00\);_(* &quot;-&quot;??_);_(@_)"/>
    <numFmt numFmtId="166" formatCode="&quot;$&quot;\ #,##0;[Red]\-&quot;$&quot;\ #,##0"/>
    <numFmt numFmtId="167" formatCode="&quot;$&quot;\ #,##0.00;[Red]\-&quot;$&quot;\ #,##0.00"/>
    <numFmt numFmtId="168" formatCode="_-&quot;$&quot;\ * #,##0.00_-;\-&quot;$&quot;\ * #,##0.00_-;_-&quot;$&quot;\ * &quot;-&quot;??_-;_-@_-"/>
    <numFmt numFmtId="169" formatCode="_-&quot;$&quot;\ * #,##0.00_-;\-&quot;$&quot;\ * #,##0.00_-;_-&quot;$&quot;\ * &quot;-&quot;??_-;_-@"/>
    <numFmt numFmtId="170" formatCode="0.0%"/>
    <numFmt numFmtId="171" formatCode="[$ $]#,##0"/>
    <numFmt numFmtId="172" formatCode="&quot;$&quot;#,##0"/>
    <numFmt numFmtId="173" formatCode="_-* #,##0_-;\-* #,##0_-;_-* &quot;-&quot;??_-;_-@_-"/>
    <numFmt numFmtId="174" formatCode="_-&quot;$&quot;\ * #,##0_-;\-&quot;$&quot;\ * #,##0_-;_-&quot;$&quot;\ * &quot;-&quot;??_-;_-@"/>
    <numFmt numFmtId="175" formatCode="&quot;$&quot;#,##0.00"/>
    <numFmt numFmtId="176" formatCode="_(* #,##0_);_(* \(#,##0\);_(* &quot;-&quot;??_);_(@_)"/>
    <numFmt numFmtId="177" formatCode="&quot;$&quot;\ #,##0.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sz val="16"/>
      <color theme="1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  <family val="2"/>
      <scheme val="minor"/>
    </font>
    <font>
      <sz val="26"/>
      <color rgb="FF000000"/>
      <name val="Calibri"/>
      <family val="2"/>
    </font>
    <font>
      <sz val="10"/>
      <color rgb="FF707070"/>
      <name val="Open Sans"/>
      <family val="2"/>
      <charset val="1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u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FFD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rgb="FFBFBFB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0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000000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62">
    <xf numFmtId="0" fontId="0" fillId="0" borderId="0" xfId="0"/>
    <xf numFmtId="0" fontId="2" fillId="2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6" xfId="0" applyFont="1" applyFill="1" applyBorder="1"/>
    <xf numFmtId="169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169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2" fillId="3" borderId="6" xfId="0" applyFont="1" applyFill="1" applyBorder="1"/>
    <xf numFmtId="0" fontId="6" fillId="0" borderId="0" xfId="0" applyFont="1"/>
    <xf numFmtId="170" fontId="4" fillId="5" borderId="6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6" xfId="0" applyFont="1" applyFill="1" applyBorder="1"/>
    <xf numFmtId="9" fontId="4" fillId="3" borderId="6" xfId="0" applyNumberFormat="1" applyFont="1" applyFill="1" applyBorder="1" applyAlignment="1">
      <alignment horizontal="center"/>
    </xf>
    <xf numFmtId="0" fontId="4" fillId="7" borderId="6" xfId="0" applyFont="1" applyFill="1" applyBorder="1"/>
    <xf numFmtId="0" fontId="2" fillId="6" borderId="6" xfId="0" applyFont="1" applyFill="1" applyBorder="1" applyAlignment="1">
      <alignment horizontal="center"/>
    </xf>
    <xf numFmtId="0" fontId="2" fillId="8" borderId="6" xfId="0" applyFont="1" applyFill="1" applyBorder="1"/>
    <xf numFmtId="169" fontId="2" fillId="8" borderId="6" xfId="0" applyNumberFormat="1" applyFont="1" applyFill="1" applyBorder="1" applyAlignment="1">
      <alignment horizontal="center"/>
    </xf>
    <xf numFmtId="0" fontId="2" fillId="9" borderId="6" xfId="0" applyFont="1" applyFill="1" applyBorder="1"/>
    <xf numFmtId="169" fontId="2" fillId="9" borderId="6" xfId="0" applyNumberFormat="1" applyFont="1" applyFill="1" applyBorder="1" applyAlignment="1">
      <alignment horizontal="center"/>
    </xf>
    <xf numFmtId="169" fontId="5" fillId="6" borderId="6" xfId="0" applyNumberFormat="1" applyFont="1" applyFill="1" applyBorder="1"/>
    <xf numFmtId="169" fontId="4" fillId="0" borderId="6" xfId="0" applyNumberFormat="1" applyFont="1" applyBorder="1"/>
    <xf numFmtId="169" fontId="2" fillId="3" borderId="6" xfId="0" applyNumberFormat="1" applyFont="1" applyFill="1" applyBorder="1"/>
    <xf numFmtId="169" fontId="2" fillId="8" borderId="6" xfId="0" applyNumberFormat="1" applyFont="1" applyFill="1" applyBorder="1"/>
    <xf numFmtId="0" fontId="2" fillId="10" borderId="6" xfId="0" applyFont="1" applyFill="1" applyBorder="1"/>
    <xf numFmtId="169" fontId="7" fillId="10" borderId="6" xfId="0" applyNumberFormat="1" applyFont="1" applyFill="1" applyBorder="1"/>
    <xf numFmtId="0" fontId="9" fillId="6" borderId="6" xfId="0" applyFont="1" applyFill="1" applyBorder="1" applyAlignment="1">
      <alignment horizontal="center"/>
    </xf>
    <xf numFmtId="0" fontId="10" fillId="3" borderId="6" xfId="0" applyFont="1" applyFill="1" applyBorder="1"/>
    <xf numFmtId="10" fontId="11" fillId="0" borderId="6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171" fontId="11" fillId="0" borderId="6" xfId="0" applyNumberFormat="1" applyFont="1" applyBorder="1"/>
    <xf numFmtId="0" fontId="6" fillId="0" borderId="6" xfId="0" applyFont="1" applyBorder="1"/>
    <xf numFmtId="9" fontId="6" fillId="0" borderId="6" xfId="0" applyNumberFormat="1" applyFont="1" applyBorder="1" applyAlignment="1">
      <alignment horizontal="center"/>
    </xf>
    <xf numFmtId="0" fontId="10" fillId="8" borderId="6" xfId="0" applyFont="1" applyFill="1" applyBorder="1"/>
    <xf numFmtId="0" fontId="10" fillId="10" borderId="6" xfId="0" applyFont="1" applyFill="1" applyBorder="1"/>
    <xf numFmtId="0" fontId="2" fillId="4" borderId="6" xfId="0" applyFont="1" applyFill="1" applyBorder="1"/>
    <xf numFmtId="9" fontId="2" fillId="4" borderId="6" xfId="0" applyNumberFormat="1" applyFont="1" applyFill="1" applyBorder="1" applyAlignment="1">
      <alignment horizontal="center"/>
    </xf>
    <xf numFmtId="0" fontId="0" fillId="0" borderId="6" xfId="0" applyBorder="1"/>
    <xf numFmtId="0" fontId="13" fillId="0" borderId="10" xfId="0" applyFont="1" applyBorder="1" applyAlignment="1">
      <alignment readingOrder="1"/>
    </xf>
    <xf numFmtId="0" fontId="13" fillId="0" borderId="11" xfId="0" applyFont="1" applyBorder="1" applyAlignment="1">
      <alignment readingOrder="1"/>
    </xf>
    <xf numFmtId="0" fontId="13" fillId="0" borderId="8" xfId="0" applyFont="1" applyBorder="1" applyAlignment="1">
      <alignment readingOrder="1"/>
    </xf>
    <xf numFmtId="0" fontId="7" fillId="12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0" borderId="4" xfId="0" applyFont="1" applyBorder="1"/>
    <xf numFmtId="1" fontId="4" fillId="0" borderId="6" xfId="0" applyNumberFormat="1" applyFont="1" applyBorder="1" applyAlignment="1">
      <alignment horizontal="center"/>
    </xf>
    <xf numFmtId="0" fontId="0" fillId="0" borderId="7" xfId="0" applyBorder="1"/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9" fontId="4" fillId="0" borderId="7" xfId="0" applyNumberFormat="1" applyFon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7" borderId="6" xfId="0" applyFont="1" applyFill="1" applyBorder="1" applyAlignment="1">
      <alignment wrapText="1"/>
    </xf>
    <xf numFmtId="172" fontId="4" fillId="0" borderId="6" xfId="0" applyNumberFormat="1" applyFont="1" applyBorder="1" applyAlignment="1">
      <alignment horizontal="center"/>
    </xf>
    <xf numFmtId="172" fontId="0" fillId="0" borderId="6" xfId="0" applyNumberFormat="1" applyBorder="1"/>
    <xf numFmtId="0" fontId="15" fillId="0" borderId="15" xfId="0" applyFont="1" applyBorder="1" applyAlignment="1">
      <alignment wrapText="1"/>
    </xf>
    <xf numFmtId="0" fontId="16" fillId="0" borderId="15" xfId="0" applyFont="1" applyBorder="1" applyAlignment="1">
      <alignment wrapText="1"/>
    </xf>
    <xf numFmtId="0" fontId="12" fillId="0" borderId="16" xfId="0" applyFont="1" applyBorder="1"/>
    <xf numFmtId="167" fontId="12" fillId="0" borderId="16" xfId="0" applyNumberFormat="1" applyFont="1" applyBorder="1"/>
    <xf numFmtId="0" fontId="12" fillId="0" borderId="18" xfId="0" applyFont="1" applyBorder="1"/>
    <xf numFmtId="167" fontId="12" fillId="0" borderId="18" xfId="0" applyNumberFormat="1" applyFont="1" applyBorder="1"/>
    <xf numFmtId="167" fontId="12" fillId="0" borderId="17" xfId="0" applyNumberFormat="1" applyFont="1" applyBorder="1"/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173" fontId="0" fillId="0" borderId="21" xfId="1" applyNumberFormat="1" applyFont="1" applyBorder="1"/>
    <xf numFmtId="169" fontId="0" fillId="0" borderId="21" xfId="0" applyNumberFormat="1" applyBorder="1"/>
    <xf numFmtId="168" fontId="0" fillId="0" borderId="21" xfId="0" applyNumberFormat="1" applyBorder="1"/>
    <xf numFmtId="173" fontId="0" fillId="0" borderId="22" xfId="1" applyNumberFormat="1" applyFont="1" applyBorder="1"/>
    <xf numFmtId="173" fontId="0" fillId="0" borderId="0" xfId="1" applyNumberFormat="1" applyFont="1"/>
    <xf numFmtId="168" fontId="19" fillId="0" borderId="0" xfId="0" applyNumberFormat="1" applyFont="1"/>
    <xf numFmtId="174" fontId="0" fillId="0" borderId="0" xfId="0" applyNumberFormat="1"/>
    <xf numFmtId="167" fontId="12" fillId="0" borderId="7" xfId="0" applyNumberFormat="1" applyFont="1" applyBorder="1"/>
    <xf numFmtId="0" fontId="12" fillId="0" borderId="7" xfId="0" applyFont="1" applyBorder="1"/>
    <xf numFmtId="0" fontId="12" fillId="0" borderId="24" xfId="0" applyFont="1" applyBorder="1"/>
    <xf numFmtId="0" fontId="12" fillId="0" borderId="25" xfId="0" applyFont="1" applyBorder="1"/>
    <xf numFmtId="0" fontId="3" fillId="0" borderId="26" xfId="0" applyFont="1" applyBorder="1"/>
    <xf numFmtId="0" fontId="12" fillId="0" borderId="27" xfId="0" applyFont="1" applyBorder="1"/>
    <xf numFmtId="0" fontId="15" fillId="0" borderId="28" xfId="0" applyFont="1" applyBorder="1" applyAlignment="1">
      <alignment wrapText="1"/>
    </xf>
    <xf numFmtId="0" fontId="0" fillId="0" borderId="30" xfId="0" applyBorder="1"/>
    <xf numFmtId="0" fontId="4" fillId="0" borderId="30" xfId="0" applyFont="1" applyBorder="1"/>
    <xf numFmtId="0" fontId="17" fillId="0" borderId="32" xfId="0" applyFont="1" applyBorder="1"/>
    <xf numFmtId="0" fontId="0" fillId="0" borderId="34" xfId="0" applyBorder="1"/>
    <xf numFmtId="0" fontId="0" fillId="0" borderId="27" xfId="0" applyBorder="1"/>
    <xf numFmtId="0" fontId="4" fillId="0" borderId="38" xfId="0" applyFont="1" applyBorder="1" applyAlignment="1">
      <alignment horizontal="center"/>
    </xf>
    <xf numFmtId="0" fontId="0" fillId="0" borderId="38" xfId="0" applyBorder="1"/>
    <xf numFmtId="0" fontId="0" fillId="0" borderId="39" xfId="0" applyBorder="1"/>
    <xf numFmtId="167" fontId="0" fillId="0" borderId="7" xfId="0" applyNumberFormat="1" applyBorder="1"/>
    <xf numFmtId="0" fontId="12" fillId="0" borderId="34" xfId="0" applyFont="1" applyBorder="1"/>
    <xf numFmtId="172" fontId="0" fillId="0" borderId="7" xfId="0" applyNumberFormat="1" applyBorder="1"/>
    <xf numFmtId="169" fontId="5" fillId="0" borderId="7" xfId="0" applyNumberFormat="1" applyFont="1" applyBorder="1"/>
    <xf numFmtId="0" fontId="0" fillId="0" borderId="41" xfId="0" applyBorder="1"/>
    <xf numFmtId="0" fontId="0" fillId="0" borderId="42" xfId="0" applyBorder="1"/>
    <xf numFmtId="172" fontId="5" fillId="0" borderId="38" xfId="0" applyNumberFormat="1" applyFont="1" applyBorder="1" applyAlignment="1">
      <alignment vertical="center" wrapText="1"/>
    </xf>
    <xf numFmtId="169" fontId="5" fillId="0" borderId="7" xfId="0" applyNumberFormat="1" applyFont="1" applyBorder="1" applyAlignment="1">
      <alignment horizontal="center"/>
    </xf>
    <xf numFmtId="0" fontId="20" fillId="0" borderId="7" xfId="0" applyFont="1" applyBorder="1"/>
    <xf numFmtId="167" fontId="4" fillId="0" borderId="5" xfId="0" applyNumberFormat="1" applyFont="1" applyBorder="1"/>
    <xf numFmtId="167" fontId="4" fillId="0" borderId="6" xfId="0" applyNumberFormat="1" applyFont="1" applyBorder="1"/>
    <xf numFmtId="9" fontId="4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13" fillId="0" borderId="50" xfId="0" applyFont="1" applyBorder="1" applyAlignment="1">
      <alignment readingOrder="1"/>
    </xf>
    <xf numFmtId="0" fontId="13" fillId="0" borderId="7" xfId="0" applyFont="1" applyBorder="1" applyAlignment="1">
      <alignment readingOrder="1"/>
    </xf>
    <xf numFmtId="3" fontId="13" fillId="0" borderId="7" xfId="0" applyNumberFormat="1" applyFont="1" applyBorder="1" applyAlignment="1">
      <alignment readingOrder="1"/>
    </xf>
    <xf numFmtId="0" fontId="13" fillId="0" borderId="52" xfId="0" applyFont="1" applyBorder="1" applyAlignment="1">
      <alignment readingOrder="1"/>
    </xf>
    <xf numFmtId="0" fontId="13" fillId="0" borderId="53" xfId="0" applyFont="1" applyBorder="1" applyAlignment="1">
      <alignment readingOrder="1"/>
    </xf>
    <xf numFmtId="0" fontId="13" fillId="0" borderId="54" xfId="0" applyFont="1" applyBorder="1" applyAlignment="1">
      <alignment readingOrder="1"/>
    </xf>
    <xf numFmtId="0" fontId="13" fillId="0" borderId="56" xfId="0" applyFont="1" applyBorder="1" applyAlignment="1">
      <alignment readingOrder="1"/>
    </xf>
    <xf numFmtId="0" fontId="13" fillId="0" borderId="57" xfId="0" applyFont="1" applyBorder="1" applyAlignment="1">
      <alignment readingOrder="1"/>
    </xf>
    <xf numFmtId="3" fontId="13" fillId="0" borderId="6" xfId="0" applyNumberFormat="1" applyFont="1" applyBorder="1" applyAlignment="1">
      <alignment readingOrder="1"/>
    </xf>
    <xf numFmtId="0" fontId="13" fillId="0" borderId="58" xfId="0" applyFont="1" applyBorder="1" applyAlignment="1">
      <alignment readingOrder="1"/>
    </xf>
    <xf numFmtId="0" fontId="13" fillId="0" borderId="40" xfId="0" applyFont="1" applyBorder="1" applyAlignment="1">
      <alignment readingOrder="1"/>
    </xf>
    <xf numFmtId="3" fontId="13" fillId="0" borderId="60" xfId="0" applyNumberFormat="1" applyFont="1" applyBorder="1" applyAlignment="1">
      <alignment readingOrder="1"/>
    </xf>
    <xf numFmtId="0" fontId="13" fillId="0" borderId="60" xfId="0" applyFont="1" applyBorder="1" applyAlignment="1">
      <alignment readingOrder="1"/>
    </xf>
    <xf numFmtId="3" fontId="13" fillId="0" borderId="62" xfId="0" applyNumberFormat="1" applyFont="1" applyBorder="1" applyAlignment="1">
      <alignment readingOrder="1"/>
    </xf>
    <xf numFmtId="0" fontId="13" fillId="0" borderId="63" xfId="0" applyFont="1" applyBorder="1" applyAlignment="1">
      <alignment readingOrder="1"/>
    </xf>
    <xf numFmtId="0" fontId="2" fillId="16" borderId="6" xfId="0" applyFont="1" applyFill="1" applyBorder="1" applyAlignment="1">
      <alignment horizontal="center"/>
    </xf>
    <xf numFmtId="173" fontId="0" fillId="0" borderId="65" xfId="1" applyNumberFormat="1" applyFont="1" applyBorder="1"/>
    <xf numFmtId="0" fontId="0" fillId="13" borderId="6" xfId="0" applyFill="1" applyBorder="1"/>
    <xf numFmtId="173" fontId="0" fillId="0" borderId="66" xfId="1" applyNumberFormat="1" applyFont="1" applyBorder="1"/>
    <xf numFmtId="173" fontId="0" fillId="0" borderId="6" xfId="1" applyNumberFormat="1" applyFont="1" applyBorder="1"/>
    <xf numFmtId="173" fontId="0" fillId="13" borderId="6" xfId="1" applyNumberFormat="1" applyFont="1" applyFill="1" applyBorder="1"/>
    <xf numFmtId="0" fontId="0" fillId="0" borderId="2" xfId="0" applyBorder="1"/>
    <xf numFmtId="173" fontId="0" fillId="0" borderId="16" xfId="1" applyNumberFormat="1" applyFont="1" applyBorder="1"/>
    <xf numFmtId="173" fontId="0" fillId="0" borderId="67" xfId="1" applyNumberFormat="1" applyFont="1" applyBorder="1"/>
    <xf numFmtId="173" fontId="0" fillId="0" borderId="4" xfId="1" applyNumberFormat="1" applyFont="1" applyBorder="1"/>
    <xf numFmtId="0" fontId="4" fillId="0" borderId="2" xfId="0" applyFont="1" applyBorder="1"/>
    <xf numFmtId="0" fontId="18" fillId="16" borderId="14" xfId="0" applyFont="1" applyFill="1" applyBorder="1" applyAlignment="1">
      <alignment horizontal="center" vertical="center" wrapText="1"/>
    </xf>
    <xf numFmtId="0" fontId="18" fillId="16" borderId="68" xfId="0" applyFont="1" applyFill="1" applyBorder="1" applyAlignment="1">
      <alignment horizontal="center" vertical="center" wrapText="1"/>
    </xf>
    <xf numFmtId="0" fontId="18" fillId="16" borderId="19" xfId="0" applyFont="1" applyFill="1" applyBorder="1" applyAlignment="1">
      <alignment horizontal="center" vertical="center" wrapText="1"/>
    </xf>
    <xf numFmtId="0" fontId="18" fillId="16" borderId="20" xfId="0" applyFont="1" applyFill="1" applyBorder="1" applyAlignment="1">
      <alignment horizontal="center" vertical="center" wrapText="1"/>
    </xf>
    <xf numFmtId="169" fontId="19" fillId="16" borderId="7" xfId="0" applyNumberFormat="1" applyFont="1" applyFill="1" applyBorder="1"/>
    <xf numFmtId="0" fontId="19" fillId="16" borderId="6" xfId="0" applyFont="1" applyFill="1" applyBorder="1"/>
    <xf numFmtId="169" fontId="19" fillId="16" borderId="6" xfId="0" applyNumberFormat="1" applyFont="1" applyFill="1" applyBorder="1"/>
    <xf numFmtId="0" fontId="0" fillId="0" borderId="64" xfId="0" applyBorder="1"/>
    <xf numFmtId="0" fontId="0" fillId="13" borderId="1" xfId="0" applyFill="1" applyBorder="1"/>
    <xf numFmtId="173" fontId="0" fillId="0" borderId="1" xfId="1" applyNumberFormat="1" applyFont="1" applyBorder="1"/>
    <xf numFmtId="169" fontId="0" fillId="0" borderId="69" xfId="0" applyNumberFormat="1" applyBorder="1"/>
    <xf numFmtId="0" fontId="19" fillId="0" borderId="7" xfId="0" applyFont="1" applyBorder="1"/>
    <xf numFmtId="168" fontId="19" fillId="16" borderId="6" xfId="0" applyNumberFormat="1" applyFont="1" applyFill="1" applyBorder="1"/>
    <xf numFmtId="169" fontId="19" fillId="16" borderId="1" xfId="0" applyNumberFormat="1" applyFont="1" applyFill="1" applyBorder="1"/>
    <xf numFmtId="168" fontId="19" fillId="0" borderId="7" xfId="0" applyNumberFormat="1" applyFont="1" applyBorder="1"/>
    <xf numFmtId="168" fontId="19" fillId="16" borderId="4" xfId="0" applyNumberFormat="1" applyFont="1" applyFill="1" applyBorder="1"/>
    <xf numFmtId="0" fontId="19" fillId="16" borderId="64" xfId="0" applyFont="1" applyFill="1" applyBorder="1"/>
    <xf numFmtId="0" fontId="19" fillId="16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5" fillId="6" borderId="2" xfId="0" applyFont="1" applyFill="1" applyBorder="1"/>
    <xf numFmtId="169" fontId="5" fillId="6" borderId="5" xfId="0" applyNumberFormat="1" applyFont="1" applyFill="1" applyBorder="1"/>
    <xf numFmtId="169" fontId="5" fillId="6" borderId="2" xfId="0" applyNumberFormat="1" applyFont="1" applyFill="1" applyBorder="1"/>
    <xf numFmtId="175" fontId="5" fillId="6" borderId="2" xfId="0" applyNumberFormat="1" applyFont="1" applyFill="1" applyBorder="1"/>
    <xf numFmtId="0" fontId="2" fillId="2" borderId="1" xfId="0" applyFont="1" applyFill="1" applyBorder="1" applyAlignment="1">
      <alignment horizontal="center"/>
    </xf>
    <xf numFmtId="169" fontId="4" fillId="0" borderId="5" xfId="0" applyNumberFormat="1" applyFont="1" applyBorder="1" applyAlignment="1">
      <alignment horizontal="center"/>
    </xf>
    <xf numFmtId="175" fontId="5" fillId="6" borderId="6" xfId="0" applyNumberFormat="1" applyFont="1" applyFill="1" applyBorder="1"/>
    <xf numFmtId="170" fontId="6" fillId="0" borderId="6" xfId="0" applyNumberFormat="1" applyFont="1" applyBorder="1" applyAlignment="1">
      <alignment horizontal="center"/>
    </xf>
    <xf numFmtId="166" fontId="11" fillId="0" borderId="6" xfId="0" applyNumberFormat="1" applyFont="1" applyBorder="1"/>
    <xf numFmtId="9" fontId="0" fillId="0" borderId="6" xfId="0" applyNumberFormat="1" applyBorder="1"/>
    <xf numFmtId="9" fontId="0" fillId="0" borderId="6" xfId="0" applyNumberFormat="1" applyBorder="1" applyAlignment="1">
      <alignment horizontal="center"/>
    </xf>
    <xf numFmtId="2" fontId="0" fillId="0" borderId="6" xfId="0" applyNumberFormat="1" applyBorder="1"/>
    <xf numFmtId="0" fontId="0" fillId="0" borderId="6" xfId="0" applyBorder="1" applyAlignment="1">
      <alignment horizontal="center"/>
    </xf>
    <xf numFmtId="10" fontId="23" fillId="16" borderId="6" xfId="0" applyNumberFormat="1" applyFont="1" applyFill="1" applyBorder="1"/>
    <xf numFmtId="0" fontId="2" fillId="16" borderId="23" xfId="0" applyFont="1" applyFill="1" applyBorder="1" applyAlignment="1">
      <alignment horizontal="center" vertical="center"/>
    </xf>
    <xf numFmtId="169" fontId="5" fillId="16" borderId="35" xfId="0" applyNumberFormat="1" applyFont="1" applyFill="1" applyBorder="1" applyAlignment="1">
      <alignment horizontal="center"/>
    </xf>
    <xf numFmtId="169" fontId="5" fillId="16" borderId="6" xfId="0" applyNumberFormat="1" applyFont="1" applyFill="1" applyBorder="1"/>
    <xf numFmtId="0" fontId="5" fillId="16" borderId="43" xfId="0" applyFont="1" applyFill="1" applyBorder="1" applyAlignment="1">
      <alignment vertical="center" wrapText="1"/>
    </xf>
    <xf numFmtId="172" fontId="5" fillId="16" borderId="37" xfId="0" applyNumberFormat="1" applyFont="1" applyFill="1" applyBorder="1" applyAlignment="1">
      <alignment vertical="center" wrapText="1"/>
    </xf>
    <xf numFmtId="0" fontId="20" fillId="15" borderId="24" xfId="0" applyFont="1" applyFill="1" applyBorder="1"/>
    <xf numFmtId="10" fontId="12" fillId="15" borderId="24" xfId="0" applyNumberFormat="1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wrapText="1"/>
    </xf>
    <xf numFmtId="167" fontId="12" fillId="15" borderId="16" xfId="0" applyNumberFormat="1" applyFont="1" applyFill="1" applyBorder="1"/>
    <xf numFmtId="167" fontId="12" fillId="15" borderId="18" xfId="0" applyNumberFormat="1" applyFont="1" applyFill="1" applyBorder="1"/>
    <xf numFmtId="0" fontId="15" fillId="16" borderId="15" xfId="0" applyFont="1" applyFill="1" applyBorder="1" applyAlignment="1">
      <alignment wrapText="1"/>
    </xf>
    <xf numFmtId="167" fontId="12" fillId="16" borderId="16" xfId="0" applyNumberFormat="1" applyFont="1" applyFill="1" applyBorder="1"/>
    <xf numFmtId="167" fontId="12" fillId="16" borderId="18" xfId="0" applyNumberFormat="1" applyFont="1" applyFill="1" applyBorder="1"/>
    <xf numFmtId="175" fontId="0" fillId="0" borderId="7" xfId="0" applyNumberForma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30" xfId="0" applyBorder="1" applyAlignment="1">
      <alignment horizontal="center"/>
    </xf>
    <xf numFmtId="175" fontId="0" fillId="0" borderId="40" xfId="0" applyNumberFormat="1" applyBorder="1"/>
    <xf numFmtId="0" fontId="5" fillId="2" borderId="6" xfId="0" applyFont="1" applyFill="1" applyBorder="1" applyAlignment="1">
      <alignment horizontal="center"/>
    </xf>
    <xf numFmtId="0" fontId="5" fillId="3" borderId="6" xfId="0" applyFont="1" applyFill="1" applyBorder="1"/>
    <xf numFmtId="169" fontId="5" fillId="3" borderId="6" xfId="0" applyNumberFormat="1" applyFont="1" applyFill="1" applyBorder="1" applyAlignment="1">
      <alignment horizontal="center"/>
    </xf>
    <xf numFmtId="0" fontId="1" fillId="0" borderId="0" xfId="0" applyFont="1"/>
    <xf numFmtId="176" fontId="0" fillId="0" borderId="0" xfId="1" applyNumberFormat="1" applyFont="1"/>
    <xf numFmtId="177" fontId="0" fillId="0" borderId="0" xfId="0" applyNumberFormat="1"/>
    <xf numFmtId="177" fontId="27" fillId="0" borderId="0" xfId="0" applyNumberFormat="1" applyFont="1"/>
    <xf numFmtId="9" fontId="0" fillId="0" borderId="0" xfId="0" applyNumberFormat="1"/>
    <xf numFmtId="10" fontId="0" fillId="0" borderId="0" xfId="3" applyNumberFormat="1" applyFont="1"/>
    <xf numFmtId="0" fontId="2" fillId="2" borderId="22" xfId="0" applyFont="1" applyFill="1" applyBorder="1" applyAlignment="1">
      <alignment horizontal="center"/>
    </xf>
    <xf numFmtId="0" fontId="2" fillId="17" borderId="22" xfId="0" applyFont="1" applyFill="1" applyBorder="1" applyAlignment="1">
      <alignment horizontal="center"/>
    </xf>
    <xf numFmtId="175" fontId="5" fillId="0" borderId="22" xfId="0" applyNumberFormat="1" applyFont="1" applyBorder="1"/>
    <xf numFmtId="0" fontId="0" fillId="0" borderId="22" xfId="0" applyBorder="1" applyAlignment="1">
      <alignment horizontal="left"/>
    </xf>
    <xf numFmtId="0" fontId="28" fillId="0" borderId="22" xfId="0" applyFont="1" applyBorder="1" applyAlignment="1">
      <alignment horizontal="left"/>
    </xf>
    <xf numFmtId="0" fontId="29" fillId="0" borderId="22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169" fontId="4" fillId="0" borderId="22" xfId="0" applyNumberFormat="1" applyFont="1" applyBorder="1" applyAlignment="1">
      <alignment horizontal="center"/>
    </xf>
    <xf numFmtId="0" fontId="4" fillId="0" borderId="22" xfId="0" applyFont="1" applyBorder="1"/>
    <xf numFmtId="0" fontId="0" fillId="0" borderId="22" xfId="0" applyBorder="1"/>
    <xf numFmtId="169" fontId="4" fillId="0" borderId="22" xfId="0" applyNumberFormat="1" applyFont="1" applyBorder="1"/>
    <xf numFmtId="176" fontId="0" fillId="0" borderId="22" xfId="1" applyNumberFormat="1" applyFont="1" applyFill="1" applyBorder="1"/>
    <xf numFmtId="175" fontId="5" fillId="18" borderId="22" xfId="0" applyNumberFormat="1" applyFont="1" applyFill="1" applyBorder="1"/>
    <xf numFmtId="0" fontId="29" fillId="18" borderId="22" xfId="0" applyFont="1" applyFill="1" applyBorder="1" applyAlignment="1">
      <alignment horizontal="center"/>
    </xf>
    <xf numFmtId="0" fontId="19" fillId="18" borderId="22" xfId="0" applyFont="1" applyFill="1" applyBorder="1" applyAlignment="1">
      <alignment horizontal="center"/>
    </xf>
    <xf numFmtId="176" fontId="19" fillId="18" borderId="22" xfId="0" applyNumberFormat="1" applyFont="1" applyFill="1" applyBorder="1"/>
    <xf numFmtId="177" fontId="19" fillId="18" borderId="22" xfId="0" applyNumberFormat="1" applyFont="1" applyFill="1" applyBorder="1"/>
    <xf numFmtId="0" fontId="4" fillId="19" borderId="6" xfId="0" applyFont="1" applyFill="1" applyBorder="1"/>
    <xf numFmtId="0" fontId="0" fillId="19" borderId="0" xfId="0" applyFill="1"/>
    <xf numFmtId="169" fontId="4" fillId="20" borderId="6" xfId="0" applyNumberFormat="1" applyFont="1" applyFill="1" applyBorder="1" applyAlignment="1">
      <alignment horizontal="center"/>
    </xf>
    <xf numFmtId="169" fontId="5" fillId="20" borderId="6" xfId="0" applyNumberFormat="1" applyFont="1" applyFill="1" applyBorder="1" applyAlignment="1">
      <alignment horizontal="center"/>
    </xf>
    <xf numFmtId="0" fontId="5" fillId="20" borderId="6" xfId="0" applyFont="1" applyFill="1" applyBorder="1"/>
    <xf numFmtId="0" fontId="0" fillId="20" borderId="0" xfId="0" applyFill="1"/>
    <xf numFmtId="0" fontId="4" fillId="20" borderId="6" xfId="0" applyFont="1" applyFill="1" applyBorder="1"/>
    <xf numFmtId="0" fontId="4" fillId="20" borderId="1" xfId="0" applyFont="1" applyFill="1" applyBorder="1"/>
    <xf numFmtId="169" fontId="4" fillId="20" borderId="4" xfId="0" applyNumberFormat="1" applyFont="1" applyFill="1" applyBorder="1" applyAlignment="1">
      <alignment horizontal="center"/>
    </xf>
    <xf numFmtId="0" fontId="1" fillId="20" borderId="0" xfId="0" applyFont="1" applyFill="1"/>
    <xf numFmtId="0" fontId="1" fillId="20" borderId="6" xfId="0" applyFont="1" applyFill="1" applyBorder="1"/>
    <xf numFmtId="0" fontId="26" fillId="0" borderId="0" xfId="0" applyFont="1"/>
    <xf numFmtId="0" fontId="0" fillId="21" borderId="0" xfId="0" applyFill="1"/>
    <xf numFmtId="169" fontId="4" fillId="21" borderId="6" xfId="0" applyNumberFormat="1" applyFont="1" applyFill="1" applyBorder="1" applyAlignment="1">
      <alignment horizontal="center"/>
    </xf>
    <xf numFmtId="0" fontId="0" fillId="21" borderId="7" xfId="0" applyFill="1" applyBorder="1"/>
    <xf numFmtId="167" fontId="17" fillId="0" borderId="18" xfId="0" applyNumberFormat="1" applyFont="1" applyBorder="1"/>
    <xf numFmtId="167" fontId="17" fillId="15" borderId="18" xfId="0" applyNumberFormat="1" applyFont="1" applyFill="1" applyBorder="1"/>
    <xf numFmtId="0" fontId="17" fillId="0" borderId="18" xfId="0" applyFont="1" applyBorder="1"/>
    <xf numFmtId="167" fontId="17" fillId="15" borderId="16" xfId="0" applyNumberFormat="1" applyFont="1" applyFill="1" applyBorder="1"/>
    <xf numFmtId="167" fontId="17" fillId="0" borderId="16" xfId="0" applyNumberFormat="1" applyFont="1" applyBorder="1"/>
    <xf numFmtId="0" fontId="15" fillId="21" borderId="15" xfId="0" applyFont="1" applyFill="1" applyBorder="1" applyAlignment="1">
      <alignment wrapText="1"/>
    </xf>
    <xf numFmtId="167" fontId="12" fillId="21" borderId="16" xfId="0" applyNumberFormat="1" applyFont="1" applyFill="1" applyBorder="1"/>
    <xf numFmtId="167" fontId="17" fillId="21" borderId="18" xfId="0" applyNumberFormat="1" applyFont="1" applyFill="1" applyBorder="1"/>
    <xf numFmtId="0" fontId="2" fillId="19" borderId="1" xfId="0" applyFont="1" applyFill="1" applyBorder="1" applyAlignment="1">
      <alignment horizontal="center" vertical="center"/>
    </xf>
    <xf numFmtId="0" fontId="12" fillId="19" borderId="7" xfId="0" applyFont="1" applyFill="1" applyBorder="1"/>
    <xf numFmtId="0" fontId="0" fillId="19" borderId="7" xfId="0" applyFill="1" applyBorder="1"/>
    <xf numFmtId="0" fontId="15" fillId="19" borderId="45" xfId="0" applyFont="1" applyFill="1" applyBorder="1" applyAlignment="1">
      <alignment wrapText="1"/>
    </xf>
    <xf numFmtId="0" fontId="15" fillId="19" borderId="46" xfId="0" applyFont="1" applyFill="1" applyBorder="1" applyAlignment="1">
      <alignment wrapText="1"/>
    </xf>
    <xf numFmtId="0" fontId="16" fillId="19" borderId="46" xfId="0" applyFont="1" applyFill="1" applyBorder="1" applyAlignment="1">
      <alignment wrapText="1"/>
    </xf>
    <xf numFmtId="0" fontId="15" fillId="19" borderId="47" xfId="0" applyFont="1" applyFill="1" applyBorder="1" applyAlignment="1">
      <alignment wrapText="1"/>
    </xf>
    <xf numFmtId="0" fontId="0" fillId="19" borderId="48" xfId="0" applyFill="1" applyBorder="1"/>
    <xf numFmtId="167" fontId="4" fillId="19" borderId="5" xfId="0" applyNumberFormat="1" applyFont="1" applyFill="1" applyBorder="1"/>
    <xf numFmtId="0" fontId="4" fillId="19" borderId="5" xfId="0" applyFont="1" applyFill="1" applyBorder="1"/>
    <xf numFmtId="167" fontId="4" fillId="19" borderId="49" xfId="0" applyNumberFormat="1" applyFont="1" applyFill="1" applyBorder="1"/>
    <xf numFmtId="0" fontId="4" fillId="19" borderId="30" xfId="0" applyFont="1" applyFill="1" applyBorder="1"/>
    <xf numFmtId="167" fontId="4" fillId="19" borderId="6" xfId="0" applyNumberFormat="1" applyFont="1" applyFill="1" applyBorder="1"/>
    <xf numFmtId="167" fontId="4" fillId="19" borderId="40" xfId="0" applyNumberFormat="1" applyFont="1" applyFill="1" applyBorder="1"/>
    <xf numFmtId="0" fontId="17" fillId="19" borderId="36" xfId="0" applyFont="1" applyFill="1" applyBorder="1"/>
    <xf numFmtId="167" fontId="4" fillId="19" borderId="37" xfId="0" applyNumberFormat="1" applyFont="1" applyFill="1" applyBorder="1"/>
    <xf numFmtId="0" fontId="4" fillId="19" borderId="37" xfId="0" applyFont="1" applyFill="1" applyBorder="1"/>
    <xf numFmtId="167" fontId="4" fillId="19" borderId="44" xfId="0" applyNumberFormat="1" applyFont="1" applyFill="1" applyBorder="1"/>
    <xf numFmtId="167" fontId="12" fillId="19" borderId="7" xfId="0" applyNumberFormat="1" applyFont="1" applyFill="1" applyBorder="1"/>
    <xf numFmtId="169" fontId="4" fillId="21" borderId="4" xfId="0" applyNumberFormat="1" applyFont="1" applyFill="1" applyBorder="1" applyAlignment="1">
      <alignment horizontal="center"/>
    </xf>
    <xf numFmtId="169" fontId="4" fillId="21" borderId="22" xfId="0" applyNumberFormat="1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/>
    </xf>
    <xf numFmtId="167" fontId="12" fillId="21" borderId="18" xfId="0" applyNumberFormat="1" applyFont="1" applyFill="1" applyBorder="1"/>
    <xf numFmtId="0" fontId="15" fillId="21" borderId="29" xfId="0" applyFont="1" applyFill="1" applyBorder="1" applyAlignment="1">
      <alignment wrapText="1"/>
    </xf>
    <xf numFmtId="167" fontId="12" fillId="21" borderId="31" xfId="0" applyNumberFormat="1" applyFont="1" applyFill="1" applyBorder="1"/>
    <xf numFmtId="167" fontId="12" fillId="21" borderId="33" xfId="0" applyNumberFormat="1" applyFont="1" applyFill="1" applyBorder="1"/>
    <xf numFmtId="0" fontId="0" fillId="21" borderId="27" xfId="0" applyFill="1" applyBorder="1"/>
    <xf numFmtId="167" fontId="17" fillId="21" borderId="33" xfId="0" applyNumberFormat="1" applyFont="1" applyFill="1" applyBorder="1"/>
    <xf numFmtId="167" fontId="17" fillId="21" borderId="16" xfId="0" applyNumberFormat="1" applyFont="1" applyFill="1" applyBorder="1"/>
    <xf numFmtId="0" fontId="12" fillId="21" borderId="7" xfId="0" applyFont="1" applyFill="1" applyBorder="1"/>
    <xf numFmtId="169" fontId="27" fillId="21" borderId="70" xfId="0" applyNumberFormat="1" applyFont="1" applyFill="1" applyBorder="1"/>
    <xf numFmtId="169" fontId="27" fillId="21" borderId="1" xfId="0" applyNumberFormat="1" applyFont="1" applyFill="1" applyBorder="1"/>
    <xf numFmtId="0" fontId="1" fillId="0" borderId="22" xfId="0" applyFont="1" applyBorder="1" applyAlignment="1">
      <alignment horizontal="left"/>
    </xf>
    <xf numFmtId="0" fontId="0" fillId="20" borderId="30" xfId="0" applyFill="1" applyBorder="1" applyAlignment="1">
      <alignment horizontal="center"/>
    </xf>
    <xf numFmtId="175" fontId="0" fillId="20" borderId="6" xfId="0" applyNumberFormat="1" applyFill="1" applyBorder="1"/>
    <xf numFmtId="175" fontId="0" fillId="20" borderId="40" xfId="0" applyNumberFormat="1" applyFill="1" applyBorder="1"/>
    <xf numFmtId="0" fontId="0" fillId="23" borderId="30" xfId="0" applyFill="1" applyBorder="1" applyAlignment="1">
      <alignment horizontal="center"/>
    </xf>
    <xf numFmtId="175" fontId="0" fillId="23" borderId="6" xfId="0" applyNumberFormat="1" applyFill="1" applyBorder="1"/>
    <xf numFmtId="175" fontId="0" fillId="23" borderId="40" xfId="0" applyNumberFormat="1" applyFill="1" applyBorder="1"/>
    <xf numFmtId="0" fontId="4" fillId="23" borderId="6" xfId="0" applyFont="1" applyFill="1" applyBorder="1"/>
    <xf numFmtId="169" fontId="4" fillId="23" borderId="6" xfId="0" applyNumberFormat="1" applyFont="1" applyFill="1" applyBorder="1" applyAlignment="1">
      <alignment horizontal="center"/>
    </xf>
    <xf numFmtId="0" fontId="0" fillId="23" borderId="0" xfId="0" applyFill="1"/>
    <xf numFmtId="177" fontId="0" fillId="0" borderId="7" xfId="0" applyNumberFormat="1" applyBorder="1"/>
    <xf numFmtId="169" fontId="4" fillId="23" borderId="22" xfId="0" applyNumberFormat="1" applyFont="1" applyFill="1" applyBorder="1" applyAlignment="1">
      <alignment horizontal="center"/>
    </xf>
    <xf numFmtId="176" fontId="0" fillId="21" borderId="22" xfId="1" applyNumberFormat="1" applyFont="1" applyFill="1" applyBorder="1"/>
    <xf numFmtId="175" fontId="19" fillId="0" borderId="7" xfId="0" applyNumberFormat="1" applyFont="1" applyBorder="1"/>
    <xf numFmtId="0" fontId="0" fillId="26" borderId="30" xfId="0" applyFill="1" applyBorder="1" applyAlignment="1">
      <alignment horizontal="center"/>
    </xf>
    <xf numFmtId="175" fontId="0" fillId="26" borderId="6" xfId="0" applyNumberFormat="1" applyFill="1" applyBorder="1"/>
    <xf numFmtId="175" fontId="0" fillId="26" borderId="40" xfId="0" applyNumberFormat="1" applyFill="1" applyBorder="1"/>
    <xf numFmtId="0" fontId="0" fillId="27" borderId="30" xfId="0" applyFill="1" applyBorder="1" applyAlignment="1">
      <alignment horizontal="center"/>
    </xf>
    <xf numFmtId="175" fontId="0" fillId="27" borderId="6" xfId="0" applyNumberFormat="1" applyFill="1" applyBorder="1"/>
    <xf numFmtId="175" fontId="0" fillId="27" borderId="40" xfId="0" applyNumberFormat="1" applyFill="1" applyBorder="1"/>
    <xf numFmtId="169" fontId="4" fillId="24" borderId="22" xfId="0" applyNumberFormat="1" applyFont="1" applyFill="1" applyBorder="1" applyAlignment="1">
      <alignment horizontal="center"/>
    </xf>
    <xf numFmtId="175" fontId="19" fillId="23" borderId="85" xfId="0" applyNumberFormat="1" applyFont="1" applyFill="1" applyBorder="1"/>
    <xf numFmtId="175" fontId="19" fillId="23" borderId="7" xfId="0" applyNumberFormat="1" applyFont="1" applyFill="1" applyBorder="1"/>
    <xf numFmtId="169" fontId="4" fillId="0" borderId="90" xfId="0" applyNumberFormat="1" applyFont="1" applyBorder="1" applyAlignment="1">
      <alignment horizontal="center"/>
    </xf>
    <xf numFmtId="0" fontId="4" fillId="0" borderId="89" xfId="0" applyFont="1" applyBorder="1"/>
    <xf numFmtId="169" fontId="4" fillId="0" borderId="90" xfId="0" applyNumberFormat="1" applyFont="1" applyBorder="1"/>
    <xf numFmtId="0" fontId="5" fillId="0" borderId="89" xfId="0" applyFont="1" applyBorder="1"/>
    <xf numFmtId="175" fontId="5" fillId="22" borderId="22" xfId="0" applyNumberFormat="1" applyFont="1" applyFill="1" applyBorder="1"/>
    <xf numFmtId="175" fontId="5" fillId="22" borderId="90" xfId="0" applyNumberFormat="1" applyFont="1" applyFill="1" applyBorder="1"/>
    <xf numFmtId="0" fontId="30" fillId="22" borderId="82" xfId="0" applyFont="1" applyFill="1" applyBorder="1" applyAlignment="1">
      <alignment horizontal="center"/>
    </xf>
    <xf numFmtId="175" fontId="19" fillId="22" borderId="22" xfId="0" applyNumberFormat="1" applyFont="1" applyFill="1" applyBorder="1"/>
    <xf numFmtId="169" fontId="5" fillId="22" borderId="22" xfId="0" applyNumberFormat="1" applyFont="1" applyFill="1" applyBorder="1"/>
    <xf numFmtId="169" fontId="5" fillId="22" borderId="90" xfId="0" applyNumberFormat="1" applyFont="1" applyFill="1" applyBorder="1"/>
    <xf numFmtId="169" fontId="2" fillId="22" borderId="92" xfId="0" applyNumberFormat="1" applyFont="1" applyFill="1" applyBorder="1"/>
    <xf numFmtId="175" fontId="19" fillId="22" borderId="90" xfId="0" applyNumberFormat="1" applyFont="1" applyFill="1" applyBorder="1"/>
    <xf numFmtId="0" fontId="30" fillId="22" borderId="83" xfId="0" applyFont="1" applyFill="1" applyBorder="1" applyAlignment="1">
      <alignment horizontal="center"/>
    </xf>
    <xf numFmtId="169" fontId="2" fillId="22" borderId="93" xfId="0" applyNumberFormat="1" applyFont="1" applyFill="1" applyBorder="1"/>
    <xf numFmtId="0" fontId="2" fillId="2" borderId="66" xfId="0" applyFont="1" applyFill="1" applyBorder="1" applyAlignment="1">
      <alignment horizontal="center"/>
    </xf>
    <xf numFmtId="0" fontId="5" fillId="22" borderId="97" xfId="0" applyFont="1" applyFill="1" applyBorder="1"/>
    <xf numFmtId="0" fontId="0" fillId="16" borderId="0" xfId="0" applyFill="1"/>
    <xf numFmtId="0" fontId="0" fillId="16" borderId="7" xfId="0" applyFill="1" applyBorder="1"/>
    <xf numFmtId="169" fontId="5" fillId="16" borderId="22" xfId="0" applyNumberFormat="1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174" fontId="4" fillId="0" borderId="22" xfId="0" applyNumberFormat="1" applyFont="1" applyBorder="1" applyAlignment="1">
      <alignment horizontal="center"/>
    </xf>
    <xf numFmtId="0" fontId="5" fillId="16" borderId="86" xfId="0" applyFont="1" applyFill="1" applyBorder="1"/>
    <xf numFmtId="169" fontId="5" fillId="16" borderId="87" xfId="0" applyNumberFormat="1" applyFont="1" applyFill="1" applyBorder="1" applyAlignment="1">
      <alignment horizontal="center"/>
    </xf>
    <xf numFmtId="169" fontId="5" fillId="16" borderId="88" xfId="0" applyNumberFormat="1" applyFont="1" applyFill="1" applyBorder="1" applyAlignment="1">
      <alignment horizontal="center"/>
    </xf>
    <xf numFmtId="0" fontId="0" fillId="0" borderId="89" xfId="0" applyBorder="1"/>
    <xf numFmtId="0" fontId="4" fillId="0" borderId="90" xfId="0" applyFont="1" applyBorder="1" applyAlignment="1">
      <alignment horizontal="center"/>
    </xf>
    <xf numFmtId="0" fontId="5" fillId="16" borderId="89" xfId="0" applyFont="1" applyFill="1" applyBorder="1"/>
    <xf numFmtId="169" fontId="5" fillId="16" borderId="90" xfId="0" applyNumberFormat="1" applyFont="1" applyFill="1" applyBorder="1" applyAlignment="1">
      <alignment horizontal="center"/>
    </xf>
    <xf numFmtId="0" fontId="2" fillId="16" borderId="91" xfId="0" applyFont="1" applyFill="1" applyBorder="1"/>
    <xf numFmtId="169" fontId="2" fillId="16" borderId="92" xfId="0" applyNumberFormat="1" applyFont="1" applyFill="1" applyBorder="1" applyAlignment="1">
      <alignment horizontal="center"/>
    </xf>
    <xf numFmtId="169" fontId="2" fillId="16" borderId="93" xfId="0" applyNumberFormat="1" applyFont="1" applyFill="1" applyBorder="1" applyAlignment="1">
      <alignment horizontal="center"/>
    </xf>
    <xf numFmtId="169" fontId="4" fillId="0" borderId="1" xfId="0" applyNumberFormat="1" applyFont="1" applyBorder="1" applyAlignment="1">
      <alignment horizontal="center"/>
    </xf>
    <xf numFmtId="0" fontId="31" fillId="18" borderId="22" xfId="0" applyFont="1" applyFill="1" applyBorder="1" applyAlignment="1">
      <alignment horizontal="center"/>
    </xf>
    <xf numFmtId="169" fontId="4" fillId="20" borderId="22" xfId="0" applyNumberFormat="1" applyFont="1" applyFill="1" applyBorder="1" applyAlignment="1">
      <alignment horizontal="center"/>
    </xf>
    <xf numFmtId="168" fontId="0" fillId="20" borderId="0" xfId="0" applyNumberFormat="1" applyFill="1"/>
    <xf numFmtId="176" fontId="0" fillId="20" borderId="22" xfId="1" applyNumberFormat="1" applyFont="1" applyFill="1" applyBorder="1"/>
    <xf numFmtId="0" fontId="17" fillId="0" borderId="7" xfId="0" applyFont="1" applyBorder="1"/>
    <xf numFmtId="167" fontId="0" fillId="0" borderId="0" xfId="0" applyNumberFormat="1"/>
    <xf numFmtId="167" fontId="19" fillId="0" borderId="0" xfId="0" applyNumberFormat="1" applyFont="1"/>
    <xf numFmtId="169" fontId="5" fillId="16" borderId="65" xfId="0" applyNumberFormat="1" applyFont="1" applyFill="1" applyBorder="1" applyAlignment="1">
      <alignment horizontal="center"/>
    </xf>
    <xf numFmtId="169" fontId="4" fillId="0" borderId="21" xfId="0" applyNumberFormat="1" applyFont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8" fontId="0" fillId="23" borderId="0" xfId="0" applyNumberFormat="1" applyFill="1"/>
    <xf numFmtId="167" fontId="0" fillId="23" borderId="0" xfId="0" applyNumberFormat="1" applyFill="1"/>
    <xf numFmtId="168" fontId="0" fillId="21" borderId="0" xfId="0" applyNumberFormat="1" applyFill="1"/>
    <xf numFmtId="168" fontId="0" fillId="0" borderId="0" xfId="0" applyNumberFormat="1"/>
    <xf numFmtId="169" fontId="4" fillId="28" borderId="22" xfId="0" applyNumberFormat="1" applyFont="1" applyFill="1" applyBorder="1" applyAlignment="1">
      <alignment horizontal="center"/>
    </xf>
    <xf numFmtId="168" fontId="0" fillId="28" borderId="0" xfId="0" applyNumberFormat="1" applyFill="1"/>
    <xf numFmtId="0" fontId="0" fillId="28" borderId="0" xfId="0" applyFill="1"/>
    <xf numFmtId="0" fontId="32" fillId="0" borderId="22" xfId="0" applyFont="1" applyBorder="1"/>
    <xf numFmtId="0" fontId="27" fillId="0" borderId="0" xfId="0" applyFont="1"/>
    <xf numFmtId="169" fontId="4" fillId="25" borderId="22" xfId="0" applyNumberFormat="1" applyFont="1" applyFill="1" applyBorder="1" applyAlignment="1">
      <alignment horizontal="center"/>
    </xf>
    <xf numFmtId="175" fontId="0" fillId="24" borderId="0" xfId="1" applyNumberFormat="1" applyFont="1" applyFill="1"/>
    <xf numFmtId="169" fontId="4" fillId="29" borderId="22" xfId="0" applyNumberFormat="1" applyFont="1" applyFill="1" applyBorder="1" applyAlignment="1">
      <alignment horizontal="center"/>
    </xf>
    <xf numFmtId="176" fontId="0" fillId="23" borderId="0" xfId="1" applyNumberFormat="1" applyFont="1" applyFill="1"/>
    <xf numFmtId="176" fontId="0" fillId="20" borderId="0" xfId="1" applyNumberFormat="1" applyFont="1" applyFill="1"/>
    <xf numFmtId="176" fontId="0" fillId="0" borderId="0" xfId="1" applyNumberFormat="1" applyFont="1" applyFill="1"/>
    <xf numFmtId="169" fontId="4" fillId="30" borderId="22" xfId="0" applyNumberFormat="1" applyFont="1" applyFill="1" applyBorder="1" applyAlignment="1">
      <alignment horizontal="center"/>
    </xf>
    <xf numFmtId="176" fontId="0" fillId="30" borderId="22" xfId="1" applyNumberFormat="1" applyFont="1" applyFill="1" applyBorder="1"/>
    <xf numFmtId="0" fontId="28" fillId="0" borderId="0" xfId="0" applyFont="1"/>
    <xf numFmtId="0" fontId="34" fillId="17" borderId="22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5" fillId="18" borderId="22" xfId="0" applyFont="1" applyFill="1" applyBorder="1" applyAlignment="1">
      <alignment horizontal="center"/>
    </xf>
    <xf numFmtId="175" fontId="33" fillId="18" borderId="22" xfId="0" applyNumberFormat="1" applyFont="1" applyFill="1" applyBorder="1"/>
    <xf numFmtId="168" fontId="28" fillId="20" borderId="0" xfId="0" applyNumberFormat="1" applyFont="1" applyFill="1"/>
    <xf numFmtId="0" fontId="28" fillId="20" borderId="0" xfId="0" applyFont="1" applyFill="1"/>
    <xf numFmtId="176" fontId="28" fillId="28" borderId="0" xfId="1" applyNumberFormat="1" applyFont="1" applyFill="1"/>
    <xf numFmtId="176" fontId="28" fillId="21" borderId="0" xfId="1" applyNumberFormat="1" applyFont="1" applyFill="1"/>
    <xf numFmtId="0" fontId="29" fillId="0" borderId="0" xfId="0" applyFont="1"/>
    <xf numFmtId="176" fontId="28" fillId="23" borderId="0" xfId="1" applyNumberFormat="1" applyFont="1" applyFill="1"/>
    <xf numFmtId="176" fontId="28" fillId="20" borderId="0" xfId="1" applyNumberFormat="1" applyFont="1" applyFill="1"/>
    <xf numFmtId="176" fontId="28" fillId="0" borderId="0" xfId="1" applyNumberFormat="1" applyFont="1" applyFill="1"/>
    <xf numFmtId="169" fontId="33" fillId="18" borderId="22" xfId="0" applyNumberFormat="1" applyFont="1" applyFill="1" applyBorder="1" applyAlignment="1">
      <alignment horizontal="center"/>
    </xf>
    <xf numFmtId="168" fontId="28" fillId="21" borderId="0" xfId="0" applyNumberFormat="1" applyFont="1" applyFill="1"/>
    <xf numFmtId="0" fontId="28" fillId="21" borderId="0" xfId="0" applyFont="1" applyFill="1"/>
    <xf numFmtId="0" fontId="28" fillId="0" borderId="22" xfId="0" applyFont="1" applyBorder="1"/>
    <xf numFmtId="169" fontId="33" fillId="0" borderId="22" xfId="0" applyNumberFormat="1" applyFont="1" applyBorder="1"/>
    <xf numFmtId="176" fontId="28" fillId="0" borderId="22" xfId="1" applyNumberFormat="1" applyFont="1" applyFill="1" applyBorder="1"/>
    <xf numFmtId="176" fontId="29" fillId="18" borderId="22" xfId="0" applyNumberFormat="1" applyFont="1" applyFill="1" applyBorder="1"/>
    <xf numFmtId="177" fontId="29" fillId="18" borderId="22" xfId="0" applyNumberFormat="1" applyFont="1" applyFill="1" applyBorder="1"/>
    <xf numFmtId="176" fontId="28" fillId="0" borderId="0" xfId="1" applyNumberFormat="1" applyFont="1"/>
    <xf numFmtId="0" fontId="33" fillId="22" borderId="2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76" fontId="0" fillId="20" borderId="84" xfId="1" applyNumberFormat="1" applyFont="1" applyFill="1" applyBorder="1"/>
    <xf numFmtId="176" fontId="0" fillId="20" borderId="101" xfId="1" applyNumberFormat="1" applyFont="1" applyFill="1" applyBorder="1"/>
    <xf numFmtId="176" fontId="19" fillId="0" borderId="0" xfId="1" applyNumberFormat="1" applyFont="1"/>
    <xf numFmtId="177" fontId="29" fillId="23" borderId="0" xfId="0" applyNumberFormat="1" applyFont="1" applyFill="1"/>
    <xf numFmtId="176" fontId="0" fillId="31" borderId="0" xfId="1" applyNumberFormat="1" applyFont="1" applyFill="1"/>
    <xf numFmtId="176" fontId="0" fillId="27" borderId="0" xfId="1" applyNumberFormat="1" applyFont="1" applyFill="1"/>
    <xf numFmtId="176" fontId="0" fillId="32" borderId="0" xfId="1" applyNumberFormat="1" applyFont="1" applyFill="1"/>
    <xf numFmtId="0" fontId="0" fillId="20" borderId="7" xfId="0" applyFill="1" applyBorder="1"/>
    <xf numFmtId="168" fontId="0" fillId="20" borderId="22" xfId="0" applyNumberFormat="1" applyFill="1" applyBorder="1"/>
    <xf numFmtId="176" fontId="0" fillId="28" borderId="22" xfId="1" applyNumberFormat="1" applyFont="1" applyFill="1" applyBorder="1"/>
    <xf numFmtId="176" fontId="0" fillId="23" borderId="22" xfId="1" applyNumberFormat="1" applyFont="1" applyFill="1" applyBorder="1"/>
    <xf numFmtId="0" fontId="19" fillId="0" borderId="89" xfId="0" applyFont="1" applyBorder="1" applyAlignment="1">
      <alignment horizontal="center"/>
    </xf>
    <xf numFmtId="0" fontId="19" fillId="0" borderId="90" xfId="0" applyFont="1" applyBorder="1" applyAlignment="1">
      <alignment horizontal="center"/>
    </xf>
    <xf numFmtId="168" fontId="0" fillId="20" borderId="89" xfId="0" applyNumberFormat="1" applyFill="1" applyBorder="1"/>
    <xf numFmtId="168" fontId="0" fillId="20" borderId="90" xfId="0" applyNumberFormat="1" applyFill="1" applyBorder="1"/>
    <xf numFmtId="176" fontId="0" fillId="28" borderId="89" xfId="1" applyNumberFormat="1" applyFont="1" applyFill="1" applyBorder="1"/>
    <xf numFmtId="176" fontId="0" fillId="28" borderId="90" xfId="1" applyNumberFormat="1" applyFont="1" applyFill="1" applyBorder="1"/>
    <xf numFmtId="176" fontId="0" fillId="21" borderId="89" xfId="1" applyNumberFormat="1" applyFont="1" applyFill="1" applyBorder="1"/>
    <xf numFmtId="176" fontId="0" fillId="21" borderId="90" xfId="1" applyNumberFormat="1" applyFont="1" applyFill="1" applyBorder="1"/>
    <xf numFmtId="176" fontId="0" fillId="23" borderId="89" xfId="1" applyNumberFormat="1" applyFont="1" applyFill="1" applyBorder="1"/>
    <xf numFmtId="176" fontId="0" fillId="23" borderId="90" xfId="1" applyNumberFormat="1" applyFont="1" applyFill="1" applyBorder="1"/>
    <xf numFmtId="176" fontId="0" fillId="20" borderId="89" xfId="1" applyNumberFormat="1" applyFont="1" applyFill="1" applyBorder="1"/>
    <xf numFmtId="176" fontId="0" fillId="20" borderId="90" xfId="1" applyNumberFormat="1" applyFont="1" applyFill="1" applyBorder="1"/>
    <xf numFmtId="176" fontId="0" fillId="0" borderId="89" xfId="1" applyNumberFormat="1" applyFont="1" applyFill="1" applyBorder="1"/>
    <xf numFmtId="176" fontId="0" fillId="0" borderId="90" xfId="1" applyNumberFormat="1" applyFont="1" applyFill="1" applyBorder="1"/>
    <xf numFmtId="176" fontId="0" fillId="0" borderId="91" xfId="1" applyNumberFormat="1" applyFont="1" applyFill="1" applyBorder="1"/>
    <xf numFmtId="176" fontId="0" fillId="0" borderId="92" xfId="1" applyNumberFormat="1" applyFont="1" applyFill="1" applyBorder="1"/>
    <xf numFmtId="176" fontId="0" fillId="0" borderId="93" xfId="1" applyNumberFormat="1" applyFont="1" applyFill="1" applyBorder="1"/>
    <xf numFmtId="168" fontId="28" fillId="0" borderId="0" xfId="0" applyNumberFormat="1" applyFont="1"/>
    <xf numFmtId="0" fontId="0" fillId="18" borderId="30" xfId="0" applyFill="1" applyBorder="1" applyAlignment="1">
      <alignment horizontal="center"/>
    </xf>
    <xf numFmtId="175" fontId="0" fillId="18" borderId="6" xfId="0" applyNumberFormat="1" applyFill="1" applyBorder="1"/>
    <xf numFmtId="175" fontId="0" fillId="18" borderId="40" xfId="0" applyNumberFormat="1" applyFill="1" applyBorder="1"/>
    <xf numFmtId="0" fontId="0" fillId="18" borderId="36" xfId="0" applyFill="1" applyBorder="1" applyAlignment="1">
      <alignment horizontal="center"/>
    </xf>
    <xf numFmtId="175" fontId="0" fillId="18" borderId="1" xfId="0" applyNumberFormat="1" applyFill="1" applyBorder="1"/>
    <xf numFmtId="175" fontId="0" fillId="18" borderId="37" xfId="0" applyNumberFormat="1" applyFill="1" applyBorder="1"/>
    <xf numFmtId="175" fontId="0" fillId="18" borderId="44" xfId="0" applyNumberFormat="1" applyFill="1" applyBorder="1"/>
    <xf numFmtId="0" fontId="4" fillId="0" borderId="7" xfId="0" applyFont="1" applyBorder="1"/>
    <xf numFmtId="169" fontId="4" fillId="0" borderId="98" xfId="0" applyNumberFormat="1" applyFont="1" applyBorder="1" applyAlignment="1">
      <alignment horizontal="center"/>
    </xf>
    <xf numFmtId="169" fontId="4" fillId="0" borderId="66" xfId="0" applyNumberFormat="1" applyFont="1" applyBorder="1" applyAlignment="1">
      <alignment horizontal="center"/>
    </xf>
    <xf numFmtId="169" fontId="0" fillId="0" borderId="0" xfId="0" applyNumberFormat="1"/>
    <xf numFmtId="169" fontId="4" fillId="0" borderId="100" xfId="0" applyNumberFormat="1" applyFont="1" applyBorder="1" applyAlignment="1">
      <alignment horizontal="center"/>
    </xf>
    <xf numFmtId="169" fontId="4" fillId="0" borderId="99" xfId="0" applyNumberFormat="1" applyFont="1" applyBorder="1" applyAlignment="1">
      <alignment horizontal="center"/>
    </xf>
    <xf numFmtId="169" fontId="4" fillId="0" borderId="4" xfId="0" applyNumberFormat="1" applyFont="1" applyBorder="1" applyAlignment="1">
      <alignment horizontal="center"/>
    </xf>
    <xf numFmtId="167" fontId="5" fillId="0" borderId="37" xfId="0" applyNumberFormat="1" applyFont="1" applyBorder="1"/>
    <xf numFmtId="0" fontId="4" fillId="23" borderId="7" xfId="0" applyFont="1" applyFill="1" applyBorder="1"/>
    <xf numFmtId="175" fontId="4" fillId="0" borderId="22" xfId="0" applyNumberFormat="1" applyFont="1" applyBorder="1"/>
    <xf numFmtId="169" fontId="3" fillId="0" borderId="22" xfId="0" applyNumberFormat="1" applyFont="1" applyBorder="1" applyAlignment="1">
      <alignment horizontal="center"/>
    </xf>
    <xf numFmtId="175" fontId="4" fillId="0" borderId="90" xfId="0" applyNumberFormat="1" applyFont="1" applyBorder="1"/>
    <xf numFmtId="0" fontId="5" fillId="22" borderId="89" xfId="0" applyFont="1" applyFill="1" applyBorder="1"/>
    <xf numFmtId="175" fontId="4" fillId="23" borderId="22" xfId="0" applyNumberFormat="1" applyFont="1" applyFill="1" applyBorder="1"/>
    <xf numFmtId="175" fontId="4" fillId="25" borderId="22" xfId="0" applyNumberFormat="1" applyFont="1" applyFill="1" applyBorder="1"/>
    <xf numFmtId="175" fontId="4" fillId="30" borderId="22" xfId="0" applyNumberFormat="1" applyFont="1" applyFill="1" applyBorder="1"/>
    <xf numFmtId="175" fontId="4" fillId="20" borderId="22" xfId="0" applyNumberFormat="1" applyFont="1" applyFill="1" applyBorder="1"/>
    <xf numFmtId="175" fontId="4" fillId="24" borderId="22" xfId="0" applyNumberFormat="1" applyFont="1" applyFill="1" applyBorder="1"/>
    <xf numFmtId="175" fontId="3" fillId="26" borderId="22" xfId="0" applyNumberFormat="1" applyFont="1" applyFill="1" applyBorder="1"/>
    <xf numFmtId="175" fontId="3" fillId="25" borderId="22" xfId="0" applyNumberFormat="1" applyFont="1" applyFill="1" applyBorder="1"/>
    <xf numFmtId="175" fontId="3" fillId="29" borderId="22" xfId="0" applyNumberFormat="1" applyFont="1" applyFill="1" applyBorder="1"/>
    <xf numFmtId="175" fontId="3" fillId="20" borderId="22" xfId="0" applyNumberFormat="1" applyFont="1" applyFill="1" applyBorder="1"/>
    <xf numFmtId="175" fontId="4" fillId="29" borderId="22" xfId="0" applyNumberFormat="1" applyFont="1" applyFill="1" applyBorder="1"/>
    <xf numFmtId="0" fontId="5" fillId="0" borderId="22" xfId="0" applyFont="1" applyBorder="1" applyAlignment="1">
      <alignment horizontal="center"/>
    </xf>
    <xf numFmtId="169" fontId="5" fillId="18" borderId="22" xfId="0" applyNumberFormat="1" applyFont="1" applyFill="1" applyBorder="1" applyAlignment="1">
      <alignment horizontal="center"/>
    </xf>
    <xf numFmtId="0" fontId="4" fillId="20" borderId="22" xfId="0" applyFont="1" applyFill="1" applyBorder="1"/>
    <xf numFmtId="0" fontId="4" fillId="28" borderId="22" xfId="0" applyFont="1" applyFill="1" applyBorder="1"/>
    <xf numFmtId="0" fontId="4" fillId="28" borderId="66" xfId="0" applyFont="1" applyFill="1" applyBorder="1"/>
    <xf numFmtId="0" fontId="4" fillId="21" borderId="22" xfId="0" applyFont="1" applyFill="1" applyBorder="1"/>
    <xf numFmtId="0" fontId="4" fillId="21" borderId="66" xfId="0" applyFont="1" applyFill="1" applyBorder="1"/>
    <xf numFmtId="0" fontId="4" fillId="23" borderId="22" xfId="0" applyFont="1" applyFill="1" applyBorder="1"/>
    <xf numFmtId="0" fontId="4" fillId="23" borderId="66" xfId="0" applyFont="1" applyFill="1" applyBorder="1"/>
    <xf numFmtId="0" fontId="4" fillId="20" borderId="66" xfId="0" applyFont="1" applyFill="1" applyBorder="1"/>
    <xf numFmtId="0" fontId="4" fillId="0" borderId="66" xfId="0" applyFont="1" applyBorder="1"/>
    <xf numFmtId="169" fontId="5" fillId="0" borderId="22" xfId="0" applyNumberFormat="1" applyFont="1" applyBorder="1" applyAlignment="1">
      <alignment horizontal="center"/>
    </xf>
    <xf numFmtId="169" fontId="5" fillId="0" borderId="90" xfId="0" applyNumberFormat="1" applyFont="1" applyBorder="1" applyAlignment="1">
      <alignment horizontal="center"/>
    </xf>
    <xf numFmtId="0" fontId="4" fillId="0" borderId="82" xfId="0" applyFont="1" applyBorder="1"/>
    <xf numFmtId="0" fontId="4" fillId="0" borderId="7" xfId="0" applyFont="1" applyBorder="1" applyAlignment="1">
      <alignment readingOrder="1"/>
    </xf>
    <xf numFmtId="164" fontId="4" fillId="0" borderId="7" xfId="0" applyNumberFormat="1" applyFont="1" applyBorder="1" applyAlignment="1">
      <alignment readingOrder="1"/>
    </xf>
    <xf numFmtId="0" fontId="5" fillId="0" borderId="7" xfId="0" applyFont="1" applyBorder="1" applyAlignment="1">
      <alignment readingOrder="1"/>
    </xf>
    <xf numFmtId="9" fontId="4" fillId="0" borderId="7" xfId="0" applyNumberFormat="1" applyFont="1" applyBorder="1" applyAlignment="1">
      <alignment readingOrder="1"/>
    </xf>
    <xf numFmtId="1" fontId="4" fillId="0" borderId="7" xfId="0" applyNumberFormat="1" applyFont="1" applyBorder="1" applyAlignment="1">
      <alignment readingOrder="1"/>
    </xf>
    <xf numFmtId="10" fontId="4" fillId="0" borderId="7" xfId="0" applyNumberFormat="1" applyFont="1" applyBorder="1" applyAlignment="1">
      <alignment readingOrder="1"/>
    </xf>
    <xf numFmtId="3" fontId="4" fillId="0" borderId="7" xfId="0" applyNumberFormat="1" applyFont="1" applyBorder="1" applyAlignment="1">
      <alignment readingOrder="1"/>
    </xf>
    <xf numFmtId="172" fontId="4" fillId="0" borderId="7" xfId="0" applyNumberFormat="1" applyFont="1" applyBorder="1" applyAlignment="1">
      <alignment readingOrder="1"/>
    </xf>
    <xf numFmtId="0" fontId="4" fillId="0" borderId="61" xfId="0" applyFont="1" applyBorder="1" applyAlignment="1">
      <alignment readingOrder="1"/>
    </xf>
    <xf numFmtId="0" fontId="4" fillId="0" borderId="30" xfId="0" applyFont="1" applyBorder="1" applyAlignment="1">
      <alignment readingOrder="1"/>
    </xf>
    <xf numFmtId="9" fontId="4" fillId="0" borderId="40" xfId="0" applyNumberFormat="1" applyFont="1" applyBorder="1" applyAlignment="1">
      <alignment readingOrder="1"/>
    </xf>
    <xf numFmtId="1" fontId="4" fillId="0" borderId="6" xfId="0" applyNumberFormat="1" applyFont="1" applyBorder="1" applyAlignment="1">
      <alignment readingOrder="1"/>
    </xf>
    <xf numFmtId="10" fontId="4" fillId="0" borderId="40" xfId="0" applyNumberFormat="1" applyFont="1" applyBorder="1" applyAlignment="1">
      <alignment readingOrder="1"/>
    </xf>
    <xf numFmtId="0" fontId="4" fillId="0" borderId="36" xfId="0" applyFont="1" applyBorder="1" applyAlignment="1">
      <alignment readingOrder="1"/>
    </xf>
    <xf numFmtId="1" fontId="5" fillId="11" borderId="36" xfId="0" applyNumberFormat="1" applyFont="1" applyFill="1" applyBorder="1" applyAlignment="1">
      <alignment readingOrder="1"/>
    </xf>
    <xf numFmtId="0" fontId="5" fillId="11" borderId="36" xfId="0" applyFont="1" applyFill="1" applyBorder="1" applyAlignment="1">
      <alignment readingOrder="1"/>
    </xf>
    <xf numFmtId="164" fontId="4" fillId="0" borderId="7" xfId="0" applyNumberFormat="1" applyFont="1" applyBorder="1" applyAlignment="1">
      <alignment horizontal="center" vertical="center" readingOrder="1"/>
    </xf>
    <xf numFmtId="175" fontId="5" fillId="11" borderId="36" xfId="0" applyNumberFormat="1" applyFont="1" applyFill="1" applyBorder="1" applyAlignment="1">
      <alignment readingOrder="1"/>
    </xf>
    <xf numFmtId="0" fontId="4" fillId="0" borderId="7" xfId="0" applyFont="1" applyBorder="1" applyAlignment="1">
      <alignment horizontal="center" readingOrder="1"/>
    </xf>
    <xf numFmtId="164" fontId="4" fillId="0" borderId="7" xfId="0" applyNumberFormat="1" applyFont="1" applyBorder="1" applyAlignment="1">
      <alignment horizontal="center" readingOrder="1"/>
    </xf>
    <xf numFmtId="0" fontId="4" fillId="0" borderId="6" xfId="0" applyFont="1" applyBorder="1" applyAlignment="1">
      <alignment horizontal="center" vertical="center" readingOrder="1"/>
    </xf>
    <xf numFmtId="1" fontId="4" fillId="0" borderId="40" xfId="0" applyNumberFormat="1" applyFont="1" applyBorder="1" applyAlignment="1">
      <alignment readingOrder="1"/>
    </xf>
    <xf numFmtId="3" fontId="4" fillId="0" borderId="40" xfId="0" applyNumberFormat="1" applyFont="1" applyBorder="1" applyAlignment="1">
      <alignment readingOrder="1"/>
    </xf>
    <xf numFmtId="0" fontId="4" fillId="0" borderId="37" xfId="0" applyFont="1" applyBorder="1" applyAlignment="1">
      <alignment horizontal="center" vertical="center" readingOrder="1"/>
    </xf>
    <xf numFmtId="3" fontId="4" fillId="0" borderId="44" xfId="0" applyNumberFormat="1" applyFont="1" applyBorder="1" applyAlignment="1">
      <alignment readingOrder="1"/>
    </xf>
    <xf numFmtId="0" fontId="4" fillId="0" borderId="59" xfId="0" applyFont="1" applyBorder="1" applyAlignment="1">
      <alignment readingOrder="1"/>
    </xf>
    <xf numFmtId="9" fontId="4" fillId="0" borderId="60" xfId="0" applyNumberFormat="1" applyFont="1" applyBorder="1" applyAlignment="1">
      <alignment readingOrder="1"/>
    </xf>
    <xf numFmtId="0" fontId="5" fillId="11" borderId="30" xfId="0" applyFont="1" applyFill="1" applyBorder="1" applyAlignment="1">
      <alignment readingOrder="1"/>
    </xf>
    <xf numFmtId="0" fontId="4" fillId="11" borderId="6" xfId="0" applyFont="1" applyFill="1" applyBorder="1" applyAlignment="1">
      <alignment readingOrder="1"/>
    </xf>
    <xf numFmtId="0" fontId="5" fillId="11" borderId="55" xfId="0" applyFont="1" applyFill="1" applyBorder="1" applyAlignment="1">
      <alignment readingOrder="1"/>
    </xf>
    <xf numFmtId="164" fontId="4" fillId="0" borderId="2" xfId="0" applyNumberFormat="1" applyFont="1" applyBorder="1" applyAlignment="1">
      <alignment readingOrder="1"/>
    </xf>
    <xf numFmtId="0" fontId="4" fillId="11" borderId="2" xfId="0" applyFont="1" applyFill="1" applyBorder="1" applyAlignment="1">
      <alignment horizontal="center" readingOrder="1"/>
    </xf>
    <xf numFmtId="0" fontId="4" fillId="11" borderId="80" xfId="0" applyFont="1" applyFill="1" applyBorder="1" applyAlignment="1">
      <alignment horizontal="center" readingOrder="1"/>
    </xf>
    <xf numFmtId="164" fontId="4" fillId="0" borderId="81" xfId="0" applyNumberFormat="1" applyFont="1" applyBorder="1" applyAlignment="1">
      <alignment horizontal="center" readingOrder="1"/>
    </xf>
    <xf numFmtId="164" fontId="4" fillId="0" borderId="6" xfId="0" applyNumberFormat="1" applyFont="1" applyBorder="1" applyAlignment="1">
      <alignment readingOrder="1"/>
    </xf>
    <xf numFmtId="164" fontId="4" fillId="0" borderId="40" xfId="0" applyNumberFormat="1" applyFont="1" applyBorder="1" applyAlignment="1">
      <alignment horizontal="center" readingOrder="1"/>
    </xf>
    <xf numFmtId="0" fontId="5" fillId="11" borderId="37" xfId="0" applyFont="1" applyFill="1" applyBorder="1" applyAlignment="1">
      <alignment readingOrder="1"/>
    </xf>
    <xf numFmtId="164" fontId="5" fillId="11" borderId="44" xfId="0" applyNumberFormat="1" applyFont="1" applyFill="1" applyBorder="1" applyAlignment="1">
      <alignment horizontal="center" readingOrder="1"/>
    </xf>
    <xf numFmtId="0" fontId="4" fillId="0" borderId="5" xfId="0" applyFont="1" applyBorder="1" applyAlignment="1">
      <alignment readingOrder="1"/>
    </xf>
    <xf numFmtId="0" fontId="4" fillId="0" borderId="9" xfId="0" applyFont="1" applyBorder="1" applyAlignment="1">
      <alignment readingOrder="1"/>
    </xf>
    <xf numFmtId="1" fontId="4" fillId="0" borderId="60" xfId="0" applyNumberFormat="1" applyFont="1" applyBorder="1" applyAlignment="1">
      <alignment readingOrder="1"/>
    </xf>
    <xf numFmtId="10" fontId="4" fillId="0" borderId="60" xfId="0" applyNumberFormat="1" applyFont="1" applyBorder="1" applyAlignment="1">
      <alignment readingOrder="1"/>
    </xf>
    <xf numFmtId="0" fontId="4" fillId="0" borderId="12" xfId="0" applyFont="1" applyBorder="1"/>
    <xf numFmtId="0" fontId="4" fillId="0" borderId="64" xfId="0" applyFont="1" applyBorder="1"/>
    <xf numFmtId="0" fontId="3" fillId="0" borderId="22" xfId="0" applyFont="1" applyBorder="1"/>
    <xf numFmtId="168" fontId="3" fillId="0" borderId="22" xfId="2" applyFont="1" applyFill="1" applyBorder="1"/>
    <xf numFmtId="0" fontId="3" fillId="28" borderId="22" xfId="0" applyFont="1" applyFill="1" applyBorder="1"/>
    <xf numFmtId="0" fontId="3" fillId="21" borderId="22" xfId="0" applyFont="1" applyFill="1" applyBorder="1"/>
    <xf numFmtId="0" fontId="3" fillId="23" borderId="22" xfId="0" applyFont="1" applyFill="1" applyBorder="1"/>
    <xf numFmtId="168" fontId="3" fillId="22" borderId="22" xfId="2" applyFont="1" applyFill="1" applyBorder="1"/>
    <xf numFmtId="0" fontId="3" fillId="20" borderId="22" xfId="0" applyFont="1" applyFill="1" applyBorder="1"/>
    <xf numFmtId="169" fontId="3" fillId="0" borderId="22" xfId="0" applyNumberFormat="1" applyFont="1" applyBorder="1"/>
    <xf numFmtId="169" fontId="4" fillId="21" borderId="2" xfId="0" applyNumberFormat="1" applyFont="1" applyFill="1" applyBorder="1" applyAlignment="1">
      <alignment horizontal="center"/>
    </xf>
    <xf numFmtId="0" fontId="21" fillId="14" borderId="74" xfId="0" applyFont="1" applyFill="1" applyBorder="1" applyAlignment="1">
      <alignment horizontal="center"/>
    </xf>
    <xf numFmtId="0" fontId="21" fillId="14" borderId="75" xfId="0" applyFont="1" applyFill="1" applyBorder="1" applyAlignment="1">
      <alignment horizontal="center"/>
    </xf>
    <xf numFmtId="0" fontId="21" fillId="14" borderId="76" xfId="0" applyFont="1" applyFill="1" applyBorder="1" applyAlignment="1">
      <alignment horizontal="center"/>
    </xf>
    <xf numFmtId="0" fontId="25" fillId="0" borderId="6" xfId="0" applyFont="1" applyBorder="1" applyAlignment="1">
      <alignment horizontal="center" wrapText="1"/>
    </xf>
    <xf numFmtId="9" fontId="19" fillId="14" borderId="2" xfId="0" applyNumberFormat="1" applyFont="1" applyFill="1" applyBorder="1" applyAlignment="1">
      <alignment horizontal="center"/>
    </xf>
    <xf numFmtId="9" fontId="19" fillId="14" borderId="4" xfId="0" applyNumberFormat="1" applyFont="1" applyFill="1" applyBorder="1" applyAlignment="1">
      <alignment horizontal="center"/>
    </xf>
    <xf numFmtId="0" fontId="19" fillId="14" borderId="64" xfId="0" applyFont="1" applyFill="1" applyBorder="1" applyAlignment="1">
      <alignment horizontal="center" vertical="center"/>
    </xf>
    <xf numFmtId="0" fontId="19" fillId="14" borderId="70" xfId="0" applyFont="1" applyFill="1" applyBorder="1" applyAlignment="1">
      <alignment horizontal="center" vertical="center"/>
    </xf>
    <xf numFmtId="0" fontId="19" fillId="14" borderId="12" xfId="0" applyFont="1" applyFill="1" applyBorder="1" applyAlignment="1">
      <alignment horizontal="center" vertical="center"/>
    </xf>
    <xf numFmtId="0" fontId="19" fillId="14" borderId="71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/>
    </xf>
    <xf numFmtId="0" fontId="2" fillId="2" borderId="87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19" fillId="0" borderId="86" xfId="0" applyFont="1" applyBorder="1" applyAlignment="1">
      <alignment horizontal="center"/>
    </xf>
    <xf numFmtId="0" fontId="19" fillId="0" borderId="87" xfId="0" applyFont="1" applyBorder="1" applyAlignment="1">
      <alignment horizontal="center"/>
    </xf>
    <xf numFmtId="0" fontId="19" fillId="0" borderId="88" xfId="0" applyFont="1" applyBorder="1" applyAlignment="1">
      <alignment horizontal="center"/>
    </xf>
    <xf numFmtId="0" fontId="22" fillId="16" borderId="61" xfId="0" applyFont="1" applyFill="1" applyBorder="1" applyAlignment="1">
      <alignment horizontal="center"/>
    </xf>
    <xf numFmtId="0" fontId="22" fillId="16" borderId="63" xfId="0" applyFont="1" applyFill="1" applyBorder="1" applyAlignment="1">
      <alignment horizontal="center"/>
    </xf>
    <xf numFmtId="9" fontId="23" fillId="16" borderId="36" xfId="0" applyNumberFormat="1" applyFont="1" applyFill="1" applyBorder="1" applyAlignment="1">
      <alignment horizontal="center"/>
    </xf>
    <xf numFmtId="0" fontId="23" fillId="16" borderId="44" xfId="0" applyFont="1" applyFill="1" applyBorder="1" applyAlignment="1">
      <alignment horizontal="center"/>
    </xf>
    <xf numFmtId="0" fontId="22" fillId="16" borderId="94" xfId="0" applyFont="1" applyFill="1" applyBorder="1" applyAlignment="1">
      <alignment horizontal="center"/>
    </xf>
    <xf numFmtId="0" fontId="22" fillId="16" borderId="95" xfId="0" applyFont="1" applyFill="1" applyBorder="1" applyAlignment="1">
      <alignment horizontal="center"/>
    </xf>
    <xf numFmtId="170" fontId="23" fillId="15" borderId="36" xfId="0" applyNumberFormat="1" applyFont="1" applyFill="1" applyBorder="1" applyAlignment="1">
      <alignment horizontal="center"/>
    </xf>
    <xf numFmtId="170" fontId="23" fillId="15" borderId="44" xfId="0" applyNumberFormat="1" applyFont="1" applyFill="1" applyBorder="1" applyAlignment="1">
      <alignment horizontal="center"/>
    </xf>
    <xf numFmtId="0" fontId="4" fillId="0" borderId="7" xfId="0" applyFont="1" applyBorder="1" applyAlignment="1">
      <alignment readingOrder="1"/>
    </xf>
    <xf numFmtId="0" fontId="2" fillId="16" borderId="1" xfId="0" applyFont="1" applyFill="1" applyBorder="1" applyAlignment="1">
      <alignment horizontal="center" vertical="center"/>
    </xf>
    <xf numFmtId="0" fontId="3" fillId="16" borderId="5" xfId="0" applyFont="1" applyFill="1" applyBorder="1"/>
    <xf numFmtId="0" fontId="2" fillId="16" borderId="2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21" fillId="14" borderId="23" xfId="0" applyFont="1" applyFill="1" applyBorder="1" applyAlignment="1">
      <alignment horizontal="center" vertical="center"/>
    </xf>
    <xf numFmtId="0" fontId="21" fillId="14" borderId="24" xfId="0" applyFont="1" applyFill="1" applyBorder="1" applyAlignment="1">
      <alignment horizontal="center" vertical="center"/>
    </xf>
    <xf numFmtId="0" fontId="21" fillId="14" borderId="25" xfId="0" applyFont="1" applyFill="1" applyBorder="1" applyAlignment="1">
      <alignment horizontal="center" vertical="center"/>
    </xf>
    <xf numFmtId="0" fontId="21" fillId="14" borderId="34" xfId="0" applyFont="1" applyFill="1" applyBorder="1" applyAlignment="1">
      <alignment horizontal="center" vertical="center"/>
    </xf>
    <xf numFmtId="0" fontId="21" fillId="14" borderId="7" xfId="0" applyFont="1" applyFill="1" applyBorder="1" applyAlignment="1">
      <alignment horizontal="center" vertical="center"/>
    </xf>
    <xf numFmtId="0" fontId="21" fillId="14" borderId="27" xfId="0" applyFont="1" applyFill="1" applyBorder="1" applyAlignment="1">
      <alignment horizontal="center" vertical="center"/>
    </xf>
    <xf numFmtId="0" fontId="4" fillId="0" borderId="7" xfId="0" applyFont="1" applyBorder="1"/>
    <xf numFmtId="0" fontId="3" fillId="0" borderId="7" xfId="0" applyFont="1" applyBorder="1"/>
    <xf numFmtId="0" fontId="21" fillId="14" borderId="61" xfId="0" applyFont="1" applyFill="1" applyBorder="1" applyAlignment="1">
      <alignment horizontal="center" vertical="center"/>
    </xf>
    <xf numFmtId="0" fontId="21" fillId="14" borderId="62" xfId="0" applyFont="1" applyFill="1" applyBorder="1" applyAlignment="1">
      <alignment horizontal="center" vertical="center"/>
    </xf>
    <xf numFmtId="0" fontId="21" fillId="14" borderId="63" xfId="0" applyFont="1" applyFill="1" applyBorder="1" applyAlignment="1">
      <alignment horizontal="center" vertical="center"/>
    </xf>
    <xf numFmtId="0" fontId="21" fillId="14" borderId="30" xfId="0" applyFont="1" applyFill="1" applyBorder="1" applyAlignment="1">
      <alignment horizontal="center" vertical="center"/>
    </xf>
    <xf numFmtId="0" fontId="21" fillId="14" borderId="6" xfId="0" applyFont="1" applyFill="1" applyBorder="1" applyAlignment="1">
      <alignment horizontal="center" vertical="center"/>
    </xf>
    <xf numFmtId="0" fontId="21" fillId="14" borderId="40" xfId="0" applyFont="1" applyFill="1" applyBorder="1" applyAlignment="1">
      <alignment horizontal="center" vertical="center"/>
    </xf>
    <xf numFmtId="0" fontId="21" fillId="14" borderId="26" xfId="0" applyFont="1" applyFill="1" applyBorder="1" applyAlignment="1">
      <alignment horizontal="center" vertical="center"/>
    </xf>
    <xf numFmtId="0" fontId="21" fillId="14" borderId="13" xfId="0" applyFont="1" applyFill="1" applyBorder="1" applyAlignment="1">
      <alignment horizontal="center" vertical="center"/>
    </xf>
    <xf numFmtId="0" fontId="21" fillId="14" borderId="51" xfId="0" applyFont="1" applyFill="1" applyBorder="1" applyAlignment="1">
      <alignment horizontal="center" vertical="center"/>
    </xf>
    <xf numFmtId="164" fontId="4" fillId="0" borderId="64" xfId="0" applyNumberFormat="1" applyFont="1" applyBorder="1" applyAlignment="1">
      <alignment horizontal="right" vertical="center" readingOrder="1"/>
    </xf>
    <xf numFmtId="164" fontId="4" fillId="0" borderId="72" xfId="0" applyNumberFormat="1" applyFont="1" applyBorder="1" applyAlignment="1">
      <alignment horizontal="right" vertical="center" readingOrder="1"/>
    </xf>
    <xf numFmtId="164" fontId="4" fillId="0" borderId="12" xfId="0" applyNumberFormat="1" applyFont="1" applyBorder="1" applyAlignment="1">
      <alignment horizontal="right" vertical="center" readingOrder="1"/>
    </xf>
    <xf numFmtId="164" fontId="4" fillId="0" borderId="77" xfId="0" applyNumberFormat="1" applyFont="1" applyBorder="1" applyAlignment="1">
      <alignment horizontal="center" vertical="center" readingOrder="1"/>
    </xf>
    <xf numFmtId="164" fontId="4" fillId="0" borderId="78" xfId="0" applyNumberFormat="1" applyFont="1" applyBorder="1" applyAlignment="1">
      <alignment horizontal="center" vertical="center" readingOrder="1"/>
    </xf>
    <xf numFmtId="164" fontId="4" fillId="0" borderId="79" xfId="0" applyNumberFormat="1" applyFont="1" applyBorder="1" applyAlignment="1">
      <alignment horizontal="center" vertical="center" readingOrder="1"/>
    </xf>
    <xf numFmtId="164" fontId="4" fillId="11" borderId="23" xfId="0" applyNumberFormat="1" applyFont="1" applyFill="1" applyBorder="1" applyAlignment="1">
      <alignment horizontal="center" vertical="center" readingOrder="1"/>
    </xf>
    <xf numFmtId="164" fontId="4" fillId="11" borderId="34" xfId="0" applyNumberFormat="1" applyFont="1" applyFill="1" applyBorder="1" applyAlignment="1">
      <alignment horizontal="center" vertical="center" readingOrder="1"/>
    </xf>
    <xf numFmtId="164" fontId="4" fillId="11" borderId="73" xfId="0" applyNumberFormat="1" applyFont="1" applyFill="1" applyBorder="1" applyAlignment="1">
      <alignment horizontal="center" vertical="center" readingOrder="1"/>
    </xf>
    <xf numFmtId="0" fontId="34" fillId="2" borderId="22" xfId="0" applyFont="1" applyFill="1" applyBorder="1" applyAlignment="1">
      <alignment horizontal="center" vertical="center"/>
    </xf>
    <xf numFmtId="0" fontId="34" fillId="2" borderId="2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0" borderId="2" xfId="0" applyFont="1" applyBorder="1"/>
    <xf numFmtId="10" fontId="24" fillId="0" borderId="64" xfId="0" applyNumberFormat="1" applyFont="1" applyBorder="1" applyAlignment="1">
      <alignment horizontal="center" vertical="center"/>
    </xf>
    <xf numFmtId="10" fontId="24" fillId="0" borderId="72" xfId="0" applyNumberFormat="1" applyFont="1" applyBorder="1" applyAlignment="1">
      <alignment horizontal="center" vertical="center"/>
    </xf>
    <xf numFmtId="10" fontId="24" fillId="0" borderId="12" xfId="0" applyNumberFormat="1" applyFont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33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onald Steven Tarazona Ruiz" id="{8DC9D03E-00D3-4419-8C0B-EF64AEBEC30E}" userId="bfc372dd7ea67b69" providerId="Windows Live"/>
  <person displayName="Donald Steven Tarazona Ruiz" id="{3093CA11-22A8-4605-9CCE-30E93F3CDDF5}" userId="S::donaldtarazona@usantotomas.edu.co::bb1a0470-f34d-46e0-a17f-7a918fa3011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3-06-24T16:49:13.22" personId="{3093CA11-22A8-4605-9CCE-30E93F3CDDF5}" id="{48A50072-4465-4741-95DE-9BB77314B6EC}">
    <text xml:space="preserve">Se uso para la compra de activos
Inv inicial
</text>
  </threadedComment>
  <threadedComment ref="B5" dT="2023-06-24T16:48:49.82" personId="{3093CA11-22A8-4605-9CCE-30E93F3CDDF5}" id="{2B534BAB-C2DC-40E4-8840-6516FA7C85BF}">
    <text xml:space="preserve">Se uso para pagar la compra de activos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3-06-24T16:49:13.22" personId="{3093CA11-22A8-4605-9CCE-30E93F3CDDF5}" id="{A38A37C2-0AE1-4425-B734-2DDAC50F8AD1}">
    <text xml:space="preserve">Se uso para la compra de activos
Inv inicial
</text>
  </threadedComment>
  <threadedComment ref="B5" dT="2023-06-24T16:48:49.82" personId="{3093CA11-22A8-4605-9CCE-30E93F3CDDF5}" id="{1D823E8A-328B-40DA-B6BB-4F433B2B0DA5}">
    <text xml:space="preserve">Se uso para pagar la compra de activos </text>
  </threadedComment>
  <threadedComment ref="C7" dT="2023-06-24T18:07:12.54" personId="{8DC9D03E-00D3-4419-8C0B-EF64AEBEC30E}" id="{6AB0D0EC-3A67-4C6C-B02D-15387434B460}">
    <text>SE DIFIRIO A 1 AÑO</text>
  </threadedComment>
  <threadedComment ref="D7" dT="2023-06-24T18:07:28.86" personId="{8DC9D03E-00D3-4419-8C0B-EF64AEBEC30E}" id="{2D1EDB05-3D85-4FBD-B208-C83DA9B22C12}">
    <text>SE DIFIRIO A 1 AÑO</text>
  </threadedComment>
  <threadedComment ref="E7" dT="2023-06-24T18:07:39.58" personId="{8DC9D03E-00D3-4419-8C0B-EF64AEBEC30E}" id="{DA912DBC-64E6-4308-A7FC-513588111F0D}">
    <text>SE DIF A 1 AÑO</text>
  </threadedComment>
  <threadedComment ref="F7" dT="2023-06-24T18:07:48.57" personId="{8DC9D03E-00D3-4419-8C0B-EF64AEBEC30E}" id="{F2DB4B9F-49F1-4F2F-82DD-5B2E89D1E622}">
    <text>SE DIF A 1 AÑO</text>
  </threadedComment>
  <threadedComment ref="G7" dT="2023-06-24T18:07:57.04" personId="{8DC9D03E-00D3-4419-8C0B-EF64AEBEC30E}" id="{67835A03-56A0-450E-A4DF-0770F2CB4DDD}">
    <text>SE DIF A 1 AÑO</text>
  </threadedComment>
  <threadedComment ref="A18" dT="2023-06-24T18:08:35.54" personId="{8DC9D03E-00D3-4419-8C0B-EF64AEBEC30E}" id="{0672A77A-99EF-4C89-922F-E35FF8919D81}">
    <text>SE PAGARON TODAS LAS CXP</text>
  </threadedComment>
</ThreadedComment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79D3-62ED-4198-AE46-CE7642F015AE}">
  <sheetPr>
    <tabColor theme="7" tint="0.79998168889431442"/>
  </sheetPr>
  <dimension ref="A1:U964"/>
  <sheetViews>
    <sheetView tabSelected="1" zoomScale="81" zoomScaleNormal="81" workbookViewId="0">
      <selection activeCell="C13" sqref="C13"/>
    </sheetView>
  </sheetViews>
  <sheetFormatPr baseColWidth="10" defaultColWidth="14.42578125" defaultRowHeight="15" customHeight="1" x14ac:dyDescent="0.25"/>
  <cols>
    <col min="1" max="1" width="51.42578125" customWidth="1"/>
    <col min="2" max="2" width="25.28515625" customWidth="1"/>
    <col min="3" max="5" width="24.28515625" customWidth="1"/>
    <col min="6" max="6" width="25.28515625" customWidth="1"/>
    <col min="7" max="7" width="25.42578125" customWidth="1"/>
    <col min="8" max="8" width="19" customWidth="1"/>
    <col min="9" max="9" width="24.85546875" customWidth="1"/>
    <col min="10" max="11" width="14.28515625" bestFit="1" customWidth="1"/>
    <col min="12" max="12" width="25.140625" customWidth="1"/>
    <col min="13" max="13" width="14.28515625" bestFit="1" customWidth="1"/>
    <col min="14" max="14" width="16.5703125" customWidth="1"/>
    <col min="15" max="15" width="20.85546875" customWidth="1"/>
    <col min="16" max="16" width="19.5703125" customWidth="1"/>
    <col min="17" max="17" width="19" customWidth="1"/>
    <col min="18" max="18" width="22.140625" customWidth="1"/>
    <col min="19" max="19" width="18.28515625" customWidth="1"/>
    <col min="20" max="20" width="18.7109375" customWidth="1"/>
    <col min="21" max="21" width="21" customWidth="1"/>
    <col min="22" max="24" width="10.7109375" customWidth="1"/>
  </cols>
  <sheetData>
    <row r="1" spans="1:2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1" ht="18.75" x14ac:dyDescent="0.3">
      <c r="A2" s="45"/>
      <c r="B2" s="9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45"/>
    </row>
    <row r="3" spans="1:21" s="202" customFormat="1" ht="21" x14ac:dyDescent="0.25">
      <c r="A3" s="224" t="s">
        <v>0</v>
      </c>
      <c r="B3" s="225" t="s">
        <v>1</v>
      </c>
      <c r="C3" s="225" t="s">
        <v>1</v>
      </c>
      <c r="D3" s="225" t="s">
        <v>1</v>
      </c>
      <c r="E3" s="225" t="s">
        <v>1</v>
      </c>
      <c r="F3" s="225" t="s">
        <v>1</v>
      </c>
      <c r="G3" s="225" t="s">
        <v>1</v>
      </c>
      <c r="H3" s="225" t="s">
        <v>1</v>
      </c>
      <c r="I3" s="225" t="s">
        <v>1</v>
      </c>
      <c r="J3" s="225" t="s">
        <v>1</v>
      </c>
      <c r="K3" s="225" t="s">
        <v>1</v>
      </c>
      <c r="L3" s="225" t="s">
        <v>1</v>
      </c>
      <c r="M3" s="225" t="s">
        <v>1</v>
      </c>
      <c r="N3" s="225" t="s">
        <v>1</v>
      </c>
      <c r="O3" s="225" t="s">
        <v>1</v>
      </c>
      <c r="P3" s="225" t="s">
        <v>1</v>
      </c>
      <c r="Q3" s="225" t="s">
        <v>1</v>
      </c>
      <c r="R3" s="225" t="s">
        <v>1</v>
      </c>
      <c r="S3" s="225" t="s">
        <v>1</v>
      </c>
      <c r="T3" s="225" t="s">
        <v>1</v>
      </c>
      <c r="U3" s="226"/>
    </row>
    <row r="4" spans="1:21" s="202" customFormat="1" x14ac:dyDescent="0.25">
      <c r="A4" s="227" t="s">
        <v>2</v>
      </c>
      <c r="B4" s="228" t="s">
        <v>3</v>
      </c>
      <c r="C4" s="228" t="s">
        <v>4</v>
      </c>
      <c r="D4" s="228" t="s">
        <v>5</v>
      </c>
      <c r="E4" s="228" t="s">
        <v>6</v>
      </c>
      <c r="F4" s="228" t="s">
        <v>7</v>
      </c>
      <c r="G4" s="229" t="s">
        <v>8</v>
      </c>
      <c r="H4" s="228" t="s">
        <v>9</v>
      </c>
      <c r="I4" s="228" t="s">
        <v>10</v>
      </c>
      <c r="J4" s="228" t="s">
        <v>6</v>
      </c>
      <c r="K4" s="228" t="s">
        <v>7</v>
      </c>
      <c r="L4" s="228" t="s">
        <v>11</v>
      </c>
      <c r="M4" s="228" t="s">
        <v>12</v>
      </c>
      <c r="N4" s="228" t="s">
        <v>13</v>
      </c>
      <c r="O4" s="228" t="s">
        <v>14</v>
      </c>
      <c r="P4" s="228" t="s">
        <v>15</v>
      </c>
      <c r="Q4" s="228" t="s">
        <v>16</v>
      </c>
      <c r="R4" s="228" t="s">
        <v>17</v>
      </c>
      <c r="S4" s="228" t="s">
        <v>18</v>
      </c>
      <c r="T4" s="230" t="s">
        <v>19</v>
      </c>
      <c r="U4" s="226"/>
    </row>
    <row r="5" spans="1:21" s="202" customFormat="1" x14ac:dyDescent="0.25">
      <c r="A5" s="231" t="s">
        <v>20</v>
      </c>
      <c r="B5" s="232">
        <f>1500000*12</f>
        <v>18000000</v>
      </c>
      <c r="C5" s="232">
        <v>140000</v>
      </c>
      <c r="D5" s="232">
        <f>SUM(B5:C5)</f>
        <v>18140000</v>
      </c>
      <c r="E5" s="232">
        <f>(B5*4)/100</f>
        <v>720000</v>
      </c>
      <c r="F5" s="232">
        <f>(B5*4)/100</f>
        <v>720000</v>
      </c>
      <c r="G5" s="233" t="s">
        <v>1</v>
      </c>
      <c r="H5" s="232">
        <f>SUM(E5:G5)</f>
        <v>1440000</v>
      </c>
      <c r="I5" s="232">
        <f>D5-H5</f>
        <v>16700000</v>
      </c>
      <c r="J5" s="232">
        <f>(B5*8.5)/100</f>
        <v>1530000</v>
      </c>
      <c r="K5" s="232">
        <f>(B5*12)/100</f>
        <v>2160000</v>
      </c>
      <c r="L5" s="232">
        <f>SUM(J5:K5)</f>
        <v>3690000</v>
      </c>
      <c r="M5" s="232">
        <f>B5*4%</f>
        <v>720000</v>
      </c>
      <c r="N5" s="232">
        <f>M5</f>
        <v>720000</v>
      </c>
      <c r="O5" s="232">
        <f>D5*8.33%</f>
        <v>1511062</v>
      </c>
      <c r="P5" s="232">
        <f>(B5+C5)*8.3%</f>
        <v>1505620</v>
      </c>
      <c r="Q5" s="232">
        <f>B5*4.17%</f>
        <v>750600</v>
      </c>
      <c r="R5" s="232">
        <f>O5*1%</f>
        <v>15110.62</v>
      </c>
      <c r="S5" s="232">
        <f>B5*1.044%</f>
        <v>187920</v>
      </c>
      <c r="T5" s="234">
        <f>SUM(O5:S5)</f>
        <v>3970312.62</v>
      </c>
      <c r="U5" s="226"/>
    </row>
    <row r="6" spans="1:21" s="202" customFormat="1" x14ac:dyDescent="0.25">
      <c r="A6" s="235" t="s">
        <v>21</v>
      </c>
      <c r="B6" s="236">
        <f>1160000*12</f>
        <v>13920000</v>
      </c>
      <c r="C6" s="236">
        <v>140000</v>
      </c>
      <c r="D6" s="236">
        <f>SUM(B6:C6)</f>
        <v>14060000</v>
      </c>
      <c r="E6" s="236">
        <f>(B6*4)/100</f>
        <v>556800</v>
      </c>
      <c r="F6" s="236">
        <f>(B6*4)/100</f>
        <v>556800</v>
      </c>
      <c r="G6" s="201" t="s">
        <v>1</v>
      </c>
      <c r="H6" s="236">
        <f>SUM(E6:G6)</f>
        <v>1113600</v>
      </c>
      <c r="I6" s="236">
        <f>D6-H6</f>
        <v>12946400</v>
      </c>
      <c r="J6" s="236">
        <f>(B6*8.5)/100</f>
        <v>1183200</v>
      </c>
      <c r="K6" s="236">
        <f>(B6*12)/100</f>
        <v>1670400</v>
      </c>
      <c r="L6" s="236">
        <f>SUM(J6:K6)</f>
        <v>2853600</v>
      </c>
      <c r="M6" s="236">
        <f>B6*4%</f>
        <v>556800</v>
      </c>
      <c r="N6" s="236">
        <f>M6</f>
        <v>556800</v>
      </c>
      <c r="O6" s="236">
        <f>D6*8.33%</f>
        <v>1171198</v>
      </c>
      <c r="P6" s="232">
        <f>(B6+C6)*8.3%</f>
        <v>1166980</v>
      </c>
      <c r="Q6" s="236">
        <f>B6*4.17%</f>
        <v>580464</v>
      </c>
      <c r="R6" s="236">
        <f>O6*1%</f>
        <v>11711.98</v>
      </c>
      <c r="S6" s="236">
        <f>B6*1.044%</f>
        <v>145324.79999999999</v>
      </c>
      <c r="T6" s="237">
        <f>SUM(O6:S6)</f>
        <v>3075678.78</v>
      </c>
      <c r="U6" s="226"/>
    </row>
    <row r="7" spans="1:21" s="202" customFormat="1" x14ac:dyDescent="0.25">
      <c r="A7" s="238" t="s">
        <v>22</v>
      </c>
      <c r="B7" s="239">
        <f>SUM(B5:B6)</f>
        <v>31920000</v>
      </c>
      <c r="C7" s="239">
        <f>SUM(C5:C6)</f>
        <v>280000</v>
      </c>
      <c r="D7" s="239">
        <f>D5+D6</f>
        <v>32200000</v>
      </c>
      <c r="E7" s="239">
        <f>SUM(E5:E6)</f>
        <v>1276800</v>
      </c>
      <c r="F7" s="239">
        <f>SUM(F5:F6)</f>
        <v>1276800</v>
      </c>
      <c r="G7" s="240" t="s">
        <v>23</v>
      </c>
      <c r="H7" s="239">
        <f>SUM(E7:G7)</f>
        <v>2553600</v>
      </c>
      <c r="I7" s="239">
        <f>SUM(I5:I6)</f>
        <v>29646400</v>
      </c>
      <c r="J7" s="239">
        <f>SUM(J5:J6)</f>
        <v>2713200</v>
      </c>
      <c r="K7" s="239">
        <f>SUM(K5:K6)</f>
        <v>3830400</v>
      </c>
      <c r="L7" s="239">
        <f>SUM(L5:L6)</f>
        <v>6543600</v>
      </c>
      <c r="M7" s="239">
        <f>SUM(M5:M6)</f>
        <v>1276800</v>
      </c>
      <c r="N7" s="239">
        <f>M7</f>
        <v>1276800</v>
      </c>
      <c r="O7" s="239">
        <f>SUM(O5:O6)</f>
        <v>2682260</v>
      </c>
      <c r="P7" s="232">
        <f>(B7+C7)*8.3%</f>
        <v>2672600</v>
      </c>
      <c r="Q7" s="239">
        <f>SUM(Q5:Q6)</f>
        <v>1331064</v>
      </c>
      <c r="R7" s="239">
        <f>SUM(R5:R6)</f>
        <v>26822.6</v>
      </c>
      <c r="S7" s="239">
        <f>SUM(S5:S6)</f>
        <v>333244.79999999999</v>
      </c>
      <c r="T7" s="241">
        <f>T5+T6</f>
        <v>7045991.4000000004</v>
      </c>
      <c r="U7" s="226"/>
    </row>
    <row r="8" spans="1:21" s="202" customFormat="1" x14ac:dyDescent="0.25">
      <c r="A8" s="226"/>
      <c r="B8" s="226"/>
      <c r="C8" s="226"/>
      <c r="D8" s="226"/>
      <c r="E8" s="226"/>
      <c r="F8" s="226"/>
      <c r="G8" s="225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26"/>
    </row>
    <row r="9" spans="1:2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1" ht="21" x14ac:dyDescent="0.3">
      <c r="A10" s="156" t="s">
        <v>24</v>
      </c>
      <c r="B10" s="161" t="s">
        <v>25</v>
      </c>
      <c r="C10" s="162">
        <v>8.6999999999999994E-2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2"/>
      <c r="U10" s="70"/>
    </row>
    <row r="11" spans="1:21" x14ac:dyDescent="0.25">
      <c r="A11" s="73"/>
      <c r="B11" s="70" t="s">
        <v>1</v>
      </c>
      <c r="C11" s="70" t="s">
        <v>1</v>
      </c>
      <c r="D11" s="70" t="s">
        <v>1</v>
      </c>
      <c r="E11" s="70" t="s">
        <v>1</v>
      </c>
      <c r="F11" s="70" t="s">
        <v>1</v>
      </c>
      <c r="G11" s="70" t="s">
        <v>1</v>
      </c>
      <c r="H11" s="70" t="s">
        <v>1</v>
      </c>
      <c r="I11" s="70" t="s">
        <v>1</v>
      </c>
      <c r="J11" s="315" t="s">
        <v>26</v>
      </c>
      <c r="K11" s="315" t="s">
        <v>26</v>
      </c>
      <c r="L11" s="70" t="s">
        <v>1</v>
      </c>
      <c r="M11" s="70" t="s">
        <v>1</v>
      </c>
      <c r="N11" s="70" t="s">
        <v>1</v>
      </c>
      <c r="O11" s="70" t="s">
        <v>1</v>
      </c>
      <c r="P11" s="70" t="s">
        <v>1</v>
      </c>
      <c r="Q11" s="70" t="s">
        <v>1</v>
      </c>
      <c r="R11" s="70" t="s">
        <v>1</v>
      </c>
      <c r="S11" s="70" t="s">
        <v>1</v>
      </c>
      <c r="T11" s="74" t="s">
        <v>1</v>
      </c>
      <c r="U11" s="70" t="s">
        <v>1</v>
      </c>
    </row>
    <row r="12" spans="1:21" x14ac:dyDescent="0.25">
      <c r="A12" s="75" t="s">
        <v>2</v>
      </c>
      <c r="B12" s="53" t="s">
        <v>3</v>
      </c>
      <c r="C12" s="53" t="s">
        <v>4</v>
      </c>
      <c r="D12" s="163" t="s">
        <v>5</v>
      </c>
      <c r="E12" s="53" t="s">
        <v>6</v>
      </c>
      <c r="F12" s="53" t="s">
        <v>7</v>
      </c>
      <c r="G12" s="54" t="s">
        <v>8</v>
      </c>
      <c r="H12" s="163" t="s">
        <v>9</v>
      </c>
      <c r="I12" s="221" t="s">
        <v>10</v>
      </c>
      <c r="J12" s="53" t="s">
        <v>6</v>
      </c>
      <c r="K12" s="53" t="s">
        <v>7</v>
      </c>
      <c r="L12" s="221" t="s">
        <v>11</v>
      </c>
      <c r="M12" s="53" t="s">
        <v>12</v>
      </c>
      <c r="N12" s="221" t="s">
        <v>13</v>
      </c>
      <c r="O12" s="53" t="s">
        <v>14</v>
      </c>
      <c r="P12" s="53" t="s">
        <v>15</v>
      </c>
      <c r="Q12" s="53" t="s">
        <v>16</v>
      </c>
      <c r="R12" s="53" t="s">
        <v>17</v>
      </c>
      <c r="S12" s="53" t="s">
        <v>18</v>
      </c>
      <c r="T12" s="247" t="s">
        <v>19</v>
      </c>
      <c r="U12" s="45"/>
    </row>
    <row r="13" spans="1:21" x14ac:dyDescent="0.25">
      <c r="A13" s="76" t="s">
        <v>20</v>
      </c>
      <c r="B13" s="93">
        <f>1500000*12</f>
        <v>18000000</v>
      </c>
      <c r="C13" s="56">
        <f>C5*(1+8.7%)</f>
        <v>152180</v>
      </c>
      <c r="D13" s="164">
        <f>SUM(B13:C13)</f>
        <v>18152180</v>
      </c>
      <c r="E13" s="56">
        <f>(B13*4)/100</f>
        <v>720000</v>
      </c>
      <c r="F13" s="56">
        <f>(B13*4)/100</f>
        <v>720000</v>
      </c>
      <c r="G13" s="55" t="s">
        <v>1</v>
      </c>
      <c r="H13" s="164">
        <f>SUM(E13:G13)</f>
        <v>1440000</v>
      </c>
      <c r="I13" s="222">
        <f>D13-H13</f>
        <v>16712180</v>
      </c>
      <c r="J13" s="56">
        <f>(B13*8.5)/100</f>
        <v>1530000</v>
      </c>
      <c r="K13" s="56">
        <f>(B13*12)/100</f>
        <v>2160000</v>
      </c>
      <c r="L13" s="222">
        <f>SUM(J13:K13)</f>
        <v>3690000</v>
      </c>
      <c r="M13" s="56">
        <f>B13*4%</f>
        <v>720000</v>
      </c>
      <c r="N13" s="222">
        <f>M13</f>
        <v>720000</v>
      </c>
      <c r="O13" s="56">
        <f>D13*8.33%</f>
        <v>1512076.594</v>
      </c>
      <c r="P13" s="56">
        <f>D13*8.33%</f>
        <v>1512076.594</v>
      </c>
      <c r="Q13" s="56">
        <f>B13*4.17%</f>
        <v>750600</v>
      </c>
      <c r="R13" s="56">
        <f>O13*1%</f>
        <v>15120.765940000001</v>
      </c>
      <c r="S13" s="56">
        <f>B13*1.044%</f>
        <v>187920</v>
      </c>
      <c r="T13" s="248">
        <f>SUM(O13:S13)</f>
        <v>3977793.9539399999</v>
      </c>
      <c r="U13" s="84"/>
    </row>
    <row r="14" spans="1:21" ht="15.75" customHeight="1" x14ac:dyDescent="0.25">
      <c r="A14" s="77" t="s">
        <v>21</v>
      </c>
      <c r="B14" s="94">
        <f>1160000*12</f>
        <v>13920000</v>
      </c>
      <c r="C14" s="56">
        <f>C6*(1+8.7%)</f>
        <v>152180</v>
      </c>
      <c r="D14" s="165">
        <f>SUM(B14:C14)</f>
        <v>14072180</v>
      </c>
      <c r="E14" s="56">
        <f>(B14*4)/100</f>
        <v>556800</v>
      </c>
      <c r="F14" s="56">
        <f>(B14*4)/100</f>
        <v>556800</v>
      </c>
      <c r="G14" s="57" t="s">
        <v>1</v>
      </c>
      <c r="H14" s="164">
        <f t="shared" ref="H14:H15" si="0">SUM(E14:G14)</f>
        <v>1113600</v>
      </c>
      <c r="I14" s="222">
        <f>D14-H14</f>
        <v>12958580</v>
      </c>
      <c r="J14" s="56">
        <f>(B14*8.5)/100</f>
        <v>1183200</v>
      </c>
      <c r="K14" s="56">
        <f>(B14*12)/100</f>
        <v>1670400</v>
      </c>
      <c r="L14" s="246">
        <f>SUM(J14:K14)</f>
        <v>2853600</v>
      </c>
      <c r="M14" s="56">
        <f t="shared" ref="M14" si="1">B14*4%</f>
        <v>556800</v>
      </c>
      <c r="N14" s="222">
        <f t="shared" ref="N14:N15" si="2">M14</f>
        <v>556800</v>
      </c>
      <c r="O14" s="56">
        <f>D14*8.33%</f>
        <v>1172212.594</v>
      </c>
      <c r="P14" s="56">
        <f t="shared" ref="P14:P15" si="3">D14*8.33%</f>
        <v>1172212.594</v>
      </c>
      <c r="Q14" s="56">
        <f>B14*4.17%</f>
        <v>580464</v>
      </c>
      <c r="R14" s="56">
        <f>O14*1%</f>
        <v>11722.12594</v>
      </c>
      <c r="S14" s="56">
        <f>B14*1.044%</f>
        <v>145324.79999999999</v>
      </c>
      <c r="T14" s="248">
        <f>SUM(O14:S14)</f>
        <v>3081936.1139400001</v>
      </c>
      <c r="U14" s="45"/>
    </row>
    <row r="15" spans="1:21" s="61" customFormat="1" x14ac:dyDescent="0.25">
      <c r="A15" s="78" t="s">
        <v>22</v>
      </c>
      <c r="B15" s="405">
        <f>SUM(B13:B14)</f>
        <v>31920000</v>
      </c>
      <c r="C15" s="216">
        <f>SUM(C13:C14)</f>
        <v>304360</v>
      </c>
      <c r="D15" s="217">
        <f>D13+D14</f>
        <v>32224360</v>
      </c>
      <c r="E15" s="216">
        <f>SUM(E13:E14)</f>
        <v>1276800</v>
      </c>
      <c r="F15" s="216">
        <f>SUM(F13:F14)</f>
        <v>1276800</v>
      </c>
      <c r="G15" s="218" t="s">
        <v>23</v>
      </c>
      <c r="H15" s="219">
        <f t="shared" si="0"/>
        <v>2553600</v>
      </c>
      <c r="I15" s="223">
        <f>SUM(I13:I14)</f>
        <v>29670760</v>
      </c>
      <c r="J15" s="216">
        <f>SUM(J13:J14)</f>
        <v>2713200</v>
      </c>
      <c r="K15" s="216">
        <f>SUM(K13:K14)</f>
        <v>3830400</v>
      </c>
      <c r="L15" s="223">
        <f>SUM(L13:L14)</f>
        <v>6543600</v>
      </c>
      <c r="M15" s="220">
        <f>SUM(M13:M14)</f>
        <v>1276800</v>
      </c>
      <c r="N15" s="252">
        <f t="shared" si="2"/>
        <v>1276800</v>
      </c>
      <c r="O15" s="216">
        <f>SUM(O13:O14)</f>
        <v>2684289.1880000001</v>
      </c>
      <c r="P15" s="220">
        <f t="shared" si="3"/>
        <v>2684289.1880000001</v>
      </c>
      <c r="Q15" s="216">
        <f>SUM(Q13:Q14)</f>
        <v>1331064</v>
      </c>
      <c r="R15" s="216">
        <f>SUM(R13:R14)</f>
        <v>26842.891880000003</v>
      </c>
      <c r="S15" s="216">
        <f>SUM(S13:S14)</f>
        <v>333244.79999999999</v>
      </c>
      <c r="T15" s="251">
        <f>T13+T14</f>
        <v>7059730.06788</v>
      </c>
      <c r="U15" s="134"/>
    </row>
    <row r="16" spans="1:21" x14ac:dyDescent="0.25">
      <c r="A16" s="85"/>
      <c r="B16" s="70"/>
      <c r="C16" s="70"/>
      <c r="D16" s="70"/>
      <c r="E16" s="69"/>
      <c r="F16" s="70"/>
      <c r="G16" s="70"/>
      <c r="H16" s="70"/>
      <c r="I16" s="70"/>
      <c r="J16" s="70"/>
      <c r="K16" s="70"/>
      <c r="L16" s="253"/>
      <c r="M16" s="70"/>
      <c r="N16" s="70"/>
      <c r="O16" s="70"/>
      <c r="P16" s="70"/>
      <c r="Q16" s="70"/>
      <c r="R16" s="70"/>
      <c r="S16" s="70"/>
      <c r="T16" s="74"/>
      <c r="U16" s="70"/>
    </row>
    <row r="17" spans="1:21" x14ac:dyDescent="0.25">
      <c r="A17" s="157" t="s">
        <v>27</v>
      </c>
      <c r="B17" s="158" t="s">
        <v>28</v>
      </c>
      <c r="C17" s="87"/>
      <c r="D17" s="87"/>
      <c r="E17" s="87"/>
      <c r="F17" s="87"/>
      <c r="G17" s="45"/>
      <c r="H17" s="45"/>
      <c r="I17" s="169">
        <f>I15/12</f>
        <v>2472563.3333333335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80"/>
      <c r="U17" s="70"/>
    </row>
    <row r="18" spans="1:21" x14ac:dyDescent="0.25">
      <c r="A18" s="88" t="s">
        <v>29</v>
      </c>
      <c r="B18" s="52">
        <v>1200000</v>
      </c>
      <c r="C18" s="86"/>
      <c r="D18" s="86"/>
      <c r="E18" s="86"/>
      <c r="F18" s="86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80"/>
      <c r="U18" s="70" t="s">
        <v>1</v>
      </c>
    </row>
    <row r="19" spans="1:21" x14ac:dyDescent="0.25">
      <c r="A19" s="88" t="s">
        <v>30</v>
      </c>
      <c r="B19" s="52">
        <v>500000</v>
      </c>
      <c r="C19" s="86"/>
      <c r="D19" s="86"/>
      <c r="E19" s="86"/>
      <c r="F19" s="86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80"/>
      <c r="U19" s="45"/>
    </row>
    <row r="20" spans="1:21" x14ac:dyDescent="0.25">
      <c r="A20" s="89" t="s">
        <v>31</v>
      </c>
      <c r="B20" s="52">
        <v>500000</v>
      </c>
      <c r="C20" s="86"/>
      <c r="D20" s="86"/>
      <c r="E20" s="86"/>
      <c r="F20" s="86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80"/>
      <c r="U20" s="84"/>
    </row>
    <row r="21" spans="1:21" ht="15.75" customHeight="1" x14ac:dyDescent="0.25">
      <c r="A21" s="159" t="s">
        <v>32</v>
      </c>
      <c r="B21" s="160">
        <f>SUM(B18:B20)</f>
        <v>2200000</v>
      </c>
      <c r="C21" s="90"/>
      <c r="D21" s="90"/>
      <c r="E21" s="90"/>
      <c r="F21" s="90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3"/>
      <c r="U21" s="45"/>
    </row>
    <row r="22" spans="1:2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1:21" ht="21" x14ac:dyDescent="0.3">
      <c r="A23" s="156" t="s">
        <v>33</v>
      </c>
      <c r="B23" s="161" t="s">
        <v>25</v>
      </c>
      <c r="C23" s="162">
        <v>6.8000000000000005E-2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/>
      <c r="U23" s="45"/>
    </row>
    <row r="24" spans="1:21" x14ac:dyDescent="0.25">
      <c r="A24" s="73"/>
      <c r="B24" s="70" t="s">
        <v>1</v>
      </c>
      <c r="C24" s="70" t="s">
        <v>1</v>
      </c>
      <c r="D24" s="70" t="s">
        <v>1</v>
      </c>
      <c r="E24" s="70" t="s">
        <v>1</v>
      </c>
      <c r="F24" s="70" t="s">
        <v>1</v>
      </c>
      <c r="G24" s="70" t="s">
        <v>1</v>
      </c>
      <c r="H24" s="70" t="s">
        <v>1</v>
      </c>
      <c r="I24" s="70" t="s">
        <v>1</v>
      </c>
      <c r="J24" s="315" t="s">
        <v>26</v>
      </c>
      <c r="K24" s="315" t="s">
        <v>26</v>
      </c>
      <c r="L24" s="70" t="s">
        <v>1</v>
      </c>
      <c r="M24" s="70" t="s">
        <v>1</v>
      </c>
      <c r="N24" s="70" t="s">
        <v>1</v>
      </c>
      <c r="O24" s="70" t="s">
        <v>1</v>
      </c>
      <c r="P24" s="70" t="s">
        <v>1</v>
      </c>
      <c r="Q24" s="70" t="s">
        <v>1</v>
      </c>
      <c r="R24" s="70" t="s">
        <v>1</v>
      </c>
      <c r="S24" s="70" t="s">
        <v>1</v>
      </c>
      <c r="T24" s="74" t="s">
        <v>1</v>
      </c>
      <c r="U24" s="70"/>
    </row>
    <row r="25" spans="1:21" x14ac:dyDescent="0.25">
      <c r="A25" s="75" t="s">
        <v>2</v>
      </c>
      <c r="B25" s="53" t="s">
        <v>3</v>
      </c>
      <c r="C25" s="53" t="s">
        <v>4</v>
      </c>
      <c r="D25" s="163" t="s">
        <v>5</v>
      </c>
      <c r="E25" s="53" t="s">
        <v>6</v>
      </c>
      <c r="F25" s="53" t="s">
        <v>7</v>
      </c>
      <c r="G25" s="54" t="s">
        <v>8</v>
      </c>
      <c r="H25" s="163" t="s">
        <v>9</v>
      </c>
      <c r="I25" s="221" t="s">
        <v>10</v>
      </c>
      <c r="J25" s="53" t="s">
        <v>6</v>
      </c>
      <c r="K25" s="53" t="s">
        <v>7</v>
      </c>
      <c r="L25" s="221" t="s">
        <v>11</v>
      </c>
      <c r="M25" s="53" t="s">
        <v>12</v>
      </c>
      <c r="N25" s="221" t="s">
        <v>13</v>
      </c>
      <c r="O25" s="53" t="s">
        <v>14</v>
      </c>
      <c r="P25" s="53" t="s">
        <v>15</v>
      </c>
      <c r="Q25" s="53" t="s">
        <v>16</v>
      </c>
      <c r="R25" s="53" t="s">
        <v>17</v>
      </c>
      <c r="S25" s="53" t="s">
        <v>18</v>
      </c>
      <c r="T25" s="247" t="s">
        <v>19</v>
      </c>
      <c r="U25" s="70" t="s">
        <v>1</v>
      </c>
    </row>
    <row r="26" spans="1:21" x14ac:dyDescent="0.25">
      <c r="A26" s="76" t="s">
        <v>20</v>
      </c>
      <c r="B26" s="56">
        <f>B13*(1+6.8%)</f>
        <v>19224000</v>
      </c>
      <c r="C26" s="56">
        <f>C13*(1+6.8%)</f>
        <v>162528.24000000002</v>
      </c>
      <c r="D26" s="164">
        <f>SUM(B26:C26)</f>
        <v>19386528.239999998</v>
      </c>
      <c r="E26" s="56">
        <f>(B26*4)/100</f>
        <v>768960</v>
      </c>
      <c r="F26" s="56">
        <f>(B26*4)/100</f>
        <v>768960</v>
      </c>
      <c r="G26" s="55" t="s">
        <v>1</v>
      </c>
      <c r="H26" s="164">
        <f>SUM(E26:G26)</f>
        <v>1537920</v>
      </c>
      <c r="I26" s="222">
        <f>D26-H26</f>
        <v>17848608.239999998</v>
      </c>
      <c r="J26" s="56">
        <f>(B26*8.5)/100</f>
        <v>1634040</v>
      </c>
      <c r="K26" s="56">
        <f>(B26*12)/100</f>
        <v>2306880</v>
      </c>
      <c r="L26" s="222">
        <f>SUM(J26:K26)</f>
        <v>3940920</v>
      </c>
      <c r="M26" s="56">
        <f>B26*4%</f>
        <v>768960</v>
      </c>
      <c r="N26" s="222">
        <f>M26</f>
        <v>768960</v>
      </c>
      <c r="O26" s="56">
        <f>$D$26*8.33%</f>
        <v>1614897.8023919999</v>
      </c>
      <c r="P26" s="56">
        <f>$D$26*8.33%</f>
        <v>1614897.8023919999</v>
      </c>
      <c r="Q26" s="56">
        <f>B26*4.17%</f>
        <v>801640.8</v>
      </c>
      <c r="R26" s="56">
        <f>O26*1%</f>
        <v>16148.978023919999</v>
      </c>
      <c r="S26" s="56">
        <f>B26*1.044%</f>
        <v>200698.56</v>
      </c>
      <c r="T26" s="248">
        <f>SUM(O26:S26)</f>
        <v>4248283.9428079193</v>
      </c>
      <c r="U26" s="45"/>
    </row>
    <row r="27" spans="1:21" x14ac:dyDescent="0.25">
      <c r="A27" s="77" t="s">
        <v>34</v>
      </c>
      <c r="B27" s="56">
        <f>B14*(1+6.8%)</f>
        <v>14866560</v>
      </c>
      <c r="C27" s="56">
        <f>C14*(1+6.8%)</f>
        <v>162528.24000000002</v>
      </c>
      <c r="D27" s="165">
        <f>SUM(B27:C27)</f>
        <v>15029088.24</v>
      </c>
      <c r="E27" s="56">
        <f>(B27*4)/100</f>
        <v>594662.40000000002</v>
      </c>
      <c r="F27" s="56">
        <f>(B27*4)/100</f>
        <v>594662.40000000002</v>
      </c>
      <c r="G27" s="57" t="s">
        <v>1</v>
      </c>
      <c r="H27" s="164">
        <f t="shared" ref="H27:H28" si="4">SUM(E27:G27)</f>
        <v>1189324.8</v>
      </c>
      <c r="I27" s="222">
        <f>D27-H27</f>
        <v>13839763.439999999</v>
      </c>
      <c r="J27" s="56">
        <f>(B27*8.5)/100</f>
        <v>1263657.6000000001</v>
      </c>
      <c r="K27" s="56">
        <f>(B27*12)/100</f>
        <v>1783987.2</v>
      </c>
      <c r="L27" s="246">
        <f>SUM(J27:K27)</f>
        <v>3047644.8</v>
      </c>
      <c r="M27" s="56">
        <f t="shared" ref="M27" si="5">B27*4%</f>
        <v>594662.40000000002</v>
      </c>
      <c r="N27" s="222">
        <f t="shared" ref="N27:N28" si="6">M27</f>
        <v>594662.40000000002</v>
      </c>
      <c r="O27" s="56">
        <f>D27*8.33%</f>
        <v>1251923.050392</v>
      </c>
      <c r="P27" s="56">
        <f>D27*8.33%</f>
        <v>1251923.050392</v>
      </c>
      <c r="Q27" s="56">
        <f>B27*4.17%</f>
        <v>619935.55200000003</v>
      </c>
      <c r="R27" s="56">
        <f>O27*1%</f>
        <v>12519.23050392</v>
      </c>
      <c r="S27" s="56">
        <f>B27*1.044%</f>
        <v>155206.88639999999</v>
      </c>
      <c r="T27" s="248">
        <f>SUM(O27:S27)</f>
        <v>3291507.7696879203</v>
      </c>
      <c r="U27" s="84"/>
    </row>
    <row r="28" spans="1:21" ht="15.75" customHeight="1" x14ac:dyDescent="0.25">
      <c r="A28" s="78" t="s">
        <v>22</v>
      </c>
      <c r="B28" s="59">
        <f>SUM(B26:B27)</f>
        <v>34090560</v>
      </c>
      <c r="C28" s="58">
        <f>SUM(C26:C27)</f>
        <v>325056.48000000004</v>
      </c>
      <c r="D28" s="165">
        <f>D26+D27</f>
        <v>34415616.479999997</v>
      </c>
      <c r="E28" s="58">
        <f>SUM(E26:E27)</f>
        <v>1363622.4</v>
      </c>
      <c r="F28" s="58">
        <f>SUM(F26:F27)</f>
        <v>1363622.4</v>
      </c>
      <c r="G28" s="57" t="s">
        <v>23</v>
      </c>
      <c r="H28" s="164">
        <f t="shared" si="4"/>
        <v>2727244.8</v>
      </c>
      <c r="I28" s="246">
        <f>SUM(I26:I27)</f>
        <v>31688371.68</v>
      </c>
      <c r="J28" s="58">
        <f>SUM(J26:J27)</f>
        <v>2897697.6</v>
      </c>
      <c r="K28" s="58">
        <f>SUM(K26:K27)</f>
        <v>4090867.2</v>
      </c>
      <c r="L28" s="246">
        <f>SUM(L26:L27)</f>
        <v>6988564.7999999998</v>
      </c>
      <c r="M28" s="56">
        <f>SUM(M26:M27)</f>
        <v>1363622.4</v>
      </c>
      <c r="N28" s="222">
        <f t="shared" si="6"/>
        <v>1363622.4</v>
      </c>
      <c r="O28" s="58">
        <f>SUM(O26:O27)</f>
        <v>2866820.8527839999</v>
      </c>
      <c r="P28" s="56">
        <f>D28*8.33%</f>
        <v>2866820.8527839999</v>
      </c>
      <c r="Q28" s="58">
        <f>SUM(Q26:Q27)</f>
        <v>1421576.352</v>
      </c>
      <c r="R28" s="58">
        <f>SUM(R26:R27)</f>
        <v>28668.208527839997</v>
      </c>
      <c r="S28" s="58">
        <f>SUM(S26:S27)</f>
        <v>355905.44640000002</v>
      </c>
      <c r="T28" s="249">
        <f>T26+T27</f>
        <v>7539791.7124958392</v>
      </c>
      <c r="U28" s="45"/>
    </row>
    <row r="29" spans="1:21" ht="15.75" customHeight="1" x14ac:dyDescent="0.25">
      <c r="A29" s="79"/>
      <c r="B29" s="45"/>
      <c r="C29" s="45"/>
      <c r="D29" s="45"/>
      <c r="E29" s="45"/>
      <c r="F29" s="45"/>
      <c r="G29" s="47"/>
      <c r="H29" s="45"/>
      <c r="I29" s="215"/>
      <c r="J29" s="45"/>
      <c r="K29" s="45"/>
      <c r="L29" s="215"/>
      <c r="M29" s="45"/>
      <c r="N29" s="215"/>
      <c r="O29" s="45"/>
      <c r="P29" s="45"/>
      <c r="Q29" s="45"/>
      <c r="R29" s="45"/>
      <c r="S29" s="45"/>
      <c r="T29" s="250"/>
      <c r="U29" s="45"/>
    </row>
    <row r="30" spans="1:21" ht="15.75" customHeight="1" x14ac:dyDescent="0.25">
      <c r="A30" s="157" t="s">
        <v>27</v>
      </c>
      <c r="B30" s="158" t="s">
        <v>28</v>
      </c>
      <c r="C30" s="91"/>
      <c r="D30" s="91"/>
      <c r="E30" s="91"/>
      <c r="F30" s="91"/>
      <c r="G30" s="45"/>
      <c r="H30" s="45"/>
      <c r="I30" s="21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80"/>
      <c r="U30" s="45"/>
    </row>
    <row r="31" spans="1:21" ht="15.75" customHeight="1" x14ac:dyDescent="0.25">
      <c r="A31" s="88" t="s">
        <v>29</v>
      </c>
      <c r="B31" s="52">
        <f>B18*(1+$C$23)</f>
        <v>1281600</v>
      </c>
      <c r="C31" s="86"/>
      <c r="D31" s="86"/>
      <c r="E31" s="86"/>
      <c r="F31" s="86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80"/>
      <c r="U31" s="70"/>
    </row>
    <row r="32" spans="1:21" ht="15.75" customHeight="1" x14ac:dyDescent="0.25">
      <c r="A32" s="88" t="s">
        <v>30</v>
      </c>
      <c r="B32" s="52">
        <f t="shared" ref="B32:B33" si="7">B19*(1+$C$23)</f>
        <v>534000</v>
      </c>
      <c r="C32" s="86"/>
      <c r="D32" s="86"/>
      <c r="E32" s="86"/>
      <c r="F32" s="86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80"/>
      <c r="U32" s="70" t="s">
        <v>1</v>
      </c>
    </row>
    <row r="33" spans="1:21" ht="15.75" customHeight="1" x14ac:dyDescent="0.25">
      <c r="A33" s="89" t="s">
        <v>31</v>
      </c>
      <c r="B33" s="52">
        <f t="shared" si="7"/>
        <v>534000</v>
      </c>
      <c r="C33" s="86"/>
      <c r="D33" s="86"/>
      <c r="E33" s="86"/>
      <c r="F33" s="86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80"/>
      <c r="U33" s="45"/>
    </row>
    <row r="34" spans="1:21" ht="15.75" customHeight="1" x14ac:dyDescent="0.25">
      <c r="A34" s="159" t="s">
        <v>32</v>
      </c>
      <c r="B34" s="160">
        <f>SUM(B31:B33)</f>
        <v>2349600</v>
      </c>
      <c r="C34" s="90"/>
      <c r="D34" s="90"/>
      <c r="E34" s="90"/>
      <c r="F34" s="90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3"/>
      <c r="U34" s="84"/>
    </row>
    <row r="35" spans="1:21" ht="15.75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1" ht="15.75" customHeight="1" x14ac:dyDescent="0.3">
      <c r="A36" s="156" t="s">
        <v>35</v>
      </c>
      <c r="B36" s="161" t="s">
        <v>36</v>
      </c>
      <c r="C36" s="162">
        <v>5.2999999999999999E-2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2"/>
      <c r="U36" s="45"/>
    </row>
    <row r="37" spans="1:21" ht="15.75" customHeight="1" x14ac:dyDescent="0.25">
      <c r="A37" s="73"/>
      <c r="B37" s="70" t="s">
        <v>1</v>
      </c>
      <c r="C37" s="70" t="s">
        <v>1</v>
      </c>
      <c r="D37" s="70" t="s">
        <v>1</v>
      </c>
      <c r="E37" s="70" t="s">
        <v>1</v>
      </c>
      <c r="F37" s="70" t="s">
        <v>1</v>
      </c>
      <c r="G37" s="70" t="s">
        <v>1</v>
      </c>
      <c r="H37" s="70" t="s">
        <v>1</v>
      </c>
      <c r="I37" s="70" t="s">
        <v>1</v>
      </c>
      <c r="J37" s="315" t="s">
        <v>26</v>
      </c>
      <c r="K37" s="315" t="s">
        <v>26</v>
      </c>
      <c r="L37" s="70" t="s">
        <v>1</v>
      </c>
      <c r="M37" s="70" t="s">
        <v>1</v>
      </c>
      <c r="N37" s="70" t="s">
        <v>1</v>
      </c>
      <c r="O37" s="70" t="s">
        <v>1</v>
      </c>
      <c r="P37" s="70" t="s">
        <v>1</v>
      </c>
      <c r="Q37" s="70" t="s">
        <v>1</v>
      </c>
      <c r="R37" s="70" t="s">
        <v>1</v>
      </c>
      <c r="S37" s="70" t="s">
        <v>1</v>
      </c>
      <c r="T37" s="74" t="s">
        <v>1</v>
      </c>
      <c r="U37" s="45"/>
    </row>
    <row r="38" spans="1:21" ht="15.75" customHeight="1" x14ac:dyDescent="0.25">
      <c r="A38" s="75" t="s">
        <v>2</v>
      </c>
      <c r="B38" s="53" t="s">
        <v>3</v>
      </c>
      <c r="C38" s="53" t="s">
        <v>4</v>
      </c>
      <c r="D38" s="163" t="s">
        <v>5</v>
      </c>
      <c r="E38" s="53" t="s">
        <v>6</v>
      </c>
      <c r="F38" s="53" t="s">
        <v>7</v>
      </c>
      <c r="G38" s="54" t="s">
        <v>8</v>
      </c>
      <c r="H38" s="163" t="s">
        <v>9</v>
      </c>
      <c r="I38" s="221" t="s">
        <v>10</v>
      </c>
      <c r="J38" s="53" t="s">
        <v>6</v>
      </c>
      <c r="K38" s="53" t="s">
        <v>7</v>
      </c>
      <c r="L38" s="221" t="s">
        <v>11</v>
      </c>
      <c r="M38" s="53" t="s">
        <v>12</v>
      </c>
      <c r="N38" s="221" t="s">
        <v>13</v>
      </c>
      <c r="O38" s="53" t="s">
        <v>14</v>
      </c>
      <c r="P38" s="53" t="s">
        <v>15</v>
      </c>
      <c r="Q38" s="53" t="s">
        <v>16</v>
      </c>
      <c r="R38" s="53" t="s">
        <v>17</v>
      </c>
      <c r="S38" s="53" t="s">
        <v>18</v>
      </c>
      <c r="T38" s="247" t="s">
        <v>19</v>
      </c>
      <c r="U38" s="70"/>
    </row>
    <row r="39" spans="1:21" ht="15.75" customHeight="1" x14ac:dyDescent="0.25">
      <c r="A39" s="76" t="s">
        <v>20</v>
      </c>
      <c r="B39" s="56">
        <f>B26*(1+5.3%)</f>
        <v>20242872</v>
      </c>
      <c r="C39" s="56">
        <f>C26*(1+5.3%)</f>
        <v>171142.23672000002</v>
      </c>
      <c r="D39" s="164">
        <f>SUM(B39:C39)</f>
        <v>20414014.236719999</v>
      </c>
      <c r="E39" s="56">
        <f>(B39*4)/100</f>
        <v>809714.88</v>
      </c>
      <c r="F39" s="56">
        <f>(B39*4)/100</f>
        <v>809714.88</v>
      </c>
      <c r="G39" s="55" t="s">
        <v>1</v>
      </c>
      <c r="H39" s="164">
        <f>SUM(E39:G39)</f>
        <v>1619429.76</v>
      </c>
      <c r="I39" s="222">
        <f>D39-H39</f>
        <v>18794584.476719998</v>
      </c>
      <c r="J39" s="56">
        <f>(B39*8.5)/100</f>
        <v>1720644.12</v>
      </c>
      <c r="K39" s="56">
        <f>(B39*12)/100</f>
        <v>2429144.64</v>
      </c>
      <c r="L39" s="222">
        <f>SUM(J39:K39)</f>
        <v>4149788.7600000002</v>
      </c>
      <c r="M39" s="56">
        <f>B39*4%</f>
        <v>809714.88</v>
      </c>
      <c r="N39" s="222">
        <f>M39</f>
        <v>809714.88</v>
      </c>
      <c r="O39" s="56">
        <f>D39*8.33%</f>
        <v>1700487.385918776</v>
      </c>
      <c r="P39" s="56">
        <f>D39*8.33%</f>
        <v>1700487.385918776</v>
      </c>
      <c r="Q39" s="56">
        <f>B39*4.17%</f>
        <v>844127.76240000001</v>
      </c>
      <c r="R39" s="56">
        <f>O39*1%</f>
        <v>17004.873859187759</v>
      </c>
      <c r="S39" s="56">
        <f>B39*1.044%</f>
        <v>211335.58367999998</v>
      </c>
      <c r="T39" s="248">
        <f>SUM(O39:S39)</f>
        <v>4473442.9917767402</v>
      </c>
      <c r="U39" s="70" t="s">
        <v>1</v>
      </c>
    </row>
    <row r="40" spans="1:21" ht="15.75" customHeight="1" x14ac:dyDescent="0.25">
      <c r="A40" s="77" t="s">
        <v>34</v>
      </c>
      <c r="B40" s="56">
        <f>B27*(1+5.3%)</f>
        <v>15654487.68</v>
      </c>
      <c r="C40" s="56">
        <f>C27*(1+5.3%)</f>
        <v>171142.23672000002</v>
      </c>
      <c r="D40" s="165">
        <f>SUM(B40:C40)</f>
        <v>15825629.916719999</v>
      </c>
      <c r="E40" s="56">
        <f>(B40*4)/100</f>
        <v>626179.50719999999</v>
      </c>
      <c r="F40" s="56">
        <f>(B40*4)/100</f>
        <v>626179.50719999999</v>
      </c>
      <c r="G40" s="57" t="s">
        <v>1</v>
      </c>
      <c r="H40" s="164">
        <f t="shared" ref="H40:H41" si="8">SUM(E40:G40)</f>
        <v>1252359.0144</v>
      </c>
      <c r="I40" s="222">
        <f>D40-H40</f>
        <v>14573270.902319999</v>
      </c>
      <c r="J40" s="56">
        <f>(B40*8.5)/100</f>
        <v>1330631.4528000001</v>
      </c>
      <c r="K40" s="56">
        <f>(B40*12)/100</f>
        <v>1878538.5215999999</v>
      </c>
      <c r="L40" s="246">
        <f>SUM(J40:K40)</f>
        <v>3209169.9743999997</v>
      </c>
      <c r="M40" s="56">
        <f t="shared" ref="M40" si="9">B40*4%</f>
        <v>626179.50719999999</v>
      </c>
      <c r="N40" s="222">
        <f t="shared" ref="N40:N41" si="10">M40</f>
        <v>626179.50719999999</v>
      </c>
      <c r="O40" s="56">
        <f>D40*8.33%</f>
        <v>1318274.9720627759</v>
      </c>
      <c r="P40" s="56">
        <f t="shared" ref="P40:P41" si="11">D40*8.33%</f>
        <v>1318274.9720627759</v>
      </c>
      <c r="Q40" s="56">
        <f>B40*4.17%</f>
        <v>652792.13625600003</v>
      </c>
      <c r="R40" s="56">
        <f>O40*1%</f>
        <v>13182.749720627759</v>
      </c>
      <c r="S40" s="56">
        <f>B40*1.044%</f>
        <v>163432.8513792</v>
      </c>
      <c r="T40" s="248">
        <f>SUM(O40:S40)</f>
        <v>3465957.6814813795</v>
      </c>
      <c r="U40" s="45"/>
    </row>
    <row r="41" spans="1:21" ht="15.75" customHeight="1" x14ac:dyDescent="0.25">
      <c r="A41" s="78" t="s">
        <v>22</v>
      </c>
      <c r="B41" s="59">
        <f>SUM(B39:B40)</f>
        <v>35897359.68</v>
      </c>
      <c r="C41" s="58">
        <f>SUM(C39:C40)</f>
        <v>342284.47344000003</v>
      </c>
      <c r="D41" s="165">
        <f>D39+D40</f>
        <v>36239644.153439999</v>
      </c>
      <c r="E41" s="58">
        <f>SUM(E39:E40)</f>
        <v>1435894.3872</v>
      </c>
      <c r="F41" s="58">
        <f>SUM(F39:F40)</f>
        <v>1435894.3872</v>
      </c>
      <c r="G41" s="57" t="s">
        <v>23</v>
      </c>
      <c r="H41" s="164">
        <f t="shared" si="8"/>
        <v>2871788.7744</v>
      </c>
      <c r="I41" s="246">
        <f>SUM(I39:I40)</f>
        <v>33367855.379039995</v>
      </c>
      <c r="J41" s="58">
        <f>SUM(J39:J40)</f>
        <v>3051275.5728000002</v>
      </c>
      <c r="K41" s="58">
        <f>SUM(K39:K40)</f>
        <v>4307683.1616000002</v>
      </c>
      <c r="L41" s="246">
        <f>SUM(L39:L40)</f>
        <v>7358958.7344000004</v>
      </c>
      <c r="M41" s="56">
        <f>SUM(M39:M40)</f>
        <v>1435894.3872</v>
      </c>
      <c r="N41" s="222">
        <f t="shared" si="10"/>
        <v>1435894.3872</v>
      </c>
      <c r="O41" s="58">
        <f>SUM(O39:O40)</f>
        <v>3018762.3579815519</v>
      </c>
      <c r="P41" s="56">
        <f t="shared" si="11"/>
        <v>3018762.3579815519</v>
      </c>
      <c r="Q41" s="58">
        <f>SUM(Q39:Q40)</f>
        <v>1496919.8986559999</v>
      </c>
      <c r="R41" s="58">
        <f>SUM(R39:R40)</f>
        <v>30187.623579815518</v>
      </c>
      <c r="S41" s="58">
        <f>SUM(S39:S40)</f>
        <v>374768.43505919998</v>
      </c>
      <c r="T41" s="249">
        <f>T39+T40</f>
        <v>7939400.6732581202</v>
      </c>
      <c r="U41" s="84"/>
    </row>
    <row r="42" spans="1:21" ht="15.75" customHeight="1" x14ac:dyDescent="0.25">
      <c r="A42" s="7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215"/>
      <c r="M42" s="45"/>
      <c r="N42" s="45"/>
      <c r="O42" s="45"/>
      <c r="P42" s="45"/>
      <c r="Q42" s="45"/>
      <c r="R42" s="45"/>
      <c r="S42" s="45"/>
      <c r="T42" s="80"/>
      <c r="U42" s="45"/>
    </row>
    <row r="43" spans="1:21" ht="15.75" customHeight="1" x14ac:dyDescent="0.25">
      <c r="A43" s="157" t="s">
        <v>37</v>
      </c>
      <c r="B43" s="158" t="s">
        <v>28</v>
      </c>
      <c r="C43" s="91"/>
      <c r="D43" s="91"/>
      <c r="E43" s="91"/>
      <c r="F43" s="91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80"/>
      <c r="U43" s="45"/>
    </row>
    <row r="44" spans="1:21" ht="15.75" customHeight="1" x14ac:dyDescent="0.25">
      <c r="A44" s="88" t="s">
        <v>29</v>
      </c>
      <c r="B44" s="52">
        <f>B31*(1+$C$36)</f>
        <v>1349524.7999999998</v>
      </c>
      <c r="C44" s="86"/>
      <c r="D44" s="86"/>
      <c r="E44" s="86"/>
      <c r="F44" s="86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80"/>
      <c r="U44" s="45"/>
    </row>
    <row r="45" spans="1:21" ht="15.75" customHeight="1" x14ac:dyDescent="0.25">
      <c r="A45" s="88" t="s">
        <v>30</v>
      </c>
      <c r="B45" s="52">
        <f t="shared" ref="B45:B46" si="12">B32*(1+$C$36)</f>
        <v>562302</v>
      </c>
      <c r="C45" s="86"/>
      <c r="D45" s="86"/>
      <c r="E45" s="86"/>
      <c r="F45" s="86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80"/>
      <c r="U45" s="45"/>
    </row>
    <row r="46" spans="1:21" ht="15.75" customHeight="1" x14ac:dyDescent="0.25">
      <c r="A46" s="89" t="s">
        <v>31</v>
      </c>
      <c r="B46" s="52">
        <f t="shared" si="12"/>
        <v>562302</v>
      </c>
      <c r="C46" s="86"/>
      <c r="D46" s="86"/>
      <c r="E46" s="86"/>
      <c r="F46" s="86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80"/>
      <c r="U46" s="45"/>
    </row>
    <row r="47" spans="1:21" ht="15.75" customHeight="1" x14ac:dyDescent="0.25">
      <c r="A47" s="159" t="s">
        <v>32</v>
      </c>
      <c r="B47" s="160">
        <f>SUM(B44:B46)</f>
        <v>2474128.7999999998</v>
      </c>
      <c r="C47" s="90"/>
      <c r="D47" s="90"/>
      <c r="E47" s="90"/>
      <c r="F47" s="90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3"/>
      <c r="U47" s="45"/>
    </row>
    <row r="48" spans="1:21" ht="15.75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spans="1:21" ht="15.75" customHeight="1" x14ac:dyDescent="0.3">
      <c r="A49" s="156" t="s">
        <v>38</v>
      </c>
      <c r="B49" s="161" t="s">
        <v>36</v>
      </c>
      <c r="C49" s="162">
        <v>4.1000000000000002E-2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2"/>
      <c r="U49" s="45"/>
    </row>
    <row r="50" spans="1:21" ht="15.75" customHeight="1" x14ac:dyDescent="0.25">
      <c r="A50" s="73"/>
      <c r="B50" s="70" t="s">
        <v>1</v>
      </c>
      <c r="C50" s="70" t="s">
        <v>1</v>
      </c>
      <c r="D50" s="70" t="s">
        <v>1</v>
      </c>
      <c r="E50" s="70" t="s">
        <v>1</v>
      </c>
      <c r="F50" s="70" t="s">
        <v>1</v>
      </c>
      <c r="G50" s="70" t="s">
        <v>1</v>
      </c>
      <c r="H50" s="70" t="s">
        <v>1</v>
      </c>
      <c r="I50" s="70" t="s">
        <v>1</v>
      </c>
      <c r="J50" s="315" t="s">
        <v>26</v>
      </c>
      <c r="K50" s="315" t="s">
        <v>26</v>
      </c>
      <c r="L50" s="70" t="s">
        <v>1</v>
      </c>
      <c r="M50" s="70" t="s">
        <v>1</v>
      </c>
      <c r="N50" s="70" t="s">
        <v>1</v>
      </c>
      <c r="O50" s="70" t="s">
        <v>1</v>
      </c>
      <c r="P50" s="70" t="s">
        <v>1</v>
      </c>
      <c r="Q50" s="70" t="s">
        <v>1</v>
      </c>
      <c r="R50" s="70" t="s">
        <v>1</v>
      </c>
      <c r="S50" s="70" t="s">
        <v>1</v>
      </c>
      <c r="T50" s="74" t="s">
        <v>1</v>
      </c>
      <c r="U50" s="45"/>
    </row>
    <row r="51" spans="1:21" ht="15.75" customHeight="1" x14ac:dyDescent="0.25">
      <c r="A51" s="75" t="s">
        <v>2</v>
      </c>
      <c r="B51" s="53" t="s">
        <v>3</v>
      </c>
      <c r="C51" s="53" t="s">
        <v>4</v>
      </c>
      <c r="D51" s="163" t="s">
        <v>5</v>
      </c>
      <c r="E51" s="53" t="s">
        <v>6</v>
      </c>
      <c r="F51" s="53" t="s">
        <v>7</v>
      </c>
      <c r="G51" s="54" t="s">
        <v>8</v>
      </c>
      <c r="H51" s="163" t="s">
        <v>9</v>
      </c>
      <c r="I51" s="166" t="s">
        <v>10</v>
      </c>
      <c r="J51" s="53" t="s">
        <v>6</v>
      </c>
      <c r="K51" s="53" t="s">
        <v>7</v>
      </c>
      <c r="L51" s="163" t="s">
        <v>11</v>
      </c>
      <c r="M51" s="53" t="s">
        <v>12</v>
      </c>
      <c r="N51" s="163" t="s">
        <v>13</v>
      </c>
      <c r="O51" s="53" t="s">
        <v>14</v>
      </c>
      <c r="P51" s="53" t="s">
        <v>15</v>
      </c>
      <c r="Q51" s="53" t="s">
        <v>16</v>
      </c>
      <c r="R51" s="53" t="s">
        <v>17</v>
      </c>
      <c r="S51" s="53" t="s">
        <v>18</v>
      </c>
      <c r="T51" s="247" t="s">
        <v>19</v>
      </c>
      <c r="U51" s="45"/>
    </row>
    <row r="52" spans="1:21" ht="15.75" customHeight="1" x14ac:dyDescent="0.25">
      <c r="A52" s="76" t="s">
        <v>20</v>
      </c>
      <c r="B52" s="56">
        <f>B39*(1+4.1%)</f>
        <v>21072829.752</v>
      </c>
      <c r="C52" s="56">
        <f>C39*(1+4.1%)</f>
        <v>178159.06842552</v>
      </c>
      <c r="D52" s="164">
        <f>SUM(B52:C52)</f>
        <v>21250988.820425522</v>
      </c>
      <c r="E52" s="56">
        <f>(B52*4)/100</f>
        <v>842913.19007999997</v>
      </c>
      <c r="F52" s="56">
        <f>(B52*4)/100</f>
        <v>842913.19007999997</v>
      </c>
      <c r="G52" s="55" t="s">
        <v>1</v>
      </c>
      <c r="H52" s="164">
        <f>SUM(E52:G52)</f>
        <v>1685826.3801599999</v>
      </c>
      <c r="I52" s="167">
        <f>D52-H52</f>
        <v>19565162.440265521</v>
      </c>
      <c r="J52" s="56">
        <f>(B52*8.5)/100</f>
        <v>1791190.52892</v>
      </c>
      <c r="K52" s="56">
        <f>(B52*12)/100</f>
        <v>2528739.5702399998</v>
      </c>
      <c r="L52" s="164">
        <f>SUM(J52:K52)</f>
        <v>4319930.0991599998</v>
      </c>
      <c r="M52" s="56">
        <f>B52*4%</f>
        <v>842913.19008000009</v>
      </c>
      <c r="N52" s="164">
        <f>M52</f>
        <v>842913.19008000009</v>
      </c>
      <c r="O52" s="56">
        <f>D52*8.33%</f>
        <v>1770207.3687414459</v>
      </c>
      <c r="P52" s="56">
        <f>D52*8.33%</f>
        <v>1770207.3687414459</v>
      </c>
      <c r="Q52" s="56">
        <f>B52*4.17%</f>
        <v>878737.00065840001</v>
      </c>
      <c r="R52" s="56">
        <f>O52*1%</f>
        <v>17702.07368741446</v>
      </c>
      <c r="S52" s="56">
        <f>B52*1.044%</f>
        <v>220000.34261088</v>
      </c>
      <c r="T52" s="248">
        <f>SUM(O52:S52)</f>
        <v>4656854.1544395862</v>
      </c>
      <c r="U52" s="45"/>
    </row>
    <row r="53" spans="1:21" ht="15.75" customHeight="1" x14ac:dyDescent="0.25">
      <c r="A53" s="77" t="s">
        <v>34</v>
      </c>
      <c r="B53" s="56">
        <f>B40*(1+4.1%)</f>
        <v>16296321.674879998</v>
      </c>
      <c r="C53" s="56">
        <f>C40*(1+4.1%)</f>
        <v>178159.06842552</v>
      </c>
      <c r="D53" s="165">
        <f>SUM(B53:C53)</f>
        <v>16474480.743305517</v>
      </c>
      <c r="E53" s="56">
        <f>(B53*4)/100</f>
        <v>651852.86699519993</v>
      </c>
      <c r="F53" s="56">
        <f>(B53*4)/100</f>
        <v>651852.86699519993</v>
      </c>
      <c r="G53" s="57" t="s">
        <v>1</v>
      </c>
      <c r="H53" s="164">
        <f t="shared" ref="H53:H54" si="13">SUM(E53:G53)</f>
        <v>1303705.7339903999</v>
      </c>
      <c r="I53" s="167">
        <f>D53-H53</f>
        <v>15170775.009315118</v>
      </c>
      <c r="J53" s="56">
        <f>(B53*8.5)/100</f>
        <v>1385187.3423647999</v>
      </c>
      <c r="K53" s="56">
        <f>(B53*12)/100</f>
        <v>1955558.6009855997</v>
      </c>
      <c r="L53" s="165">
        <f>SUM(J53:K53)</f>
        <v>3340745.9433503998</v>
      </c>
      <c r="M53" s="56">
        <f t="shared" ref="M53" si="14">B53*4%</f>
        <v>651852.86699519993</v>
      </c>
      <c r="N53" s="164">
        <f t="shared" ref="N53:N54" si="15">M53</f>
        <v>651852.86699519993</v>
      </c>
      <c r="O53" s="56">
        <f>D53*8.33%</f>
        <v>1372324.2459173496</v>
      </c>
      <c r="P53" s="56">
        <f t="shared" ref="P53:P54" si="16">D53*8.33%</f>
        <v>1372324.2459173496</v>
      </c>
      <c r="Q53" s="56">
        <f>B53*4.17%</f>
        <v>679556.61384249595</v>
      </c>
      <c r="R53" s="56">
        <f>O53*1%</f>
        <v>13723.242459173496</v>
      </c>
      <c r="S53" s="56">
        <f>B53*1.044%</f>
        <v>170133.59828574717</v>
      </c>
      <c r="T53" s="248">
        <f>SUM(O53:S53)</f>
        <v>3608061.9464221154</v>
      </c>
      <c r="U53" s="45"/>
    </row>
    <row r="54" spans="1:21" ht="15.75" customHeight="1" x14ac:dyDescent="0.25">
      <c r="A54" s="78" t="s">
        <v>22</v>
      </c>
      <c r="B54" s="59">
        <f>SUM(B52:B53)</f>
        <v>37369151.426880002</v>
      </c>
      <c r="C54" s="58">
        <f>SUM(C52:C53)</f>
        <v>356318.13685104001</v>
      </c>
      <c r="D54" s="165">
        <f>D52+D53</f>
        <v>37725469.563731037</v>
      </c>
      <c r="E54" s="58">
        <f>SUM(E52:E53)</f>
        <v>1494766.0570751999</v>
      </c>
      <c r="F54" s="58">
        <f>SUM(F52:F53)</f>
        <v>1494766.0570751999</v>
      </c>
      <c r="G54" s="57" t="s">
        <v>23</v>
      </c>
      <c r="H54" s="164">
        <f t="shared" si="13"/>
        <v>2989532.1141503998</v>
      </c>
      <c r="I54" s="168">
        <f>SUM(I52:I53)</f>
        <v>34735937.44958064</v>
      </c>
      <c r="J54" s="58">
        <f>SUM(J52:J53)</f>
        <v>3176377.8712847997</v>
      </c>
      <c r="K54" s="58">
        <f>SUM(K52:K53)</f>
        <v>4484298.1712255999</v>
      </c>
      <c r="L54" s="165">
        <f>SUM(L52:L53)</f>
        <v>7660676.0425103996</v>
      </c>
      <c r="M54" s="56">
        <f>SUM(M52:M53)</f>
        <v>1494766.0570752001</v>
      </c>
      <c r="N54" s="164">
        <f t="shared" si="15"/>
        <v>1494766.0570752001</v>
      </c>
      <c r="O54" s="58">
        <f>SUM(O52:O53)</f>
        <v>3142531.6146587953</v>
      </c>
      <c r="P54" s="56">
        <f t="shared" si="16"/>
        <v>3142531.6146587953</v>
      </c>
      <c r="Q54" s="58">
        <f>SUM(Q52:Q53)</f>
        <v>1558293.6145008961</v>
      </c>
      <c r="R54" s="58">
        <f>SUM(R52:R53)</f>
        <v>31425.316146587957</v>
      </c>
      <c r="S54" s="58">
        <f>SUM(S52:S53)</f>
        <v>390133.94089662714</v>
      </c>
      <c r="T54" s="249">
        <f>T52+T53</f>
        <v>8264916.1008617021</v>
      </c>
      <c r="U54" s="45"/>
    </row>
    <row r="55" spans="1:21" ht="15.75" customHeight="1" x14ac:dyDescent="0.25">
      <c r="A55" s="7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250"/>
      <c r="U55" s="45"/>
    </row>
    <row r="56" spans="1:21" ht="15.75" customHeight="1" x14ac:dyDescent="0.25">
      <c r="A56" s="157" t="s">
        <v>37</v>
      </c>
      <c r="B56" s="158" t="s">
        <v>28</v>
      </c>
      <c r="C56" s="91"/>
      <c r="D56" s="91"/>
      <c r="E56" s="91"/>
      <c r="F56" s="91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80"/>
      <c r="U56" s="45"/>
    </row>
    <row r="57" spans="1:21" ht="15.75" customHeight="1" x14ac:dyDescent="0.25">
      <c r="A57" s="88" t="s">
        <v>29</v>
      </c>
      <c r="B57" s="52">
        <f>B44*(1+$C$49)</f>
        <v>1404855.3167999997</v>
      </c>
      <c r="C57" s="86"/>
      <c r="D57" s="86"/>
      <c r="E57" s="86"/>
      <c r="F57" s="86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80"/>
      <c r="U57" s="45"/>
    </row>
    <row r="58" spans="1:21" ht="15.75" customHeight="1" x14ac:dyDescent="0.25">
      <c r="A58" s="88" t="s">
        <v>30</v>
      </c>
      <c r="B58" s="52">
        <f t="shared" ref="B58:B59" si="17">B45*(1+$C$49)</f>
        <v>585356.38199999998</v>
      </c>
      <c r="C58" s="86"/>
      <c r="D58" s="86"/>
      <c r="E58" s="86"/>
      <c r="F58" s="86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80"/>
      <c r="U58" s="45"/>
    </row>
    <row r="59" spans="1:21" ht="15.75" customHeight="1" x14ac:dyDescent="0.25">
      <c r="A59" s="89" t="s">
        <v>31</v>
      </c>
      <c r="B59" s="52">
        <f t="shared" si="17"/>
        <v>585356.38199999998</v>
      </c>
      <c r="C59" s="86"/>
      <c r="D59" s="86"/>
      <c r="E59" s="86"/>
      <c r="F59" s="86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80"/>
      <c r="U59" s="45"/>
    </row>
    <row r="60" spans="1:21" ht="15.75" customHeight="1" x14ac:dyDescent="0.25">
      <c r="A60" s="159" t="s">
        <v>32</v>
      </c>
      <c r="B60" s="160">
        <f>SUM(B57:B59)</f>
        <v>2575568.0807999996</v>
      </c>
      <c r="C60" s="90"/>
      <c r="D60" s="90"/>
      <c r="E60" s="90"/>
      <c r="F60" s="90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3"/>
      <c r="U60" s="45"/>
    </row>
    <row r="61" spans="1:21" ht="15.75" customHeight="1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1" ht="15.75" customHeight="1" x14ac:dyDescent="0.3">
      <c r="A62" s="156" t="s">
        <v>39</v>
      </c>
      <c r="B62" s="161" t="s">
        <v>25</v>
      </c>
      <c r="C62" s="162">
        <v>3.5000000000000003E-2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2"/>
      <c r="U62" s="45"/>
    </row>
    <row r="63" spans="1:21" ht="15.75" customHeight="1" x14ac:dyDescent="0.25">
      <c r="A63" s="73"/>
      <c r="B63" s="70" t="s">
        <v>1</v>
      </c>
      <c r="C63" s="70" t="s">
        <v>1</v>
      </c>
      <c r="D63" s="70" t="s">
        <v>1</v>
      </c>
      <c r="E63" s="70" t="s">
        <v>2</v>
      </c>
      <c r="F63" s="70" t="s">
        <v>2</v>
      </c>
      <c r="G63" s="70" t="s">
        <v>1</v>
      </c>
      <c r="H63" s="70" t="s">
        <v>1</v>
      </c>
      <c r="I63" s="70" t="s">
        <v>1</v>
      </c>
      <c r="J63" s="315" t="s">
        <v>26</v>
      </c>
      <c r="K63" s="315" t="s">
        <v>26</v>
      </c>
      <c r="L63" s="70" t="s">
        <v>1</v>
      </c>
      <c r="M63" s="70" t="s">
        <v>1</v>
      </c>
      <c r="N63" s="70" t="s">
        <v>1</v>
      </c>
      <c r="O63" s="70" t="s">
        <v>1</v>
      </c>
      <c r="P63" s="70" t="s">
        <v>1</v>
      </c>
      <c r="Q63" s="70" t="s">
        <v>1</v>
      </c>
      <c r="R63" s="70" t="s">
        <v>1</v>
      </c>
      <c r="S63" s="70" t="s">
        <v>1</v>
      </c>
      <c r="T63" s="74" t="s">
        <v>1</v>
      </c>
      <c r="U63" s="45"/>
    </row>
    <row r="64" spans="1:21" ht="15.75" customHeight="1" x14ac:dyDescent="0.25">
      <c r="A64" s="75" t="s">
        <v>2</v>
      </c>
      <c r="B64" s="53" t="s">
        <v>3</v>
      </c>
      <c r="C64" s="53" t="s">
        <v>4</v>
      </c>
      <c r="D64" s="163" t="s">
        <v>5</v>
      </c>
      <c r="E64" s="53" t="s">
        <v>6</v>
      </c>
      <c r="F64" s="53" t="s">
        <v>7</v>
      </c>
      <c r="G64" s="54" t="s">
        <v>8</v>
      </c>
      <c r="H64" s="163" t="s">
        <v>9</v>
      </c>
      <c r="I64" s="221" t="s">
        <v>10</v>
      </c>
      <c r="J64" s="53" t="s">
        <v>6</v>
      </c>
      <c r="K64" s="53" t="s">
        <v>7</v>
      </c>
      <c r="L64" s="221" t="s">
        <v>11</v>
      </c>
      <c r="M64" s="53" t="s">
        <v>12</v>
      </c>
      <c r="N64" s="221" t="s">
        <v>13</v>
      </c>
      <c r="O64" s="53" t="s">
        <v>14</v>
      </c>
      <c r="P64" s="53" t="s">
        <v>15</v>
      </c>
      <c r="Q64" s="53" t="s">
        <v>16</v>
      </c>
      <c r="R64" s="53" t="s">
        <v>17</v>
      </c>
      <c r="S64" s="53" t="s">
        <v>18</v>
      </c>
      <c r="T64" s="247" t="s">
        <v>19</v>
      </c>
      <c r="U64" s="45"/>
    </row>
    <row r="65" spans="1:21" ht="15.75" customHeight="1" x14ac:dyDescent="0.25">
      <c r="A65" s="76" t="s">
        <v>20</v>
      </c>
      <c r="B65" s="56">
        <f>B52*(1+4.1%)</f>
        <v>21936815.771832</v>
      </c>
      <c r="C65" s="56">
        <f>C52*(1+4.1%)</f>
        <v>185463.59023096631</v>
      </c>
      <c r="D65" s="164">
        <f>SUM(B65:C65)</f>
        <v>22122279.362062968</v>
      </c>
      <c r="E65" s="56">
        <f>(B65*4)/100</f>
        <v>877472.63087328</v>
      </c>
      <c r="F65" s="56">
        <f>(B65*4)/100</f>
        <v>877472.63087328</v>
      </c>
      <c r="G65" s="55" t="s">
        <v>1</v>
      </c>
      <c r="H65" s="164">
        <f>SUM(E65:G65)</f>
        <v>1754945.26174656</v>
      </c>
      <c r="I65" s="222">
        <f>D65-H65</f>
        <v>20367334.100316409</v>
      </c>
      <c r="J65" s="56">
        <f>(B65*8.5)/100</f>
        <v>1864629.3406057199</v>
      </c>
      <c r="K65" s="56">
        <f>(B65*12)/100</f>
        <v>2632417.8926198399</v>
      </c>
      <c r="L65" s="222">
        <f>SUM(J65:K65)</f>
        <v>4497047.2332255598</v>
      </c>
      <c r="M65" s="56">
        <f>B65*4%</f>
        <v>877472.63087328</v>
      </c>
      <c r="N65" s="222">
        <f>M65</f>
        <v>877472.63087328</v>
      </c>
      <c r="O65" s="56">
        <f>D65*8.33%</f>
        <v>1842785.8708598453</v>
      </c>
      <c r="P65" s="56">
        <f>D65*8.33%</f>
        <v>1842785.8708598453</v>
      </c>
      <c r="Q65" s="56">
        <f>B65*4.17%</f>
        <v>914765.21768539445</v>
      </c>
      <c r="R65" s="56">
        <f>O65*1%</f>
        <v>18427.858708598455</v>
      </c>
      <c r="S65" s="56">
        <f>B65*1.044%</f>
        <v>229020.35665792608</v>
      </c>
      <c r="T65" s="248">
        <f>SUM(O65:S65)</f>
        <v>4847785.1747716097</v>
      </c>
      <c r="U65" s="45"/>
    </row>
    <row r="66" spans="1:21" ht="15.75" customHeight="1" x14ac:dyDescent="0.25">
      <c r="A66" s="77" t="s">
        <v>34</v>
      </c>
      <c r="B66" s="56">
        <f>B53*(1+4.1%)</f>
        <v>16964470.863550078</v>
      </c>
      <c r="C66" s="56">
        <f>C53*(1+4.1%)</f>
        <v>185463.59023096631</v>
      </c>
      <c r="D66" s="165">
        <f>SUM(B66:C66)</f>
        <v>17149934.453781046</v>
      </c>
      <c r="E66" s="56">
        <f>(B66*4)/100</f>
        <v>678578.83454200311</v>
      </c>
      <c r="F66" s="56">
        <f>(B66*4)/100</f>
        <v>678578.83454200311</v>
      </c>
      <c r="G66" s="57" t="s">
        <v>1</v>
      </c>
      <c r="H66" s="164">
        <f t="shared" ref="H66:H67" si="18">SUM(E66:G66)</f>
        <v>1357157.6690840062</v>
      </c>
      <c r="I66" s="222">
        <f>D66-H66</f>
        <v>15792776.784697039</v>
      </c>
      <c r="J66" s="56">
        <f>(B66*8.5)/100</f>
        <v>1441980.0234017565</v>
      </c>
      <c r="K66" s="56">
        <f>(B66*12)/100</f>
        <v>2035736.5036260092</v>
      </c>
      <c r="L66" s="246">
        <f>SUM(J66:K66)</f>
        <v>3477716.5270277658</v>
      </c>
      <c r="M66" s="56">
        <f t="shared" ref="M66" si="19">B66*4%</f>
        <v>678578.83454200311</v>
      </c>
      <c r="N66" s="222">
        <f t="shared" ref="N66:N67" si="20">M66</f>
        <v>678578.83454200311</v>
      </c>
      <c r="O66" s="56">
        <f>D66*8.33%</f>
        <v>1428589.5399999612</v>
      </c>
      <c r="P66" s="56">
        <f t="shared" ref="P66:P67" si="21">D66*8.33%</f>
        <v>1428589.5399999612</v>
      </c>
      <c r="Q66" s="56">
        <f>B66*4.17%</f>
        <v>707418.43501003832</v>
      </c>
      <c r="R66" s="56">
        <f>O66*1%</f>
        <v>14285.895399999612</v>
      </c>
      <c r="S66" s="56">
        <f>B66*1.044%</f>
        <v>177109.0758154628</v>
      </c>
      <c r="T66" s="248">
        <f>SUM(O66:S66)</f>
        <v>3755992.4862254234</v>
      </c>
      <c r="U66" s="45"/>
    </row>
    <row r="67" spans="1:21" ht="15.75" customHeight="1" x14ac:dyDescent="0.25">
      <c r="A67" s="78" t="s">
        <v>22</v>
      </c>
      <c r="B67" s="59">
        <f>SUM(B65:B66)</f>
        <v>38901286.635382079</v>
      </c>
      <c r="C67" s="58">
        <f>SUM(C65:C66)</f>
        <v>370927.18046193261</v>
      </c>
      <c r="D67" s="165">
        <f>D65+D66</f>
        <v>39272213.815844014</v>
      </c>
      <c r="E67" s="58">
        <f>SUM(E65:E66)</f>
        <v>1556051.4654152831</v>
      </c>
      <c r="F67" s="58">
        <f>SUM(F65:F66)</f>
        <v>1556051.4654152831</v>
      </c>
      <c r="G67" s="57" t="s">
        <v>23</v>
      </c>
      <c r="H67" s="164">
        <f t="shared" si="18"/>
        <v>3112102.9308305662</v>
      </c>
      <c r="I67" s="246">
        <f>SUM(I65:I66)</f>
        <v>36160110.885013446</v>
      </c>
      <c r="J67" s="58">
        <f>SUM(J65:J66)</f>
        <v>3306609.3640074767</v>
      </c>
      <c r="K67" s="58">
        <f>SUM(K65:K66)</f>
        <v>4668154.3962458493</v>
      </c>
      <c r="L67" s="246">
        <f>SUM(L65:L66)</f>
        <v>7974763.7602533251</v>
      </c>
      <c r="M67" s="56">
        <f>SUM(M65:M66)</f>
        <v>1556051.4654152831</v>
      </c>
      <c r="N67" s="222">
        <f t="shared" si="20"/>
        <v>1556051.4654152831</v>
      </c>
      <c r="O67" s="58">
        <f>SUM(O65:O66)</f>
        <v>3271375.4108598065</v>
      </c>
      <c r="P67" s="56">
        <f t="shared" si="21"/>
        <v>3271375.4108598065</v>
      </c>
      <c r="Q67" s="58">
        <f>SUM(Q65:Q66)</f>
        <v>1622183.6526954328</v>
      </c>
      <c r="R67" s="58">
        <f>SUM(R65:R66)</f>
        <v>32713.754108598067</v>
      </c>
      <c r="S67" s="58">
        <f>SUM(S65:S66)</f>
        <v>406129.43247338885</v>
      </c>
      <c r="T67" s="249">
        <f>T65+T66</f>
        <v>8603777.6609970331</v>
      </c>
      <c r="U67" s="45"/>
    </row>
    <row r="68" spans="1:21" ht="15.75" customHeight="1" x14ac:dyDescent="0.25">
      <c r="A68" s="79"/>
      <c r="B68" s="45"/>
      <c r="C68" s="45"/>
      <c r="D68" s="45"/>
      <c r="E68" s="45"/>
      <c r="F68" s="45"/>
      <c r="G68" s="45"/>
      <c r="H68" s="45"/>
      <c r="I68" s="21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80"/>
      <c r="U68" s="45"/>
    </row>
    <row r="69" spans="1:21" ht="15.75" customHeight="1" x14ac:dyDescent="0.25">
      <c r="A69" s="157" t="s">
        <v>37</v>
      </c>
      <c r="B69" s="158" t="s">
        <v>28</v>
      </c>
      <c r="C69" s="91"/>
      <c r="D69" s="91"/>
      <c r="E69" s="91"/>
      <c r="F69" s="91"/>
      <c r="G69" s="47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80"/>
      <c r="U69" s="45"/>
    </row>
    <row r="70" spans="1:21" ht="15.75" customHeight="1" x14ac:dyDescent="0.25">
      <c r="A70" s="88" t="s">
        <v>29</v>
      </c>
      <c r="B70" s="52">
        <f>B57*(1+$C$62)</f>
        <v>1454025.2528879996</v>
      </c>
      <c r="C70" s="86"/>
      <c r="D70" s="86"/>
      <c r="E70" s="86"/>
      <c r="F70" s="86"/>
      <c r="G70" s="47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80"/>
      <c r="U70" s="45"/>
    </row>
    <row r="71" spans="1:21" ht="15.75" customHeight="1" x14ac:dyDescent="0.25">
      <c r="A71" s="88" t="s">
        <v>30</v>
      </c>
      <c r="B71" s="52">
        <f t="shared" ref="B71:B72" si="22">B58*(1+$C$62)</f>
        <v>605843.85536999989</v>
      </c>
      <c r="C71" s="86"/>
      <c r="D71" s="86"/>
      <c r="E71" s="86"/>
      <c r="F71" s="86"/>
      <c r="G71" s="47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80"/>
      <c r="U71" s="45"/>
    </row>
    <row r="72" spans="1:21" ht="15.75" customHeight="1" x14ac:dyDescent="0.25">
      <c r="A72" s="89" t="s">
        <v>31</v>
      </c>
      <c r="B72" s="52">
        <f t="shared" si="22"/>
        <v>605843.85536999989</v>
      </c>
      <c r="C72" s="86"/>
      <c r="D72" s="86"/>
      <c r="E72" s="86"/>
      <c r="F72" s="86"/>
      <c r="G72" s="47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80"/>
      <c r="U72" s="45"/>
    </row>
    <row r="73" spans="1:21" ht="15.75" customHeight="1" x14ac:dyDescent="0.25">
      <c r="A73" s="159" t="s">
        <v>32</v>
      </c>
      <c r="B73" s="160">
        <f>SUM(B70:B72)</f>
        <v>2665712.9636279996</v>
      </c>
      <c r="C73" s="90"/>
      <c r="D73" s="90"/>
      <c r="E73" s="90"/>
      <c r="F73" s="90"/>
      <c r="G73" s="81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3"/>
      <c r="U73" s="45"/>
    </row>
    <row r="74" spans="1:21" ht="15.75" customHeight="1" x14ac:dyDescent="0.25">
      <c r="A74" s="45"/>
      <c r="B74" s="47"/>
      <c r="C74" s="47"/>
      <c r="D74" s="47"/>
      <c r="E74" s="47"/>
      <c r="F74" s="47"/>
      <c r="G74" s="47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</row>
    <row r="75" spans="1:21" ht="15.75" customHeight="1" x14ac:dyDescent="0.25">
      <c r="B75" s="2"/>
      <c r="C75" s="2"/>
      <c r="D75" s="2"/>
      <c r="E75" s="317">
        <f>+E67+E54+E41+E28+E15</f>
        <v>7127134.3096904829</v>
      </c>
      <c r="F75" s="317">
        <f>+F67+F54+F41+F28+F15</f>
        <v>7127134.3096904829</v>
      </c>
      <c r="G75" s="2"/>
      <c r="I75" s="317">
        <f>+I67+I54+I41+I28+I15</f>
        <v>165623035.39363408</v>
      </c>
      <c r="L75" s="317">
        <f>+L67+L54+L41+L28+L15+N15+N28+N41+N54+N67</f>
        <v>43653697.646854214</v>
      </c>
      <c r="T75" s="317">
        <f>+T67+T54+T41+T28+T15</f>
        <v>39407616.215492696</v>
      </c>
    </row>
    <row r="76" spans="1:21" ht="15.75" customHeight="1" x14ac:dyDescent="0.25">
      <c r="B76" s="2"/>
      <c r="C76" s="2"/>
      <c r="D76" s="2"/>
      <c r="E76" s="320">
        <f>+E75+F75+L75</f>
        <v>57907966.26623518</v>
      </c>
      <c r="F76" s="2"/>
      <c r="G76" s="2"/>
      <c r="I76" s="324">
        <f>+'BALANCE GENERAL PAPEL DE W'!H17</f>
        <v>0</v>
      </c>
      <c r="L76">
        <f>+'2 - COSTOS &amp; GASTOS'!B17+'2 - COSTOS &amp; GASTOS'!C17+'2 - COSTOS &amp; GASTOS'!D17+'2 - COSTOS &amp; GASTOS'!E17+'2 - COSTOS &amp; GASTOS'!F17</f>
        <v>43653697.646854207</v>
      </c>
      <c r="T76">
        <f>+'2 - COSTOS &amp; GASTOS'!G18</f>
        <v>39407616.215492696</v>
      </c>
    </row>
    <row r="77" spans="1:21" ht="15.75" customHeight="1" x14ac:dyDescent="0.25">
      <c r="B77" s="2"/>
      <c r="C77" s="2"/>
      <c r="D77" s="2"/>
      <c r="E77" s="2"/>
      <c r="F77" s="2"/>
      <c r="G77" s="2"/>
      <c r="I77" s="324">
        <f>+I75-I76</f>
        <v>165623035.39363408</v>
      </c>
      <c r="L77" s="316">
        <f>+L75-L76</f>
        <v>0</v>
      </c>
      <c r="T77" s="316">
        <f>+T75-T76</f>
        <v>0</v>
      </c>
    </row>
    <row r="78" spans="1:21" ht="15.75" customHeight="1" x14ac:dyDescent="0.25">
      <c r="B78" s="2"/>
      <c r="C78" s="2"/>
      <c r="D78" s="2"/>
      <c r="E78" s="2"/>
      <c r="F78" s="2"/>
      <c r="G78" s="2"/>
    </row>
    <row r="79" spans="1:21" ht="15.75" customHeight="1" x14ac:dyDescent="0.25">
      <c r="B79" s="2"/>
      <c r="C79" s="2"/>
      <c r="D79" s="2"/>
      <c r="E79" s="2"/>
      <c r="F79" s="2"/>
      <c r="G79" s="2"/>
    </row>
    <row r="80" spans="1:21" ht="15.75" customHeight="1" x14ac:dyDescent="0.25">
      <c r="B80" s="2"/>
      <c r="C80" s="2"/>
      <c r="D80" s="2"/>
      <c r="E80" s="2"/>
      <c r="F80" s="2"/>
      <c r="G80" s="2"/>
    </row>
    <row r="81" spans="2:7" ht="15.75" customHeight="1" x14ac:dyDescent="0.25">
      <c r="B81" s="2"/>
      <c r="C81" s="2"/>
      <c r="D81" s="2"/>
      <c r="E81" s="2"/>
      <c r="F81" s="2"/>
      <c r="G81" s="2"/>
    </row>
    <row r="82" spans="2:7" ht="15.75" customHeight="1" x14ac:dyDescent="0.25">
      <c r="B82" s="2"/>
      <c r="C82" s="2"/>
      <c r="D82" s="2"/>
      <c r="E82" s="2"/>
      <c r="F82" s="2"/>
      <c r="G82" s="2"/>
    </row>
    <row r="83" spans="2:7" ht="15.75" customHeight="1" x14ac:dyDescent="0.25">
      <c r="B83" s="2"/>
      <c r="C83" s="2"/>
      <c r="D83" s="2"/>
      <c r="E83" s="2"/>
      <c r="F83" s="2"/>
      <c r="G83" s="2"/>
    </row>
    <row r="84" spans="2:7" ht="15.75" customHeight="1" x14ac:dyDescent="0.25">
      <c r="B84" s="2"/>
      <c r="C84" s="2"/>
      <c r="D84" s="2"/>
      <c r="E84" s="2"/>
      <c r="F84" s="2"/>
      <c r="G84" s="2"/>
    </row>
    <row r="85" spans="2:7" ht="15.75" customHeight="1" x14ac:dyDescent="0.25">
      <c r="B85" s="2"/>
      <c r="C85" s="2"/>
      <c r="D85" s="2"/>
      <c r="E85" s="2"/>
      <c r="F85" s="2"/>
      <c r="G85" s="2"/>
    </row>
    <row r="86" spans="2:7" ht="15.75" customHeight="1" x14ac:dyDescent="0.25">
      <c r="B86" s="2"/>
      <c r="C86" s="2"/>
      <c r="D86" s="2"/>
      <c r="E86" s="2"/>
      <c r="F86" s="2"/>
      <c r="G86" s="2"/>
    </row>
    <row r="87" spans="2:7" ht="15.75" customHeight="1" x14ac:dyDescent="0.25">
      <c r="B87" s="2"/>
      <c r="C87" s="2"/>
      <c r="D87" s="2"/>
      <c r="E87" s="2"/>
      <c r="F87" s="2"/>
      <c r="G87" s="2"/>
    </row>
    <row r="88" spans="2:7" ht="15.75" customHeight="1" x14ac:dyDescent="0.25">
      <c r="B88" s="2"/>
      <c r="C88" s="2"/>
      <c r="D88" s="2"/>
      <c r="E88" s="2"/>
      <c r="F88" s="2"/>
      <c r="G88" s="2"/>
    </row>
    <row r="89" spans="2:7" ht="15.75" customHeight="1" x14ac:dyDescent="0.25">
      <c r="B89" s="2"/>
      <c r="C89" s="2"/>
      <c r="D89" s="2"/>
      <c r="E89" s="2"/>
      <c r="F89" s="2"/>
      <c r="G89" s="2"/>
    </row>
    <row r="90" spans="2:7" ht="15.75" customHeight="1" x14ac:dyDescent="0.25">
      <c r="B90" s="2"/>
      <c r="C90" s="2"/>
      <c r="D90" s="2"/>
      <c r="E90" s="2"/>
      <c r="F90" s="2"/>
      <c r="G90" s="2"/>
    </row>
    <row r="91" spans="2:7" ht="15.75" customHeight="1" x14ac:dyDescent="0.25">
      <c r="B91" s="2"/>
      <c r="C91" s="2"/>
      <c r="D91" s="2"/>
      <c r="E91" s="2"/>
      <c r="F91" s="2"/>
      <c r="G91" s="2"/>
    </row>
    <row r="92" spans="2:7" ht="15.75" customHeight="1" x14ac:dyDescent="0.25">
      <c r="B92" s="2"/>
      <c r="C92" s="2"/>
      <c r="D92" s="2"/>
      <c r="E92" s="2"/>
      <c r="F92" s="2"/>
      <c r="G92" s="2"/>
    </row>
    <row r="93" spans="2:7" ht="15.75" customHeight="1" x14ac:dyDescent="0.25">
      <c r="B93" s="2"/>
      <c r="C93" s="2"/>
      <c r="D93" s="2"/>
      <c r="E93" s="2"/>
      <c r="F93" s="2"/>
      <c r="G93" s="2"/>
    </row>
    <row r="94" spans="2:7" ht="15.75" customHeight="1" x14ac:dyDescent="0.25">
      <c r="B94" s="2"/>
      <c r="C94" s="2"/>
      <c r="D94" s="2"/>
      <c r="E94" s="2"/>
      <c r="F94" s="2"/>
      <c r="G94" s="2"/>
    </row>
    <row r="95" spans="2:7" ht="15.75" customHeight="1" x14ac:dyDescent="0.25">
      <c r="B95" s="2"/>
      <c r="C95" s="2"/>
      <c r="D95" s="2"/>
      <c r="E95" s="2"/>
      <c r="F95" s="2"/>
      <c r="G95" s="2"/>
    </row>
    <row r="96" spans="2:7" ht="15.75" customHeight="1" x14ac:dyDescent="0.25">
      <c r="B96" s="2"/>
      <c r="C96" s="2"/>
      <c r="D96" s="2"/>
      <c r="E96" s="2"/>
      <c r="F96" s="2"/>
      <c r="G96" s="2"/>
    </row>
    <row r="97" spans="2:7" ht="15.75" customHeight="1" x14ac:dyDescent="0.25">
      <c r="B97" s="2"/>
      <c r="C97" s="2"/>
      <c r="D97" s="2"/>
      <c r="E97" s="2"/>
      <c r="F97" s="2"/>
      <c r="G97" s="2"/>
    </row>
    <row r="98" spans="2:7" ht="15.75" customHeight="1" x14ac:dyDescent="0.25">
      <c r="B98" s="2"/>
      <c r="C98" s="2"/>
      <c r="D98" s="2"/>
      <c r="E98" s="2"/>
      <c r="F98" s="2"/>
      <c r="G98" s="2"/>
    </row>
    <row r="99" spans="2:7" ht="15.75" customHeight="1" x14ac:dyDescent="0.25">
      <c r="B99" s="2"/>
      <c r="C99" s="2"/>
      <c r="D99" s="2"/>
      <c r="E99" s="2"/>
      <c r="F99" s="2"/>
      <c r="G99" s="2"/>
    </row>
    <row r="100" spans="2:7" ht="15.75" customHeight="1" x14ac:dyDescent="0.25">
      <c r="B100" s="2"/>
      <c r="C100" s="2"/>
      <c r="D100" s="2"/>
      <c r="E100" s="2"/>
      <c r="F100" s="2"/>
      <c r="G100" s="2"/>
    </row>
    <row r="101" spans="2:7" ht="15.75" customHeight="1" x14ac:dyDescent="0.25">
      <c r="B101" s="2"/>
      <c r="C101" s="2"/>
      <c r="D101" s="2"/>
      <c r="E101" s="2"/>
      <c r="F101" s="2"/>
      <c r="G101" s="2"/>
    </row>
    <row r="102" spans="2:7" ht="15.75" customHeight="1" x14ac:dyDescent="0.25">
      <c r="B102" s="2"/>
      <c r="C102" s="2"/>
      <c r="D102" s="2"/>
      <c r="E102" s="2"/>
      <c r="F102" s="2"/>
      <c r="G102" s="2"/>
    </row>
    <row r="103" spans="2:7" ht="15.75" customHeight="1" x14ac:dyDescent="0.25">
      <c r="B103" s="2"/>
      <c r="C103" s="2"/>
      <c r="D103" s="2"/>
      <c r="E103" s="2"/>
      <c r="F103" s="2"/>
      <c r="G103" s="2"/>
    </row>
    <row r="104" spans="2:7" ht="15.75" customHeight="1" x14ac:dyDescent="0.25">
      <c r="B104" s="2"/>
      <c r="C104" s="2"/>
      <c r="D104" s="2"/>
      <c r="E104" s="2"/>
      <c r="F104" s="2"/>
      <c r="G104" s="2"/>
    </row>
    <row r="105" spans="2:7" ht="15.75" customHeight="1" x14ac:dyDescent="0.25">
      <c r="B105" s="2"/>
      <c r="C105" s="2"/>
      <c r="D105" s="2"/>
      <c r="E105" s="2"/>
      <c r="F105" s="2"/>
      <c r="G105" s="2"/>
    </row>
    <row r="106" spans="2:7" ht="15.75" customHeight="1" x14ac:dyDescent="0.25">
      <c r="B106" s="2"/>
      <c r="C106" s="2"/>
      <c r="D106" s="2"/>
      <c r="E106" s="2"/>
      <c r="F106" s="2"/>
      <c r="G106" s="2"/>
    </row>
    <row r="107" spans="2:7" ht="15.75" customHeight="1" x14ac:dyDescent="0.25">
      <c r="B107" s="2"/>
      <c r="C107" s="2"/>
      <c r="D107" s="2"/>
      <c r="E107" s="2"/>
      <c r="F107" s="2"/>
      <c r="G107" s="2"/>
    </row>
    <row r="108" spans="2:7" ht="15.75" customHeight="1" x14ac:dyDescent="0.25">
      <c r="B108" s="2"/>
      <c r="C108" s="2"/>
      <c r="D108" s="2"/>
      <c r="E108" s="2"/>
      <c r="F108" s="2"/>
      <c r="G108" s="2"/>
    </row>
    <row r="109" spans="2:7" ht="15.75" customHeight="1" x14ac:dyDescent="0.25">
      <c r="B109" s="2"/>
      <c r="C109" s="2"/>
      <c r="D109" s="2"/>
      <c r="E109" s="2"/>
      <c r="F109" s="2"/>
      <c r="G109" s="2"/>
    </row>
    <row r="110" spans="2:7" ht="15.75" customHeight="1" x14ac:dyDescent="0.25">
      <c r="B110" s="2"/>
      <c r="C110" s="2"/>
      <c r="D110" s="2"/>
      <c r="E110" s="2"/>
      <c r="F110" s="2"/>
      <c r="G110" s="2"/>
    </row>
    <row r="111" spans="2:7" ht="15.75" customHeight="1" x14ac:dyDescent="0.25">
      <c r="B111" s="2"/>
      <c r="C111" s="2"/>
      <c r="D111" s="2"/>
      <c r="E111" s="2"/>
      <c r="F111" s="2"/>
      <c r="G111" s="2"/>
    </row>
    <row r="112" spans="2:7" ht="15.75" customHeight="1" x14ac:dyDescent="0.25">
      <c r="B112" s="2"/>
      <c r="C112" s="2"/>
      <c r="D112" s="2"/>
      <c r="E112" s="2"/>
      <c r="F112" s="2"/>
      <c r="G112" s="2"/>
    </row>
    <row r="113" spans="2:7" ht="15.75" customHeight="1" x14ac:dyDescent="0.25">
      <c r="B113" s="2"/>
      <c r="C113" s="2"/>
      <c r="D113" s="2"/>
      <c r="E113" s="2"/>
      <c r="F113" s="2"/>
      <c r="G113" s="2"/>
    </row>
    <row r="114" spans="2:7" ht="15.75" customHeight="1" x14ac:dyDescent="0.25">
      <c r="B114" s="2"/>
      <c r="C114" s="2"/>
      <c r="D114" s="2"/>
      <c r="E114" s="2"/>
      <c r="F114" s="2"/>
      <c r="G114" s="2"/>
    </row>
    <row r="115" spans="2:7" ht="15.75" customHeight="1" x14ac:dyDescent="0.25">
      <c r="B115" s="2"/>
      <c r="C115" s="2"/>
      <c r="D115" s="2"/>
      <c r="E115" s="2"/>
      <c r="F115" s="2"/>
      <c r="G115" s="2"/>
    </row>
    <row r="116" spans="2:7" ht="15.75" customHeight="1" x14ac:dyDescent="0.25">
      <c r="B116" s="2"/>
      <c r="C116" s="2"/>
      <c r="D116" s="2"/>
      <c r="E116" s="2"/>
      <c r="F116" s="2"/>
      <c r="G116" s="2"/>
    </row>
    <row r="117" spans="2:7" ht="15.75" customHeight="1" x14ac:dyDescent="0.25">
      <c r="B117" s="2"/>
      <c r="C117" s="2"/>
      <c r="D117" s="2"/>
      <c r="E117" s="2"/>
      <c r="F117" s="2"/>
      <c r="G117" s="2"/>
    </row>
    <row r="118" spans="2:7" ht="15.75" customHeight="1" x14ac:dyDescent="0.25">
      <c r="B118" s="2"/>
      <c r="C118" s="2"/>
      <c r="D118" s="2"/>
      <c r="E118" s="2"/>
      <c r="F118" s="2"/>
      <c r="G118" s="2"/>
    </row>
    <row r="119" spans="2:7" ht="15.75" customHeight="1" x14ac:dyDescent="0.25">
      <c r="B119" s="2"/>
      <c r="C119" s="2"/>
      <c r="D119" s="2"/>
      <c r="E119" s="2"/>
      <c r="F119" s="2"/>
      <c r="G119" s="2"/>
    </row>
    <row r="120" spans="2:7" ht="15.75" customHeight="1" x14ac:dyDescent="0.25">
      <c r="B120" s="2"/>
      <c r="C120" s="2"/>
      <c r="D120" s="2"/>
      <c r="E120" s="2"/>
      <c r="F120" s="2"/>
      <c r="G120" s="2"/>
    </row>
    <row r="121" spans="2:7" ht="15.75" customHeight="1" x14ac:dyDescent="0.25">
      <c r="B121" s="2"/>
      <c r="C121" s="2"/>
      <c r="D121" s="2"/>
      <c r="E121" s="2"/>
      <c r="F121" s="2"/>
      <c r="G121" s="2"/>
    </row>
    <row r="122" spans="2:7" ht="15.75" customHeight="1" x14ac:dyDescent="0.25">
      <c r="B122" s="2"/>
      <c r="C122" s="2"/>
      <c r="D122" s="2"/>
      <c r="E122" s="2"/>
      <c r="F122" s="2"/>
      <c r="G122" s="2"/>
    </row>
    <row r="123" spans="2:7" ht="15.75" customHeight="1" x14ac:dyDescent="0.25">
      <c r="B123" s="2"/>
      <c r="C123" s="2"/>
      <c r="D123" s="2"/>
      <c r="E123" s="2"/>
      <c r="F123" s="2"/>
      <c r="G123" s="2"/>
    </row>
    <row r="124" spans="2:7" ht="15.75" customHeight="1" x14ac:dyDescent="0.25">
      <c r="B124" s="2"/>
      <c r="C124" s="2"/>
      <c r="D124" s="2"/>
      <c r="E124" s="2"/>
      <c r="F124" s="2"/>
      <c r="G124" s="2"/>
    </row>
    <row r="125" spans="2:7" ht="15.75" customHeight="1" x14ac:dyDescent="0.25">
      <c r="B125" s="2"/>
      <c r="C125" s="2"/>
      <c r="D125" s="2"/>
      <c r="E125" s="2"/>
      <c r="F125" s="2"/>
      <c r="G125" s="2"/>
    </row>
    <row r="126" spans="2:7" ht="15.75" customHeight="1" x14ac:dyDescent="0.25">
      <c r="B126" s="2"/>
      <c r="C126" s="2"/>
      <c r="D126" s="2"/>
      <c r="E126" s="2"/>
      <c r="F126" s="2"/>
      <c r="G126" s="2"/>
    </row>
    <row r="127" spans="2:7" ht="15.75" customHeight="1" x14ac:dyDescent="0.25">
      <c r="B127" s="2"/>
      <c r="C127" s="2"/>
      <c r="D127" s="2"/>
      <c r="E127" s="2"/>
      <c r="F127" s="2"/>
      <c r="G127" s="2"/>
    </row>
    <row r="128" spans="2:7" ht="15.75" customHeight="1" x14ac:dyDescent="0.25">
      <c r="B128" s="2"/>
      <c r="C128" s="2"/>
      <c r="D128" s="2"/>
      <c r="E128" s="2"/>
      <c r="F128" s="2"/>
      <c r="G128" s="2"/>
    </row>
    <row r="129" spans="2:7" ht="15.75" customHeight="1" x14ac:dyDescent="0.25">
      <c r="B129" s="2"/>
      <c r="C129" s="2"/>
      <c r="D129" s="2"/>
      <c r="E129" s="2"/>
      <c r="F129" s="2"/>
      <c r="G129" s="2"/>
    </row>
    <row r="130" spans="2:7" ht="15.75" customHeight="1" x14ac:dyDescent="0.25">
      <c r="B130" s="2"/>
      <c r="C130" s="2"/>
      <c r="D130" s="2"/>
      <c r="E130" s="2"/>
      <c r="F130" s="2"/>
      <c r="G130" s="2"/>
    </row>
    <row r="131" spans="2:7" ht="15.75" customHeight="1" x14ac:dyDescent="0.25">
      <c r="B131" s="2"/>
      <c r="C131" s="2"/>
      <c r="D131" s="2"/>
      <c r="E131" s="2"/>
      <c r="F131" s="2"/>
      <c r="G131" s="2"/>
    </row>
    <row r="132" spans="2:7" ht="15.75" customHeight="1" x14ac:dyDescent="0.25">
      <c r="B132" s="2"/>
      <c r="C132" s="2"/>
      <c r="D132" s="2"/>
      <c r="E132" s="2"/>
      <c r="F132" s="2"/>
      <c r="G132" s="2"/>
    </row>
    <row r="133" spans="2:7" ht="15.75" customHeight="1" x14ac:dyDescent="0.25">
      <c r="B133" s="2"/>
      <c r="C133" s="2"/>
      <c r="D133" s="2"/>
      <c r="E133" s="2"/>
      <c r="F133" s="2"/>
      <c r="G133" s="2"/>
    </row>
    <row r="134" spans="2:7" ht="15.75" customHeight="1" x14ac:dyDescent="0.25">
      <c r="B134" s="2"/>
      <c r="C134" s="2"/>
      <c r="D134" s="2"/>
      <c r="E134" s="2"/>
      <c r="F134" s="2"/>
      <c r="G134" s="2"/>
    </row>
    <row r="135" spans="2:7" ht="15.75" customHeight="1" x14ac:dyDescent="0.25">
      <c r="B135" s="2"/>
      <c r="C135" s="2"/>
      <c r="D135" s="2"/>
      <c r="E135" s="2"/>
      <c r="F135" s="2"/>
      <c r="G135" s="2"/>
    </row>
    <row r="136" spans="2:7" ht="15.75" customHeight="1" x14ac:dyDescent="0.25">
      <c r="B136" s="2"/>
      <c r="C136" s="2"/>
      <c r="D136" s="2"/>
      <c r="E136" s="2"/>
      <c r="F136" s="2"/>
      <c r="G136" s="2"/>
    </row>
    <row r="137" spans="2:7" ht="15.75" customHeight="1" x14ac:dyDescent="0.25">
      <c r="B137" s="2"/>
      <c r="C137" s="2"/>
      <c r="D137" s="2"/>
      <c r="E137" s="2"/>
      <c r="F137" s="2"/>
      <c r="G137" s="2"/>
    </row>
    <row r="138" spans="2:7" ht="15.75" customHeight="1" x14ac:dyDescent="0.25">
      <c r="B138" s="2"/>
      <c r="C138" s="2"/>
      <c r="D138" s="2"/>
      <c r="E138" s="2"/>
      <c r="F138" s="2"/>
      <c r="G138" s="2"/>
    </row>
    <row r="139" spans="2:7" ht="15.75" customHeight="1" x14ac:dyDescent="0.25">
      <c r="B139" s="2"/>
      <c r="C139" s="2"/>
      <c r="D139" s="2"/>
      <c r="E139" s="2"/>
      <c r="F139" s="2"/>
      <c r="G139" s="2"/>
    </row>
    <row r="140" spans="2:7" ht="15.75" customHeight="1" x14ac:dyDescent="0.25">
      <c r="B140" s="2"/>
      <c r="C140" s="2"/>
      <c r="D140" s="2"/>
      <c r="E140" s="2"/>
      <c r="F140" s="2"/>
      <c r="G140" s="2"/>
    </row>
    <row r="141" spans="2:7" ht="15.75" customHeight="1" x14ac:dyDescent="0.25">
      <c r="B141" s="2"/>
      <c r="C141" s="2"/>
      <c r="D141" s="2"/>
      <c r="E141" s="2"/>
      <c r="F141" s="2"/>
      <c r="G141" s="2"/>
    </row>
    <row r="142" spans="2:7" ht="15.75" customHeight="1" x14ac:dyDescent="0.25">
      <c r="B142" s="2"/>
      <c r="C142" s="2"/>
      <c r="D142" s="2"/>
      <c r="E142" s="2"/>
      <c r="F142" s="2"/>
      <c r="G142" s="2"/>
    </row>
    <row r="143" spans="2:7" ht="15.75" customHeight="1" x14ac:dyDescent="0.25">
      <c r="B143" s="2"/>
      <c r="C143" s="2"/>
      <c r="D143" s="2"/>
      <c r="E143" s="2"/>
      <c r="F143" s="2"/>
      <c r="G143" s="2"/>
    </row>
    <row r="144" spans="2:7" ht="15.75" customHeight="1" x14ac:dyDescent="0.25">
      <c r="B144" s="2"/>
      <c r="C144" s="2"/>
      <c r="D144" s="2"/>
      <c r="E144" s="2"/>
      <c r="F144" s="2"/>
      <c r="G144" s="2"/>
    </row>
    <row r="145" spans="2:7" ht="15.75" customHeight="1" x14ac:dyDescent="0.25">
      <c r="B145" s="2"/>
      <c r="C145" s="2"/>
      <c r="D145" s="2"/>
      <c r="E145" s="2"/>
      <c r="F145" s="2"/>
      <c r="G145" s="2"/>
    </row>
    <row r="146" spans="2:7" ht="15.75" customHeight="1" x14ac:dyDescent="0.25">
      <c r="B146" s="2"/>
      <c r="C146" s="2"/>
      <c r="D146" s="2"/>
      <c r="E146" s="2"/>
      <c r="F146" s="2"/>
      <c r="G146" s="2"/>
    </row>
    <row r="147" spans="2:7" ht="15.75" customHeight="1" x14ac:dyDescent="0.25">
      <c r="B147" s="2"/>
      <c r="C147" s="2"/>
      <c r="D147" s="2"/>
      <c r="E147" s="2"/>
      <c r="F147" s="2"/>
      <c r="G147" s="2"/>
    </row>
    <row r="148" spans="2:7" ht="15.75" customHeight="1" x14ac:dyDescent="0.25">
      <c r="B148" s="2"/>
      <c r="C148" s="2"/>
      <c r="D148" s="2"/>
      <c r="E148" s="2"/>
      <c r="F148" s="2"/>
      <c r="G148" s="2"/>
    </row>
    <row r="149" spans="2:7" ht="15.75" customHeight="1" x14ac:dyDescent="0.25">
      <c r="B149" s="2"/>
      <c r="C149" s="2"/>
      <c r="D149" s="2"/>
      <c r="E149" s="2"/>
      <c r="F149" s="2"/>
      <c r="G149" s="2"/>
    </row>
    <row r="150" spans="2:7" ht="15.75" customHeight="1" x14ac:dyDescent="0.25">
      <c r="B150" s="2"/>
      <c r="C150" s="2"/>
      <c r="D150" s="2"/>
      <c r="E150" s="2"/>
      <c r="F150" s="2"/>
      <c r="G150" s="2"/>
    </row>
    <row r="151" spans="2:7" ht="15.75" customHeight="1" x14ac:dyDescent="0.25">
      <c r="B151" s="2"/>
      <c r="C151" s="2"/>
      <c r="D151" s="2"/>
      <c r="E151" s="2"/>
      <c r="F151" s="2"/>
      <c r="G151" s="2"/>
    </row>
    <row r="152" spans="2:7" ht="15.75" customHeight="1" x14ac:dyDescent="0.25">
      <c r="B152" s="2"/>
      <c r="C152" s="2"/>
      <c r="D152" s="2"/>
      <c r="E152" s="2"/>
      <c r="F152" s="2"/>
      <c r="G152" s="2"/>
    </row>
    <row r="153" spans="2:7" ht="15.75" customHeight="1" x14ac:dyDescent="0.25">
      <c r="B153" s="2"/>
      <c r="C153" s="2"/>
      <c r="D153" s="2"/>
      <c r="E153" s="2"/>
      <c r="F153" s="2"/>
      <c r="G153" s="2"/>
    </row>
    <row r="154" spans="2:7" ht="15.75" customHeight="1" x14ac:dyDescent="0.25">
      <c r="B154" s="2"/>
      <c r="C154" s="2"/>
      <c r="D154" s="2"/>
      <c r="E154" s="2"/>
      <c r="F154" s="2"/>
      <c r="G154" s="2"/>
    </row>
    <row r="155" spans="2:7" ht="15.75" customHeight="1" x14ac:dyDescent="0.25">
      <c r="B155" s="2"/>
      <c r="C155" s="2"/>
      <c r="D155" s="2"/>
      <c r="E155" s="2"/>
      <c r="F155" s="2"/>
      <c r="G155" s="2"/>
    </row>
    <row r="156" spans="2:7" ht="15.75" customHeight="1" x14ac:dyDescent="0.25">
      <c r="B156" s="2"/>
      <c r="C156" s="2"/>
      <c r="D156" s="2"/>
      <c r="E156" s="2"/>
      <c r="F156" s="2"/>
      <c r="G156" s="2"/>
    </row>
    <row r="157" spans="2:7" ht="15.75" customHeight="1" x14ac:dyDescent="0.25">
      <c r="B157" s="2"/>
      <c r="C157" s="2"/>
      <c r="D157" s="2"/>
      <c r="E157" s="2"/>
      <c r="F157" s="2"/>
      <c r="G157" s="2"/>
    </row>
    <row r="158" spans="2:7" ht="15.75" customHeight="1" x14ac:dyDescent="0.25">
      <c r="B158" s="2"/>
      <c r="C158" s="2"/>
      <c r="D158" s="2"/>
      <c r="E158" s="2"/>
      <c r="F158" s="2"/>
      <c r="G158" s="2"/>
    </row>
    <row r="159" spans="2:7" ht="15.75" customHeight="1" x14ac:dyDescent="0.25">
      <c r="B159" s="2"/>
      <c r="C159" s="2"/>
      <c r="D159" s="2"/>
      <c r="E159" s="2"/>
      <c r="F159" s="2"/>
      <c r="G159" s="2"/>
    </row>
    <row r="160" spans="2:7" ht="15.75" customHeight="1" x14ac:dyDescent="0.25">
      <c r="B160" s="2"/>
      <c r="C160" s="2"/>
      <c r="D160" s="2"/>
      <c r="E160" s="2"/>
      <c r="F160" s="2"/>
      <c r="G160" s="2"/>
    </row>
    <row r="161" spans="2:7" ht="15.75" customHeight="1" x14ac:dyDescent="0.25">
      <c r="B161" s="2"/>
      <c r="C161" s="2"/>
      <c r="D161" s="2"/>
      <c r="E161" s="2"/>
      <c r="F161" s="2"/>
      <c r="G161" s="2"/>
    </row>
    <row r="162" spans="2:7" ht="15.75" customHeight="1" x14ac:dyDescent="0.25">
      <c r="B162" s="2"/>
      <c r="C162" s="2"/>
      <c r="D162" s="2"/>
      <c r="E162" s="2"/>
      <c r="F162" s="2"/>
      <c r="G162" s="2"/>
    </row>
    <row r="163" spans="2:7" ht="15.75" customHeight="1" x14ac:dyDescent="0.25">
      <c r="B163" s="2"/>
      <c r="C163" s="2"/>
      <c r="D163" s="2"/>
      <c r="E163" s="2"/>
      <c r="F163" s="2"/>
      <c r="G163" s="2"/>
    </row>
    <row r="164" spans="2:7" ht="15.75" customHeight="1" x14ac:dyDescent="0.25">
      <c r="B164" s="2"/>
      <c r="C164" s="2"/>
      <c r="D164" s="2"/>
      <c r="E164" s="2"/>
      <c r="F164" s="2"/>
      <c r="G164" s="2"/>
    </row>
    <row r="165" spans="2:7" ht="15.75" customHeight="1" x14ac:dyDescent="0.25">
      <c r="B165" s="2"/>
      <c r="C165" s="2"/>
      <c r="D165" s="2"/>
      <c r="E165" s="2"/>
      <c r="F165" s="2"/>
      <c r="G165" s="2"/>
    </row>
    <row r="166" spans="2:7" ht="15.75" customHeight="1" x14ac:dyDescent="0.25">
      <c r="B166" s="2"/>
      <c r="C166" s="2"/>
      <c r="D166" s="2"/>
      <c r="E166" s="2"/>
      <c r="F166" s="2"/>
      <c r="G166" s="2"/>
    </row>
    <row r="167" spans="2:7" ht="15.75" customHeight="1" x14ac:dyDescent="0.25">
      <c r="B167" s="2"/>
      <c r="C167" s="2"/>
      <c r="D167" s="2"/>
      <c r="E167" s="2"/>
      <c r="F167" s="2"/>
      <c r="G167" s="2"/>
    </row>
    <row r="168" spans="2:7" ht="15.75" customHeight="1" x14ac:dyDescent="0.25">
      <c r="B168" s="2"/>
      <c r="C168" s="2"/>
      <c r="D168" s="2"/>
      <c r="E168" s="2"/>
      <c r="F168" s="2"/>
      <c r="G168" s="2"/>
    </row>
    <row r="169" spans="2:7" ht="15.75" customHeight="1" x14ac:dyDescent="0.25">
      <c r="B169" s="2"/>
      <c r="C169" s="2"/>
      <c r="D169" s="2"/>
      <c r="E169" s="2"/>
      <c r="F169" s="2"/>
      <c r="G169" s="2"/>
    </row>
    <row r="170" spans="2:7" ht="15.75" customHeight="1" x14ac:dyDescent="0.25">
      <c r="B170" s="2"/>
      <c r="C170" s="2"/>
      <c r="D170" s="2"/>
      <c r="E170" s="2"/>
      <c r="F170" s="2"/>
      <c r="G170" s="2"/>
    </row>
    <row r="171" spans="2:7" ht="15.75" customHeight="1" x14ac:dyDescent="0.25">
      <c r="B171" s="2"/>
      <c r="C171" s="2"/>
      <c r="D171" s="2"/>
      <c r="E171" s="2"/>
      <c r="F171" s="2"/>
      <c r="G171" s="2"/>
    </row>
    <row r="172" spans="2:7" ht="15.75" customHeight="1" x14ac:dyDescent="0.25">
      <c r="B172" s="2"/>
      <c r="C172" s="2"/>
      <c r="D172" s="2"/>
      <c r="E172" s="2"/>
      <c r="F172" s="2"/>
      <c r="G172" s="2"/>
    </row>
    <row r="173" spans="2:7" ht="15.75" customHeight="1" x14ac:dyDescent="0.25">
      <c r="B173" s="2"/>
      <c r="C173" s="2"/>
      <c r="D173" s="2"/>
      <c r="E173" s="2"/>
      <c r="F173" s="2"/>
      <c r="G173" s="2"/>
    </row>
    <row r="174" spans="2:7" ht="15.75" customHeight="1" x14ac:dyDescent="0.25">
      <c r="B174" s="2"/>
      <c r="C174" s="2"/>
      <c r="D174" s="2"/>
      <c r="E174" s="2"/>
      <c r="F174" s="2"/>
      <c r="G174" s="2"/>
    </row>
    <row r="175" spans="2:7" ht="15.75" customHeight="1" x14ac:dyDescent="0.25">
      <c r="B175" s="2"/>
      <c r="C175" s="2"/>
      <c r="D175" s="2"/>
      <c r="E175" s="2"/>
      <c r="F175" s="2"/>
      <c r="G175" s="2"/>
    </row>
    <row r="176" spans="2:7" ht="15.75" customHeight="1" x14ac:dyDescent="0.25">
      <c r="B176" s="2"/>
      <c r="C176" s="2"/>
      <c r="D176" s="2"/>
      <c r="E176" s="2"/>
      <c r="F176" s="2"/>
      <c r="G176" s="2"/>
    </row>
    <row r="177" spans="2:7" ht="15.75" customHeight="1" x14ac:dyDescent="0.25">
      <c r="B177" s="2"/>
      <c r="C177" s="2"/>
      <c r="D177" s="2"/>
      <c r="E177" s="2"/>
      <c r="F177" s="2"/>
      <c r="G177" s="2"/>
    </row>
    <row r="178" spans="2:7" ht="15.75" customHeight="1" x14ac:dyDescent="0.25">
      <c r="B178" s="2"/>
      <c r="C178" s="2"/>
      <c r="D178" s="2"/>
      <c r="E178" s="2"/>
      <c r="F178" s="2"/>
      <c r="G178" s="2"/>
    </row>
    <row r="179" spans="2:7" ht="15.75" customHeight="1" x14ac:dyDescent="0.25">
      <c r="B179" s="2"/>
      <c r="C179" s="2"/>
      <c r="D179" s="2"/>
      <c r="E179" s="2"/>
      <c r="F179" s="2"/>
      <c r="G179" s="2"/>
    </row>
    <row r="180" spans="2:7" ht="15.75" customHeight="1" x14ac:dyDescent="0.25">
      <c r="B180" s="2"/>
      <c r="C180" s="2"/>
      <c r="D180" s="2"/>
      <c r="E180" s="2"/>
      <c r="F180" s="2"/>
      <c r="G180" s="2"/>
    </row>
    <row r="181" spans="2:7" ht="15.75" customHeight="1" x14ac:dyDescent="0.25">
      <c r="B181" s="2"/>
      <c r="C181" s="2"/>
      <c r="D181" s="2"/>
      <c r="E181" s="2"/>
      <c r="F181" s="2"/>
      <c r="G181" s="2"/>
    </row>
    <row r="182" spans="2:7" ht="15.75" customHeight="1" x14ac:dyDescent="0.25">
      <c r="B182" s="2"/>
      <c r="C182" s="2"/>
      <c r="D182" s="2"/>
      <c r="E182" s="2"/>
      <c r="F182" s="2"/>
      <c r="G182" s="2"/>
    </row>
    <row r="183" spans="2:7" ht="15.75" customHeight="1" x14ac:dyDescent="0.25">
      <c r="B183" s="2"/>
      <c r="C183" s="2"/>
      <c r="D183" s="2"/>
      <c r="E183" s="2"/>
      <c r="F183" s="2"/>
      <c r="G183" s="2"/>
    </row>
    <row r="184" spans="2:7" ht="15.75" customHeight="1" x14ac:dyDescent="0.25">
      <c r="B184" s="2"/>
      <c r="C184" s="2"/>
      <c r="D184" s="2"/>
      <c r="E184" s="2"/>
      <c r="F184" s="2"/>
      <c r="G184" s="2"/>
    </row>
    <row r="185" spans="2:7" ht="15.75" customHeight="1" x14ac:dyDescent="0.25">
      <c r="B185" s="2"/>
      <c r="C185" s="2"/>
      <c r="D185" s="2"/>
      <c r="E185" s="2"/>
      <c r="F185" s="2"/>
      <c r="G185" s="2"/>
    </row>
    <row r="186" spans="2:7" ht="15.75" customHeight="1" x14ac:dyDescent="0.25">
      <c r="B186" s="2"/>
      <c r="C186" s="2"/>
      <c r="D186" s="2"/>
      <c r="E186" s="2"/>
      <c r="F186" s="2"/>
      <c r="G186" s="2"/>
    </row>
    <row r="187" spans="2:7" ht="15.75" customHeight="1" x14ac:dyDescent="0.25">
      <c r="B187" s="2"/>
      <c r="C187" s="2"/>
      <c r="D187" s="2"/>
      <c r="E187" s="2"/>
      <c r="F187" s="2"/>
      <c r="G187" s="2"/>
    </row>
    <row r="188" spans="2:7" ht="15.75" customHeight="1" x14ac:dyDescent="0.25">
      <c r="B188" s="2"/>
      <c r="C188" s="2"/>
      <c r="D188" s="2"/>
      <c r="E188" s="2"/>
      <c r="F188" s="2"/>
      <c r="G188" s="2"/>
    </row>
    <row r="189" spans="2:7" ht="15.75" customHeight="1" x14ac:dyDescent="0.25">
      <c r="B189" s="2"/>
      <c r="C189" s="2"/>
      <c r="D189" s="2"/>
      <c r="E189" s="2"/>
      <c r="F189" s="2"/>
      <c r="G189" s="2"/>
    </row>
    <row r="190" spans="2:7" ht="15.75" customHeight="1" x14ac:dyDescent="0.25">
      <c r="B190" s="2"/>
      <c r="C190" s="2"/>
      <c r="D190" s="2"/>
      <c r="E190" s="2"/>
      <c r="F190" s="2"/>
      <c r="G190" s="2"/>
    </row>
    <row r="191" spans="2:7" ht="15.75" customHeight="1" x14ac:dyDescent="0.25">
      <c r="B191" s="2"/>
      <c r="C191" s="2"/>
      <c r="D191" s="2"/>
      <c r="E191" s="2"/>
      <c r="F191" s="2"/>
      <c r="G191" s="2"/>
    </row>
    <row r="192" spans="2:7" ht="15.75" customHeight="1" x14ac:dyDescent="0.25">
      <c r="B192" s="2"/>
      <c r="C192" s="2"/>
      <c r="D192" s="2"/>
      <c r="E192" s="2"/>
      <c r="F192" s="2"/>
      <c r="G192" s="2"/>
    </row>
    <row r="193" spans="2:7" ht="15.75" customHeight="1" x14ac:dyDescent="0.25">
      <c r="B193" s="2"/>
      <c r="C193" s="2"/>
      <c r="D193" s="2"/>
      <c r="E193" s="2"/>
      <c r="F193" s="2"/>
      <c r="G193" s="2"/>
    </row>
    <row r="194" spans="2:7" ht="15.75" customHeight="1" x14ac:dyDescent="0.25">
      <c r="B194" s="2"/>
      <c r="C194" s="2"/>
      <c r="D194" s="2"/>
      <c r="E194" s="2"/>
      <c r="F194" s="2"/>
      <c r="G194" s="2"/>
    </row>
    <row r="195" spans="2:7" ht="15.75" customHeight="1" x14ac:dyDescent="0.25">
      <c r="B195" s="2"/>
      <c r="C195" s="2"/>
      <c r="D195" s="2"/>
      <c r="E195" s="2"/>
      <c r="F195" s="2"/>
      <c r="G195" s="2"/>
    </row>
    <row r="196" spans="2:7" ht="15.75" customHeight="1" x14ac:dyDescent="0.25">
      <c r="B196" s="2"/>
      <c r="C196" s="2"/>
      <c r="D196" s="2"/>
      <c r="E196" s="2"/>
      <c r="F196" s="2"/>
      <c r="G196" s="2"/>
    </row>
    <row r="197" spans="2:7" ht="15.75" customHeight="1" x14ac:dyDescent="0.25">
      <c r="B197" s="2"/>
      <c r="C197" s="2"/>
      <c r="D197" s="2"/>
      <c r="E197" s="2"/>
      <c r="F197" s="2"/>
      <c r="G197" s="2"/>
    </row>
    <row r="198" spans="2:7" ht="15.75" customHeight="1" x14ac:dyDescent="0.25">
      <c r="B198" s="2"/>
      <c r="C198" s="2"/>
      <c r="D198" s="2"/>
      <c r="E198" s="2"/>
      <c r="F198" s="2"/>
      <c r="G198" s="2"/>
    </row>
    <row r="199" spans="2:7" ht="15.75" customHeight="1" x14ac:dyDescent="0.25">
      <c r="B199" s="2"/>
      <c r="C199" s="2"/>
      <c r="D199" s="2"/>
      <c r="E199" s="2"/>
      <c r="F199" s="2"/>
      <c r="G199" s="2"/>
    </row>
    <row r="200" spans="2:7" ht="15.75" customHeight="1" x14ac:dyDescent="0.25">
      <c r="B200" s="2"/>
      <c r="C200" s="2"/>
      <c r="D200" s="2"/>
      <c r="E200" s="2"/>
      <c r="F200" s="2"/>
      <c r="G200" s="2"/>
    </row>
    <row r="201" spans="2:7" ht="15.75" customHeight="1" x14ac:dyDescent="0.25">
      <c r="B201" s="2"/>
      <c r="C201" s="2"/>
      <c r="D201" s="2"/>
      <c r="E201" s="2"/>
      <c r="F201" s="2"/>
      <c r="G201" s="2"/>
    </row>
    <row r="202" spans="2:7" ht="15.75" customHeight="1" x14ac:dyDescent="0.25">
      <c r="B202" s="2"/>
      <c r="C202" s="2"/>
      <c r="D202" s="2"/>
      <c r="E202" s="2"/>
      <c r="F202" s="2"/>
      <c r="G202" s="2"/>
    </row>
    <row r="203" spans="2:7" ht="15.75" customHeight="1" x14ac:dyDescent="0.25">
      <c r="B203" s="2"/>
      <c r="C203" s="2"/>
      <c r="D203" s="2"/>
      <c r="E203" s="2"/>
      <c r="F203" s="2"/>
      <c r="G203" s="2"/>
    </row>
    <row r="204" spans="2:7" ht="15.75" customHeight="1" x14ac:dyDescent="0.25">
      <c r="B204" s="2"/>
      <c r="C204" s="2"/>
      <c r="D204" s="2"/>
      <c r="E204" s="2"/>
      <c r="F204" s="2"/>
      <c r="G204" s="2"/>
    </row>
    <row r="205" spans="2:7" ht="15.75" customHeight="1" x14ac:dyDescent="0.25">
      <c r="B205" s="2"/>
      <c r="C205" s="2"/>
      <c r="D205" s="2"/>
      <c r="E205" s="2"/>
      <c r="F205" s="2"/>
      <c r="G205" s="2"/>
    </row>
    <row r="206" spans="2:7" ht="15.75" customHeight="1" x14ac:dyDescent="0.25">
      <c r="B206" s="2"/>
      <c r="C206" s="2"/>
      <c r="D206" s="2"/>
      <c r="E206" s="2"/>
      <c r="F206" s="2"/>
      <c r="G206" s="2"/>
    </row>
    <row r="207" spans="2:7" ht="15.75" customHeight="1" x14ac:dyDescent="0.25">
      <c r="B207" s="2"/>
      <c r="C207" s="2"/>
      <c r="D207" s="2"/>
      <c r="E207" s="2"/>
      <c r="F207" s="2"/>
      <c r="G207" s="2"/>
    </row>
    <row r="208" spans="2:7" ht="15.75" customHeight="1" x14ac:dyDescent="0.25">
      <c r="B208" s="2"/>
      <c r="C208" s="2"/>
      <c r="D208" s="2"/>
      <c r="E208" s="2"/>
      <c r="F208" s="2"/>
      <c r="G208" s="2"/>
    </row>
    <row r="209" spans="2:7" ht="15.75" customHeight="1" x14ac:dyDescent="0.25">
      <c r="B209" s="2"/>
      <c r="C209" s="2"/>
      <c r="D209" s="2"/>
      <c r="E209" s="2"/>
      <c r="F209" s="2"/>
      <c r="G209" s="2"/>
    </row>
    <row r="210" spans="2:7" ht="15.75" customHeight="1" x14ac:dyDescent="0.25">
      <c r="B210" s="2"/>
      <c r="C210" s="2"/>
      <c r="D210" s="2"/>
      <c r="E210" s="2"/>
      <c r="F210" s="2"/>
      <c r="G210" s="2"/>
    </row>
    <row r="211" spans="2:7" ht="15.75" customHeight="1" x14ac:dyDescent="0.25">
      <c r="B211" s="2"/>
      <c r="C211" s="2"/>
      <c r="D211" s="2"/>
      <c r="E211" s="2"/>
      <c r="F211" s="2"/>
      <c r="G211" s="2"/>
    </row>
    <row r="212" spans="2:7" ht="15.75" customHeight="1" x14ac:dyDescent="0.25">
      <c r="B212" s="2"/>
      <c r="C212" s="2"/>
      <c r="D212" s="2"/>
      <c r="E212" s="2"/>
      <c r="F212" s="2"/>
      <c r="G212" s="2"/>
    </row>
    <row r="213" spans="2:7" ht="15.75" customHeight="1" x14ac:dyDescent="0.25">
      <c r="B213" s="2"/>
      <c r="C213" s="2"/>
      <c r="D213" s="2"/>
      <c r="E213" s="2"/>
      <c r="F213" s="2"/>
      <c r="G213" s="2"/>
    </row>
    <row r="214" spans="2:7" ht="15.75" customHeight="1" x14ac:dyDescent="0.25">
      <c r="B214" s="2"/>
      <c r="C214" s="2"/>
      <c r="D214" s="2"/>
      <c r="E214" s="2"/>
      <c r="F214" s="2"/>
      <c r="G214" s="2"/>
    </row>
    <row r="215" spans="2:7" ht="15.75" customHeight="1" x14ac:dyDescent="0.25">
      <c r="B215" s="2"/>
      <c r="C215" s="2"/>
      <c r="D215" s="2"/>
      <c r="E215" s="2"/>
      <c r="F215" s="2"/>
      <c r="G215" s="2"/>
    </row>
    <row r="216" spans="2:7" ht="15.75" customHeight="1" x14ac:dyDescent="0.25">
      <c r="B216" s="2"/>
      <c r="C216" s="2"/>
      <c r="D216" s="2"/>
      <c r="E216" s="2"/>
      <c r="F216" s="2"/>
      <c r="G216" s="2"/>
    </row>
    <row r="217" spans="2:7" ht="15.75" customHeight="1" x14ac:dyDescent="0.25">
      <c r="B217" s="2"/>
      <c r="C217" s="2"/>
      <c r="D217" s="2"/>
      <c r="E217" s="2"/>
      <c r="F217" s="2"/>
      <c r="G217" s="2"/>
    </row>
    <row r="218" spans="2:7" ht="15.75" customHeight="1" x14ac:dyDescent="0.25">
      <c r="B218" s="2"/>
      <c r="C218" s="2"/>
      <c r="D218" s="2"/>
      <c r="E218" s="2"/>
      <c r="F218" s="2"/>
      <c r="G218" s="2"/>
    </row>
    <row r="219" spans="2:7" ht="15.75" customHeight="1" x14ac:dyDescent="0.25">
      <c r="B219" s="2"/>
      <c r="C219" s="2"/>
      <c r="D219" s="2"/>
      <c r="E219" s="2"/>
      <c r="F219" s="2"/>
      <c r="G219" s="2"/>
    </row>
    <row r="220" spans="2:7" ht="15.75" customHeight="1" x14ac:dyDescent="0.25">
      <c r="B220" s="2"/>
      <c r="C220" s="2"/>
      <c r="D220" s="2"/>
      <c r="E220" s="2"/>
      <c r="F220" s="2"/>
      <c r="G220" s="2"/>
    </row>
    <row r="221" spans="2:7" ht="15.75" customHeight="1" x14ac:dyDescent="0.25">
      <c r="B221" s="2"/>
      <c r="C221" s="2"/>
      <c r="D221" s="2"/>
      <c r="E221" s="2"/>
      <c r="F221" s="2"/>
      <c r="G221" s="2"/>
    </row>
    <row r="222" spans="2:7" ht="15.75" customHeight="1" x14ac:dyDescent="0.25">
      <c r="B222" s="2"/>
      <c r="C222" s="2"/>
      <c r="D222" s="2"/>
      <c r="E222" s="2"/>
      <c r="F222" s="2"/>
      <c r="G222" s="2"/>
    </row>
    <row r="223" spans="2:7" ht="15.75" customHeight="1" x14ac:dyDescent="0.25">
      <c r="B223" s="2"/>
      <c r="C223" s="2"/>
      <c r="D223" s="2"/>
      <c r="E223" s="2"/>
      <c r="F223" s="2"/>
      <c r="G223" s="2"/>
    </row>
    <row r="224" spans="2:7" ht="15.75" customHeight="1" x14ac:dyDescent="0.25">
      <c r="B224" s="2"/>
      <c r="C224" s="2"/>
      <c r="D224" s="2"/>
      <c r="E224" s="2"/>
      <c r="F224" s="2"/>
      <c r="G224" s="2"/>
    </row>
    <row r="225" spans="2:7" ht="15.75" customHeight="1" x14ac:dyDescent="0.25">
      <c r="B225" s="2"/>
      <c r="C225" s="2"/>
      <c r="D225" s="2"/>
      <c r="E225" s="2"/>
      <c r="F225" s="2"/>
      <c r="G225" s="2"/>
    </row>
    <row r="226" spans="2:7" ht="15.75" customHeight="1" x14ac:dyDescent="0.25">
      <c r="B226" s="2"/>
      <c r="C226" s="2"/>
      <c r="D226" s="2"/>
      <c r="E226" s="2"/>
      <c r="F226" s="2"/>
      <c r="G226" s="2"/>
    </row>
    <row r="227" spans="2:7" ht="15.75" customHeight="1" x14ac:dyDescent="0.25">
      <c r="B227" s="2"/>
      <c r="C227" s="2"/>
      <c r="D227" s="2"/>
      <c r="E227" s="2"/>
      <c r="F227" s="2"/>
      <c r="G227" s="2"/>
    </row>
    <row r="228" spans="2:7" ht="15.75" customHeight="1" x14ac:dyDescent="0.25">
      <c r="B228" s="2"/>
      <c r="C228" s="2"/>
      <c r="D228" s="2"/>
      <c r="E228" s="2"/>
      <c r="F228" s="2"/>
      <c r="G228" s="2"/>
    </row>
    <row r="229" spans="2:7" ht="15.75" customHeight="1" x14ac:dyDescent="0.25">
      <c r="B229" s="2"/>
      <c r="C229" s="2"/>
      <c r="D229" s="2"/>
      <c r="E229" s="2"/>
      <c r="F229" s="2"/>
      <c r="G229" s="2"/>
    </row>
    <row r="230" spans="2:7" ht="15.75" customHeight="1" x14ac:dyDescent="0.25">
      <c r="B230" s="2"/>
      <c r="C230" s="2"/>
      <c r="D230" s="2"/>
      <c r="E230" s="2"/>
      <c r="F230" s="2"/>
      <c r="G230" s="2"/>
    </row>
    <row r="231" spans="2:7" ht="15.75" customHeight="1" x14ac:dyDescent="0.25">
      <c r="B231" s="2"/>
      <c r="C231" s="2"/>
      <c r="D231" s="2"/>
      <c r="E231" s="2"/>
      <c r="F231" s="2"/>
      <c r="G231" s="2"/>
    </row>
    <row r="232" spans="2:7" ht="15.75" customHeight="1" x14ac:dyDescent="0.25">
      <c r="B232" s="2"/>
      <c r="C232" s="2"/>
      <c r="D232" s="2"/>
      <c r="E232" s="2"/>
      <c r="F232" s="2"/>
      <c r="G232" s="2"/>
    </row>
    <row r="233" spans="2:7" ht="15.75" customHeight="1" x14ac:dyDescent="0.25">
      <c r="B233" s="2"/>
      <c r="C233" s="2"/>
      <c r="D233" s="2"/>
      <c r="E233" s="2"/>
      <c r="F233" s="2"/>
      <c r="G233" s="2"/>
    </row>
    <row r="234" spans="2:7" ht="15.75" customHeight="1" x14ac:dyDescent="0.25">
      <c r="B234" s="2"/>
      <c r="C234" s="2"/>
      <c r="D234" s="2"/>
      <c r="E234" s="2"/>
      <c r="F234" s="2"/>
      <c r="G234" s="2"/>
    </row>
    <row r="235" spans="2:7" ht="15.75" customHeight="1" x14ac:dyDescent="0.25">
      <c r="B235" s="2"/>
      <c r="C235" s="2"/>
      <c r="D235" s="2"/>
      <c r="E235" s="2"/>
      <c r="F235" s="2"/>
      <c r="G235" s="2"/>
    </row>
    <row r="236" spans="2:7" ht="15.75" customHeight="1" x14ac:dyDescent="0.25">
      <c r="B236" s="2"/>
      <c r="C236" s="2"/>
      <c r="D236" s="2"/>
      <c r="E236" s="2"/>
      <c r="F236" s="2"/>
      <c r="G236" s="2"/>
    </row>
    <row r="237" spans="2:7" ht="15.75" customHeight="1" x14ac:dyDescent="0.25">
      <c r="B237" s="2"/>
      <c r="C237" s="2"/>
      <c r="D237" s="2"/>
      <c r="E237" s="2"/>
      <c r="F237" s="2"/>
      <c r="G237" s="2"/>
    </row>
    <row r="238" spans="2:7" ht="15.75" customHeight="1" x14ac:dyDescent="0.25">
      <c r="B238" s="2"/>
      <c r="C238" s="2"/>
      <c r="D238" s="2"/>
      <c r="E238" s="2"/>
      <c r="F238" s="2"/>
      <c r="G238" s="2"/>
    </row>
    <row r="239" spans="2:7" ht="15.75" customHeight="1" x14ac:dyDescent="0.25">
      <c r="B239" s="2"/>
      <c r="C239" s="2"/>
      <c r="D239" s="2"/>
      <c r="E239" s="2"/>
      <c r="F239" s="2"/>
      <c r="G239" s="2"/>
    </row>
    <row r="240" spans="2:7" ht="15.75" customHeight="1" x14ac:dyDescent="0.25">
      <c r="B240" s="2"/>
      <c r="C240" s="2"/>
      <c r="D240" s="2"/>
      <c r="E240" s="2"/>
      <c r="F240" s="2"/>
      <c r="G240" s="2"/>
    </row>
    <row r="241" spans="2:7" ht="15.75" customHeight="1" x14ac:dyDescent="0.25">
      <c r="B241" s="2"/>
      <c r="C241" s="2"/>
      <c r="D241" s="2"/>
      <c r="E241" s="2"/>
      <c r="F241" s="2"/>
      <c r="G241" s="2"/>
    </row>
    <row r="242" spans="2:7" ht="15.75" customHeight="1" x14ac:dyDescent="0.25">
      <c r="B242" s="2"/>
      <c r="C242" s="2"/>
      <c r="D242" s="2"/>
      <c r="E242" s="2"/>
      <c r="F242" s="2"/>
      <c r="G242" s="2"/>
    </row>
    <row r="243" spans="2:7" ht="15.75" customHeight="1" x14ac:dyDescent="0.25">
      <c r="B243" s="2"/>
      <c r="C243" s="2"/>
      <c r="D243" s="2"/>
      <c r="E243" s="2"/>
      <c r="F243" s="2"/>
      <c r="G243" s="2"/>
    </row>
    <row r="244" spans="2:7" ht="15.75" customHeight="1" x14ac:dyDescent="0.25">
      <c r="B244" s="2"/>
      <c r="C244" s="2"/>
      <c r="D244" s="2"/>
      <c r="E244" s="2"/>
      <c r="F244" s="2"/>
      <c r="G244" s="2"/>
    </row>
    <row r="245" spans="2:7" ht="15.75" customHeight="1" x14ac:dyDescent="0.25">
      <c r="B245" s="2"/>
      <c r="C245" s="2"/>
      <c r="D245" s="2"/>
      <c r="E245" s="2"/>
      <c r="F245" s="2"/>
      <c r="G245" s="2"/>
    </row>
    <row r="246" spans="2:7" ht="15.75" customHeight="1" x14ac:dyDescent="0.25">
      <c r="B246" s="2"/>
      <c r="C246" s="2"/>
      <c r="D246" s="2"/>
      <c r="E246" s="2"/>
      <c r="F246" s="2"/>
      <c r="G246" s="2"/>
    </row>
    <row r="247" spans="2:7" ht="15.75" customHeight="1" x14ac:dyDescent="0.25">
      <c r="B247" s="2"/>
      <c r="C247" s="2"/>
      <c r="D247" s="2"/>
      <c r="E247" s="2"/>
      <c r="F247" s="2"/>
      <c r="G247" s="2"/>
    </row>
    <row r="248" spans="2:7" ht="15.75" customHeight="1" x14ac:dyDescent="0.25">
      <c r="B248" s="2"/>
      <c r="C248" s="2"/>
      <c r="D248" s="2"/>
      <c r="E248" s="2"/>
      <c r="F248" s="2"/>
      <c r="G248" s="2"/>
    </row>
    <row r="249" spans="2:7" ht="15.75" customHeight="1" x14ac:dyDescent="0.25">
      <c r="B249" s="2"/>
      <c r="C249" s="2"/>
      <c r="D249" s="2"/>
      <c r="E249" s="2"/>
      <c r="F249" s="2"/>
      <c r="G249" s="2"/>
    </row>
    <row r="250" spans="2:7" ht="15.75" customHeight="1" x14ac:dyDescent="0.25">
      <c r="B250" s="2"/>
      <c r="C250" s="2"/>
      <c r="D250" s="2"/>
      <c r="E250" s="2"/>
      <c r="F250" s="2"/>
      <c r="G250" s="2"/>
    </row>
    <row r="251" spans="2:7" ht="15.75" customHeight="1" x14ac:dyDescent="0.25">
      <c r="B251" s="2"/>
      <c r="C251" s="2"/>
      <c r="D251" s="2"/>
      <c r="E251" s="2"/>
      <c r="F251" s="2"/>
      <c r="G251" s="2"/>
    </row>
    <row r="252" spans="2:7" ht="15.75" customHeight="1" x14ac:dyDescent="0.25">
      <c r="B252" s="2"/>
      <c r="C252" s="2"/>
      <c r="D252" s="2"/>
      <c r="E252" s="2"/>
      <c r="F252" s="2"/>
      <c r="G252" s="2"/>
    </row>
    <row r="253" spans="2:7" ht="15.75" customHeight="1" x14ac:dyDescent="0.25">
      <c r="B253" s="2"/>
      <c r="C253" s="2"/>
      <c r="D253" s="2"/>
      <c r="E253" s="2"/>
      <c r="F253" s="2"/>
      <c r="G253" s="2"/>
    </row>
    <row r="254" spans="2:7" ht="15.75" customHeight="1" x14ac:dyDescent="0.25">
      <c r="B254" s="2"/>
      <c r="C254" s="2"/>
      <c r="D254" s="2"/>
      <c r="E254" s="2"/>
      <c r="F254" s="2"/>
      <c r="G254" s="2"/>
    </row>
    <row r="255" spans="2:7" ht="15.75" customHeight="1" x14ac:dyDescent="0.25">
      <c r="B255" s="2"/>
      <c r="C255" s="2"/>
      <c r="D255" s="2"/>
      <c r="E255" s="2"/>
      <c r="F255" s="2"/>
      <c r="G255" s="2"/>
    </row>
    <row r="256" spans="2:7" ht="15.75" customHeight="1" x14ac:dyDescent="0.25">
      <c r="B256" s="2"/>
      <c r="C256" s="2"/>
      <c r="D256" s="2"/>
      <c r="E256" s="2"/>
      <c r="F256" s="2"/>
      <c r="G256" s="2"/>
    </row>
    <row r="257" spans="2:7" ht="15.75" customHeight="1" x14ac:dyDescent="0.25">
      <c r="B257" s="2"/>
      <c r="C257" s="2"/>
      <c r="D257" s="2"/>
      <c r="E257" s="2"/>
      <c r="F257" s="2"/>
      <c r="G257" s="2"/>
    </row>
    <row r="258" spans="2:7" ht="15.75" customHeight="1" x14ac:dyDescent="0.25">
      <c r="B258" s="2"/>
      <c r="C258" s="2"/>
      <c r="D258" s="2"/>
      <c r="E258" s="2"/>
      <c r="F258" s="2"/>
      <c r="G258" s="2"/>
    </row>
    <row r="259" spans="2:7" ht="15.75" customHeight="1" x14ac:dyDescent="0.25">
      <c r="B259" s="2"/>
      <c r="C259" s="2"/>
      <c r="D259" s="2"/>
      <c r="E259" s="2"/>
      <c r="F259" s="2"/>
      <c r="G259" s="2"/>
    </row>
    <row r="260" spans="2:7" ht="15.75" customHeight="1" x14ac:dyDescent="0.25">
      <c r="B260" s="2"/>
      <c r="C260" s="2"/>
      <c r="D260" s="2"/>
      <c r="E260" s="2"/>
      <c r="F260" s="2"/>
      <c r="G260" s="2"/>
    </row>
    <row r="261" spans="2:7" ht="15.75" customHeight="1" x14ac:dyDescent="0.25">
      <c r="B261" s="2"/>
      <c r="C261" s="2"/>
      <c r="D261" s="2"/>
      <c r="E261" s="2"/>
      <c r="F261" s="2"/>
      <c r="G261" s="2"/>
    </row>
    <row r="262" spans="2:7" ht="15.75" customHeight="1" x14ac:dyDescent="0.25">
      <c r="B262" s="2"/>
      <c r="C262" s="2"/>
      <c r="D262" s="2"/>
      <c r="E262" s="2"/>
      <c r="F262" s="2"/>
      <c r="G262" s="2"/>
    </row>
    <row r="263" spans="2:7" ht="15.75" customHeight="1" x14ac:dyDescent="0.25">
      <c r="B263" s="2"/>
      <c r="C263" s="2"/>
      <c r="D263" s="2"/>
      <c r="E263" s="2"/>
      <c r="F263" s="2"/>
      <c r="G263" s="2"/>
    </row>
    <row r="264" spans="2:7" ht="15.75" customHeight="1" x14ac:dyDescent="0.25">
      <c r="B264" s="2"/>
      <c r="C264" s="2"/>
      <c r="D264" s="2"/>
      <c r="E264" s="2"/>
      <c r="F264" s="2"/>
      <c r="G264" s="2"/>
    </row>
    <row r="265" spans="2:7" ht="15.75" customHeight="1" x14ac:dyDescent="0.25">
      <c r="B265" s="2"/>
      <c r="C265" s="2"/>
      <c r="D265" s="2"/>
      <c r="E265" s="2"/>
      <c r="F265" s="2"/>
      <c r="G265" s="2"/>
    </row>
    <row r="266" spans="2:7" ht="15.75" customHeight="1" x14ac:dyDescent="0.25">
      <c r="B266" s="2"/>
      <c r="C266" s="2"/>
      <c r="D266" s="2"/>
      <c r="E266" s="2"/>
      <c r="F266" s="2"/>
      <c r="G266" s="2"/>
    </row>
    <row r="267" spans="2:7" ht="15.75" customHeight="1" x14ac:dyDescent="0.25">
      <c r="B267" s="2"/>
      <c r="C267" s="2"/>
      <c r="D267" s="2"/>
      <c r="E267" s="2"/>
      <c r="F267" s="2"/>
      <c r="G267" s="2"/>
    </row>
    <row r="268" spans="2:7" ht="15.75" customHeight="1" x14ac:dyDescent="0.25">
      <c r="B268" s="2"/>
      <c r="C268" s="2"/>
      <c r="D268" s="2"/>
      <c r="E268" s="2"/>
      <c r="F268" s="2"/>
      <c r="G268" s="2"/>
    </row>
    <row r="269" spans="2:7" ht="15.75" customHeight="1" x14ac:dyDescent="0.25">
      <c r="B269" s="2"/>
      <c r="C269" s="2"/>
      <c r="D269" s="2"/>
      <c r="E269" s="2"/>
      <c r="F269" s="2"/>
      <c r="G269" s="2"/>
    </row>
    <row r="270" spans="2:7" ht="15.75" customHeight="1" x14ac:dyDescent="0.25">
      <c r="B270" s="2"/>
      <c r="C270" s="2"/>
      <c r="D270" s="2"/>
      <c r="E270" s="2"/>
      <c r="F270" s="2"/>
      <c r="G270" s="2"/>
    </row>
    <row r="271" spans="2:7" ht="15.75" customHeight="1" x14ac:dyDescent="0.25">
      <c r="B271" s="2"/>
      <c r="C271" s="2"/>
      <c r="D271" s="2"/>
      <c r="E271" s="2"/>
      <c r="F271" s="2"/>
      <c r="G271" s="2"/>
    </row>
    <row r="272" spans="2:7" ht="15.75" customHeight="1" x14ac:dyDescent="0.25">
      <c r="B272" s="2"/>
      <c r="C272" s="2"/>
      <c r="D272" s="2"/>
      <c r="E272" s="2"/>
      <c r="F272" s="2"/>
      <c r="G272" s="2"/>
    </row>
    <row r="273" spans="2:7" ht="15.75" customHeight="1" x14ac:dyDescent="0.25">
      <c r="B273" s="2"/>
      <c r="C273" s="2"/>
      <c r="D273" s="2"/>
      <c r="E273" s="2"/>
      <c r="F273" s="2"/>
      <c r="G273" s="2"/>
    </row>
    <row r="274" spans="2:7" ht="15.75" customHeight="1" x14ac:dyDescent="0.25">
      <c r="B274" s="2"/>
      <c r="C274" s="2"/>
      <c r="D274" s="2"/>
      <c r="E274" s="2"/>
      <c r="F274" s="2"/>
      <c r="G274" s="2"/>
    </row>
    <row r="275" spans="2:7" ht="15.75" customHeight="1" x14ac:dyDescent="0.25">
      <c r="B275" s="2"/>
      <c r="C275" s="2"/>
      <c r="D275" s="2"/>
      <c r="E275" s="2"/>
      <c r="F275" s="2"/>
      <c r="G275" s="2"/>
    </row>
    <row r="276" spans="2:7" ht="15.75" customHeight="1" x14ac:dyDescent="0.25">
      <c r="B276" s="2"/>
      <c r="C276" s="2"/>
      <c r="D276" s="2"/>
      <c r="E276" s="2"/>
      <c r="F276" s="2"/>
      <c r="G276" s="2"/>
    </row>
    <row r="277" spans="2:7" ht="15.75" customHeight="1" x14ac:dyDescent="0.25">
      <c r="B277" s="2"/>
      <c r="C277" s="2"/>
      <c r="D277" s="2"/>
      <c r="E277" s="2"/>
      <c r="F277" s="2"/>
      <c r="G277" s="2"/>
    </row>
    <row r="278" spans="2:7" ht="15.75" customHeight="1" x14ac:dyDescent="0.25">
      <c r="B278" s="2"/>
      <c r="C278" s="2"/>
      <c r="D278" s="2"/>
      <c r="E278" s="2"/>
      <c r="F278" s="2"/>
      <c r="G278" s="2"/>
    </row>
    <row r="279" spans="2:7" ht="15.75" customHeight="1" x14ac:dyDescent="0.25">
      <c r="B279" s="2"/>
      <c r="C279" s="2"/>
      <c r="D279" s="2"/>
      <c r="E279" s="2"/>
      <c r="F279" s="2"/>
      <c r="G279" s="2"/>
    </row>
    <row r="280" spans="2:7" ht="15.75" customHeight="1" x14ac:dyDescent="0.25">
      <c r="B280" s="2"/>
      <c r="C280" s="2"/>
      <c r="D280" s="2"/>
      <c r="E280" s="2"/>
      <c r="F280" s="2"/>
      <c r="G280" s="2"/>
    </row>
    <row r="281" spans="2:7" ht="15.75" customHeight="1" x14ac:dyDescent="0.25">
      <c r="B281" s="2"/>
      <c r="C281" s="2"/>
      <c r="D281" s="2"/>
      <c r="E281" s="2"/>
      <c r="F281" s="2"/>
      <c r="G281" s="2"/>
    </row>
    <row r="282" spans="2:7" ht="15.75" customHeight="1" x14ac:dyDescent="0.25">
      <c r="B282" s="2"/>
      <c r="C282" s="2"/>
      <c r="D282" s="2"/>
      <c r="E282" s="2"/>
      <c r="F282" s="2"/>
      <c r="G282" s="2"/>
    </row>
    <row r="283" spans="2:7" ht="15.75" customHeight="1" x14ac:dyDescent="0.25">
      <c r="B283" s="2"/>
      <c r="C283" s="2"/>
      <c r="D283" s="2"/>
      <c r="E283" s="2"/>
      <c r="F283" s="2"/>
      <c r="G283" s="2"/>
    </row>
    <row r="284" spans="2:7" ht="15.75" customHeight="1" x14ac:dyDescent="0.25">
      <c r="B284" s="2"/>
      <c r="C284" s="2"/>
      <c r="D284" s="2"/>
      <c r="E284" s="2"/>
      <c r="F284" s="2"/>
      <c r="G284" s="2"/>
    </row>
    <row r="285" spans="2:7" ht="15.75" customHeight="1" x14ac:dyDescent="0.25">
      <c r="B285" s="2"/>
      <c r="C285" s="2"/>
      <c r="D285" s="2"/>
      <c r="E285" s="2"/>
      <c r="F285" s="2"/>
      <c r="G285" s="2"/>
    </row>
    <row r="286" spans="2:7" ht="15.75" customHeight="1" x14ac:dyDescent="0.25">
      <c r="B286" s="2"/>
      <c r="C286" s="2"/>
      <c r="D286" s="2"/>
      <c r="E286" s="2"/>
      <c r="F286" s="2"/>
      <c r="G286" s="2"/>
    </row>
    <row r="287" spans="2:7" ht="15.75" customHeight="1" x14ac:dyDescent="0.25">
      <c r="B287" s="2"/>
      <c r="C287" s="2"/>
      <c r="D287" s="2"/>
      <c r="E287" s="2"/>
      <c r="F287" s="2"/>
      <c r="G287" s="2"/>
    </row>
    <row r="288" spans="2:7" ht="15.75" customHeight="1" x14ac:dyDescent="0.25">
      <c r="B288" s="2"/>
      <c r="C288" s="2"/>
      <c r="D288" s="2"/>
      <c r="E288" s="2"/>
      <c r="F288" s="2"/>
      <c r="G288" s="2"/>
    </row>
    <row r="289" spans="2:7" ht="15.75" customHeight="1" x14ac:dyDescent="0.25">
      <c r="B289" s="2"/>
      <c r="C289" s="2"/>
      <c r="D289" s="2"/>
      <c r="E289" s="2"/>
      <c r="F289" s="2"/>
      <c r="G289" s="2"/>
    </row>
    <row r="290" spans="2:7" ht="15.75" customHeight="1" x14ac:dyDescent="0.25">
      <c r="B290" s="2"/>
      <c r="C290" s="2"/>
      <c r="D290" s="2"/>
      <c r="E290" s="2"/>
      <c r="F290" s="2"/>
      <c r="G290" s="2"/>
    </row>
    <row r="291" spans="2:7" ht="15.75" customHeight="1" x14ac:dyDescent="0.25">
      <c r="B291" s="2"/>
      <c r="C291" s="2"/>
      <c r="D291" s="2"/>
      <c r="E291" s="2"/>
      <c r="F291" s="2"/>
      <c r="G291" s="2"/>
    </row>
    <row r="292" spans="2:7" ht="15.75" customHeight="1" x14ac:dyDescent="0.25">
      <c r="B292" s="2"/>
      <c r="C292" s="2"/>
      <c r="D292" s="2"/>
      <c r="E292" s="2"/>
      <c r="F292" s="2"/>
      <c r="G292" s="2"/>
    </row>
    <row r="293" spans="2:7" ht="15.75" customHeight="1" x14ac:dyDescent="0.25">
      <c r="B293" s="2"/>
      <c r="C293" s="2"/>
      <c r="D293" s="2"/>
      <c r="E293" s="2"/>
      <c r="F293" s="2"/>
      <c r="G293" s="2"/>
    </row>
    <row r="294" spans="2:7" ht="15.75" customHeight="1" x14ac:dyDescent="0.25">
      <c r="B294" s="2"/>
      <c r="C294" s="2"/>
      <c r="D294" s="2"/>
      <c r="E294" s="2"/>
      <c r="F294" s="2"/>
      <c r="G294" s="2"/>
    </row>
    <row r="295" spans="2:7" ht="15.75" customHeight="1" x14ac:dyDescent="0.25">
      <c r="B295" s="2"/>
      <c r="C295" s="2"/>
      <c r="D295" s="2"/>
      <c r="E295" s="2"/>
      <c r="F295" s="2"/>
      <c r="G295" s="2"/>
    </row>
    <row r="296" spans="2:7" ht="15.75" customHeight="1" x14ac:dyDescent="0.25">
      <c r="B296" s="2"/>
      <c r="C296" s="2"/>
      <c r="D296" s="2"/>
      <c r="E296" s="2"/>
      <c r="F296" s="2"/>
      <c r="G296" s="2"/>
    </row>
    <row r="297" spans="2:7" ht="15.75" customHeight="1" x14ac:dyDescent="0.25">
      <c r="B297" s="2"/>
      <c r="C297" s="2"/>
      <c r="D297" s="2"/>
      <c r="E297" s="2"/>
      <c r="F297" s="2"/>
      <c r="G297" s="2"/>
    </row>
    <row r="298" spans="2:7" ht="15.75" customHeight="1" x14ac:dyDescent="0.25">
      <c r="B298" s="2"/>
      <c r="C298" s="2"/>
      <c r="D298" s="2"/>
      <c r="E298" s="2"/>
      <c r="F298" s="2"/>
      <c r="G298" s="2"/>
    </row>
    <row r="299" spans="2:7" ht="15.75" customHeight="1" x14ac:dyDescent="0.25">
      <c r="B299" s="2"/>
      <c r="C299" s="2"/>
      <c r="D299" s="2"/>
      <c r="E299" s="2"/>
      <c r="F299" s="2"/>
      <c r="G299" s="2"/>
    </row>
    <row r="300" spans="2:7" ht="15.75" customHeight="1" x14ac:dyDescent="0.25">
      <c r="B300" s="2"/>
      <c r="C300" s="2"/>
      <c r="D300" s="2"/>
      <c r="E300" s="2"/>
      <c r="F300" s="2"/>
      <c r="G300" s="2"/>
    </row>
    <row r="301" spans="2:7" ht="15.75" customHeight="1" x14ac:dyDescent="0.25">
      <c r="B301" s="2"/>
      <c r="C301" s="2"/>
      <c r="D301" s="2"/>
      <c r="E301" s="2"/>
      <c r="F301" s="2"/>
      <c r="G301" s="2"/>
    </row>
    <row r="302" spans="2:7" ht="15.75" customHeight="1" x14ac:dyDescent="0.25">
      <c r="B302" s="2"/>
      <c r="C302" s="2"/>
      <c r="D302" s="2"/>
      <c r="E302" s="2"/>
      <c r="F302" s="2"/>
      <c r="G302" s="2"/>
    </row>
    <row r="303" spans="2:7" ht="15.75" customHeight="1" x14ac:dyDescent="0.25">
      <c r="B303" s="2"/>
      <c r="C303" s="2"/>
      <c r="D303" s="2"/>
      <c r="E303" s="2"/>
      <c r="F303" s="2"/>
      <c r="G303" s="2"/>
    </row>
    <row r="304" spans="2:7" ht="15.75" customHeight="1" x14ac:dyDescent="0.25">
      <c r="B304" s="2"/>
      <c r="C304" s="2"/>
      <c r="D304" s="2"/>
      <c r="E304" s="2"/>
      <c r="F304" s="2"/>
      <c r="G304" s="2"/>
    </row>
    <row r="305" spans="2:7" ht="15.75" customHeight="1" x14ac:dyDescent="0.25">
      <c r="B305" s="2"/>
      <c r="C305" s="2"/>
      <c r="D305" s="2"/>
      <c r="E305" s="2"/>
      <c r="F305" s="2"/>
      <c r="G305" s="2"/>
    </row>
    <row r="306" spans="2:7" ht="15.75" customHeight="1" x14ac:dyDescent="0.25">
      <c r="B306" s="2"/>
      <c r="C306" s="2"/>
      <c r="D306" s="2"/>
      <c r="E306" s="2"/>
      <c r="F306" s="2"/>
      <c r="G306" s="2"/>
    </row>
    <row r="307" spans="2:7" ht="15.75" customHeight="1" x14ac:dyDescent="0.25">
      <c r="B307" s="2"/>
      <c r="C307" s="2"/>
      <c r="D307" s="2"/>
      <c r="E307" s="2"/>
      <c r="F307" s="2"/>
      <c r="G307" s="2"/>
    </row>
    <row r="308" spans="2:7" ht="15.75" customHeight="1" x14ac:dyDescent="0.25">
      <c r="B308" s="2"/>
      <c r="C308" s="2"/>
      <c r="D308" s="2"/>
      <c r="E308" s="2"/>
      <c r="F308" s="2"/>
      <c r="G308" s="2"/>
    </row>
    <row r="309" spans="2:7" ht="15.75" customHeight="1" x14ac:dyDescent="0.25">
      <c r="B309" s="2"/>
      <c r="C309" s="2"/>
      <c r="D309" s="2"/>
      <c r="E309" s="2"/>
      <c r="F309" s="2"/>
      <c r="G309" s="2"/>
    </row>
    <row r="310" spans="2:7" ht="15.75" customHeight="1" x14ac:dyDescent="0.25">
      <c r="B310" s="2"/>
      <c r="C310" s="2"/>
      <c r="D310" s="2"/>
      <c r="E310" s="2"/>
      <c r="F310" s="2"/>
      <c r="G310" s="2"/>
    </row>
    <row r="311" spans="2:7" ht="15.75" customHeight="1" x14ac:dyDescent="0.25">
      <c r="B311" s="2"/>
      <c r="C311" s="2"/>
      <c r="D311" s="2"/>
      <c r="E311" s="2"/>
      <c r="F311" s="2"/>
      <c r="G311" s="2"/>
    </row>
    <row r="312" spans="2:7" ht="15.75" customHeight="1" x14ac:dyDescent="0.25">
      <c r="B312" s="2"/>
      <c r="C312" s="2"/>
      <c r="D312" s="2"/>
      <c r="E312" s="2"/>
      <c r="F312" s="2"/>
      <c r="G312" s="2"/>
    </row>
    <row r="313" spans="2:7" ht="15.75" customHeight="1" x14ac:dyDescent="0.25">
      <c r="B313" s="2"/>
      <c r="C313" s="2"/>
      <c r="D313" s="2"/>
      <c r="E313" s="2"/>
      <c r="F313" s="2"/>
      <c r="G313" s="2"/>
    </row>
    <row r="314" spans="2:7" ht="15.75" customHeight="1" x14ac:dyDescent="0.25">
      <c r="B314" s="2"/>
      <c r="C314" s="2"/>
      <c r="D314" s="2"/>
      <c r="E314" s="2"/>
      <c r="F314" s="2"/>
      <c r="G314" s="2"/>
    </row>
    <row r="315" spans="2:7" ht="15.75" customHeight="1" x14ac:dyDescent="0.25">
      <c r="B315" s="2"/>
      <c r="C315" s="2"/>
      <c r="D315" s="2"/>
      <c r="E315" s="2"/>
      <c r="F315" s="2"/>
      <c r="G315" s="2"/>
    </row>
    <row r="316" spans="2:7" ht="15.75" customHeight="1" x14ac:dyDescent="0.25">
      <c r="B316" s="2"/>
      <c r="C316" s="2"/>
      <c r="D316" s="2"/>
      <c r="E316" s="2"/>
      <c r="F316" s="2"/>
      <c r="G316" s="2"/>
    </row>
    <row r="317" spans="2:7" ht="15.75" customHeight="1" x14ac:dyDescent="0.25">
      <c r="B317" s="2"/>
      <c r="C317" s="2"/>
      <c r="D317" s="2"/>
      <c r="E317" s="2"/>
      <c r="F317" s="2"/>
      <c r="G317" s="2"/>
    </row>
    <row r="318" spans="2:7" ht="15.75" customHeight="1" x14ac:dyDescent="0.25">
      <c r="B318" s="2"/>
      <c r="C318" s="2"/>
      <c r="D318" s="2"/>
      <c r="E318" s="2"/>
      <c r="F318" s="2"/>
      <c r="G318" s="2"/>
    </row>
    <row r="319" spans="2:7" ht="15.75" customHeight="1" x14ac:dyDescent="0.25">
      <c r="B319" s="2"/>
      <c r="C319" s="2"/>
      <c r="D319" s="2"/>
      <c r="E319" s="2"/>
      <c r="F319" s="2"/>
      <c r="G319" s="2"/>
    </row>
    <row r="320" spans="2:7" ht="15.75" customHeight="1" x14ac:dyDescent="0.25">
      <c r="B320" s="2"/>
      <c r="C320" s="2"/>
      <c r="D320" s="2"/>
      <c r="E320" s="2"/>
      <c r="F320" s="2"/>
      <c r="G320" s="2"/>
    </row>
    <row r="321" spans="2:7" ht="15.75" customHeight="1" x14ac:dyDescent="0.25">
      <c r="B321" s="2"/>
      <c r="C321" s="2"/>
      <c r="D321" s="2"/>
      <c r="E321" s="2"/>
      <c r="F321" s="2"/>
      <c r="G321" s="2"/>
    </row>
    <row r="322" spans="2:7" ht="15.75" customHeight="1" x14ac:dyDescent="0.25">
      <c r="B322" s="2"/>
      <c r="C322" s="2"/>
      <c r="D322" s="2"/>
      <c r="E322" s="2"/>
      <c r="F322" s="2"/>
      <c r="G322" s="2"/>
    </row>
    <row r="323" spans="2:7" ht="15.75" customHeight="1" x14ac:dyDescent="0.25">
      <c r="B323" s="2"/>
      <c r="C323" s="2"/>
      <c r="D323" s="2"/>
      <c r="E323" s="2"/>
      <c r="F323" s="2"/>
      <c r="G323" s="2"/>
    </row>
    <row r="324" spans="2:7" ht="15.75" customHeight="1" x14ac:dyDescent="0.25">
      <c r="B324" s="2"/>
      <c r="C324" s="2"/>
      <c r="D324" s="2"/>
      <c r="E324" s="2"/>
      <c r="F324" s="2"/>
      <c r="G324" s="2"/>
    </row>
    <row r="325" spans="2:7" ht="15.75" customHeight="1" x14ac:dyDescent="0.25">
      <c r="B325" s="2"/>
      <c r="C325" s="2"/>
      <c r="D325" s="2"/>
      <c r="E325" s="2"/>
      <c r="F325" s="2"/>
      <c r="G325" s="2"/>
    </row>
    <row r="326" spans="2:7" ht="15.75" customHeight="1" x14ac:dyDescent="0.25">
      <c r="B326" s="2"/>
      <c r="C326" s="2"/>
      <c r="D326" s="2"/>
      <c r="E326" s="2"/>
      <c r="F326" s="2"/>
      <c r="G326" s="2"/>
    </row>
    <row r="327" spans="2:7" ht="15.75" customHeight="1" x14ac:dyDescent="0.25">
      <c r="B327" s="2"/>
      <c r="C327" s="2"/>
      <c r="D327" s="2"/>
      <c r="E327" s="2"/>
      <c r="F327" s="2"/>
      <c r="G327" s="2"/>
    </row>
    <row r="328" spans="2:7" ht="15.75" customHeight="1" x14ac:dyDescent="0.25">
      <c r="B328" s="2"/>
      <c r="C328" s="2"/>
      <c r="D328" s="2"/>
      <c r="E328" s="2"/>
      <c r="F328" s="2"/>
      <c r="G328" s="2"/>
    </row>
    <row r="329" spans="2:7" ht="15.75" customHeight="1" x14ac:dyDescent="0.25">
      <c r="B329" s="2"/>
      <c r="C329" s="2"/>
      <c r="D329" s="2"/>
      <c r="E329" s="2"/>
      <c r="F329" s="2"/>
      <c r="G329" s="2"/>
    </row>
    <row r="330" spans="2:7" ht="15.75" customHeight="1" x14ac:dyDescent="0.25">
      <c r="B330" s="2"/>
      <c r="C330" s="2"/>
      <c r="D330" s="2"/>
      <c r="E330" s="2"/>
      <c r="F330" s="2"/>
      <c r="G330" s="2"/>
    </row>
    <row r="331" spans="2:7" ht="15.75" customHeight="1" x14ac:dyDescent="0.25">
      <c r="B331" s="2"/>
      <c r="C331" s="2"/>
      <c r="D331" s="2"/>
      <c r="E331" s="2"/>
      <c r="F331" s="2"/>
      <c r="G331" s="2"/>
    </row>
    <row r="332" spans="2:7" ht="15.75" customHeight="1" x14ac:dyDescent="0.25">
      <c r="B332" s="2"/>
      <c r="C332" s="2"/>
      <c r="D332" s="2"/>
      <c r="E332" s="2"/>
      <c r="F332" s="2"/>
      <c r="G332" s="2"/>
    </row>
    <row r="333" spans="2:7" ht="15.75" customHeight="1" x14ac:dyDescent="0.25">
      <c r="B333" s="2"/>
      <c r="C333" s="2"/>
      <c r="D333" s="2"/>
      <c r="E333" s="2"/>
      <c r="F333" s="2"/>
      <c r="G333" s="2"/>
    </row>
    <row r="334" spans="2:7" ht="15.75" customHeight="1" x14ac:dyDescent="0.25">
      <c r="B334" s="2"/>
      <c r="C334" s="2"/>
      <c r="D334" s="2"/>
      <c r="E334" s="2"/>
      <c r="F334" s="2"/>
      <c r="G334" s="2"/>
    </row>
    <row r="335" spans="2:7" ht="15.75" customHeight="1" x14ac:dyDescent="0.25">
      <c r="B335" s="2"/>
      <c r="C335" s="2"/>
      <c r="D335" s="2"/>
      <c r="E335" s="2"/>
      <c r="F335" s="2"/>
      <c r="G335" s="2"/>
    </row>
    <row r="336" spans="2:7" ht="15.75" customHeight="1" x14ac:dyDescent="0.25">
      <c r="B336" s="2"/>
      <c r="C336" s="2"/>
      <c r="D336" s="2"/>
      <c r="E336" s="2"/>
      <c r="F336" s="2"/>
      <c r="G336" s="2"/>
    </row>
    <row r="337" spans="2:7" ht="15.75" customHeight="1" x14ac:dyDescent="0.25">
      <c r="B337" s="2"/>
      <c r="C337" s="2"/>
      <c r="D337" s="2"/>
      <c r="E337" s="2"/>
      <c r="F337" s="2"/>
      <c r="G337" s="2"/>
    </row>
    <row r="338" spans="2:7" ht="15.75" customHeight="1" x14ac:dyDescent="0.25">
      <c r="B338" s="2"/>
      <c r="C338" s="2"/>
      <c r="D338" s="2"/>
      <c r="E338" s="2"/>
      <c r="F338" s="2"/>
      <c r="G338" s="2"/>
    </row>
    <row r="339" spans="2:7" ht="15.75" customHeight="1" x14ac:dyDescent="0.25">
      <c r="B339" s="2"/>
      <c r="C339" s="2"/>
      <c r="D339" s="2"/>
      <c r="E339" s="2"/>
      <c r="F339" s="2"/>
      <c r="G339" s="2"/>
    </row>
    <row r="340" spans="2:7" ht="15.75" customHeight="1" x14ac:dyDescent="0.25">
      <c r="B340" s="2"/>
      <c r="C340" s="2"/>
      <c r="D340" s="2"/>
      <c r="E340" s="2"/>
      <c r="F340" s="2"/>
      <c r="G340" s="2"/>
    </row>
    <row r="341" spans="2:7" ht="15.75" customHeight="1" x14ac:dyDescent="0.25">
      <c r="B341" s="2"/>
      <c r="C341" s="2"/>
      <c r="D341" s="2"/>
      <c r="E341" s="2"/>
      <c r="F341" s="2"/>
      <c r="G341" s="2"/>
    </row>
    <row r="342" spans="2:7" ht="15.75" customHeight="1" x14ac:dyDescent="0.25">
      <c r="B342" s="2"/>
      <c r="C342" s="2"/>
      <c r="D342" s="2"/>
      <c r="E342" s="2"/>
      <c r="F342" s="2"/>
      <c r="G342" s="2"/>
    </row>
    <row r="343" spans="2:7" ht="15.75" customHeight="1" x14ac:dyDescent="0.25">
      <c r="B343" s="2"/>
      <c r="C343" s="2"/>
      <c r="D343" s="2"/>
      <c r="E343" s="2"/>
      <c r="F343" s="2"/>
      <c r="G343" s="2"/>
    </row>
    <row r="344" spans="2:7" ht="15.75" customHeight="1" x14ac:dyDescent="0.25">
      <c r="B344" s="2"/>
      <c r="C344" s="2"/>
      <c r="D344" s="2"/>
      <c r="E344" s="2"/>
      <c r="F344" s="2"/>
      <c r="G344" s="2"/>
    </row>
    <row r="345" spans="2:7" ht="15.75" customHeight="1" x14ac:dyDescent="0.25">
      <c r="B345" s="2"/>
      <c r="C345" s="2"/>
      <c r="D345" s="2"/>
      <c r="E345" s="2"/>
      <c r="F345" s="2"/>
      <c r="G345" s="2"/>
    </row>
    <row r="346" spans="2:7" ht="15.75" customHeight="1" x14ac:dyDescent="0.25">
      <c r="B346" s="2"/>
      <c r="C346" s="2"/>
      <c r="D346" s="2"/>
      <c r="E346" s="2"/>
      <c r="F346" s="2"/>
      <c r="G346" s="2"/>
    </row>
    <row r="347" spans="2:7" ht="15.75" customHeight="1" x14ac:dyDescent="0.25">
      <c r="B347" s="2"/>
      <c r="C347" s="2"/>
      <c r="D347" s="2"/>
      <c r="E347" s="2"/>
      <c r="F347" s="2"/>
      <c r="G347" s="2"/>
    </row>
    <row r="348" spans="2:7" ht="15.75" customHeight="1" x14ac:dyDescent="0.25">
      <c r="B348" s="2"/>
      <c r="C348" s="2"/>
      <c r="D348" s="2"/>
      <c r="E348" s="2"/>
      <c r="F348" s="2"/>
      <c r="G348" s="2"/>
    </row>
    <row r="349" spans="2:7" ht="15.75" customHeight="1" x14ac:dyDescent="0.25">
      <c r="B349" s="2"/>
      <c r="C349" s="2"/>
      <c r="D349" s="2"/>
      <c r="E349" s="2"/>
      <c r="F349" s="2"/>
      <c r="G349" s="2"/>
    </row>
    <row r="350" spans="2:7" ht="15.75" customHeight="1" x14ac:dyDescent="0.25">
      <c r="B350" s="2"/>
      <c r="C350" s="2"/>
      <c r="D350" s="2"/>
      <c r="E350" s="2"/>
      <c r="F350" s="2"/>
      <c r="G350" s="2"/>
    </row>
    <row r="351" spans="2:7" ht="15.75" customHeight="1" x14ac:dyDescent="0.25">
      <c r="B351" s="2"/>
      <c r="C351" s="2"/>
      <c r="D351" s="2"/>
      <c r="E351" s="2"/>
      <c r="F351" s="2"/>
      <c r="G351" s="2"/>
    </row>
    <row r="352" spans="2:7" ht="15.75" customHeight="1" x14ac:dyDescent="0.25">
      <c r="B352" s="2"/>
      <c r="C352" s="2"/>
      <c r="D352" s="2"/>
      <c r="E352" s="2"/>
      <c r="F352" s="2"/>
      <c r="G352" s="2"/>
    </row>
    <row r="353" spans="2:7" ht="15.75" customHeight="1" x14ac:dyDescent="0.25">
      <c r="B353" s="2"/>
      <c r="C353" s="2"/>
      <c r="D353" s="2"/>
      <c r="E353" s="2"/>
      <c r="F353" s="2"/>
      <c r="G353" s="2"/>
    </row>
    <row r="354" spans="2:7" ht="15.75" customHeight="1" x14ac:dyDescent="0.25">
      <c r="B354" s="2"/>
      <c r="C354" s="2"/>
      <c r="D354" s="2"/>
      <c r="E354" s="2"/>
      <c r="F354" s="2"/>
      <c r="G354" s="2"/>
    </row>
    <row r="355" spans="2:7" ht="15.75" customHeight="1" x14ac:dyDescent="0.25">
      <c r="B355" s="2"/>
      <c r="C355" s="2"/>
      <c r="D355" s="2"/>
      <c r="E355" s="2"/>
      <c r="F355" s="2"/>
      <c r="G355" s="2"/>
    </row>
    <row r="356" spans="2:7" ht="15.75" customHeight="1" x14ac:dyDescent="0.25">
      <c r="B356" s="2"/>
      <c r="C356" s="2"/>
      <c r="D356" s="2"/>
      <c r="E356" s="2"/>
      <c r="F356" s="2"/>
      <c r="G356" s="2"/>
    </row>
    <row r="357" spans="2:7" ht="15.75" customHeight="1" x14ac:dyDescent="0.25">
      <c r="B357" s="2"/>
      <c r="C357" s="2"/>
      <c r="D357" s="2"/>
      <c r="E357" s="2"/>
      <c r="F357" s="2"/>
      <c r="G357" s="2"/>
    </row>
    <row r="358" spans="2:7" ht="15.75" customHeight="1" x14ac:dyDescent="0.25">
      <c r="B358" s="2"/>
      <c r="C358" s="2"/>
      <c r="D358" s="2"/>
      <c r="E358" s="2"/>
      <c r="F358" s="2"/>
      <c r="G358" s="2"/>
    </row>
    <row r="359" spans="2:7" ht="15.75" customHeight="1" x14ac:dyDescent="0.25">
      <c r="B359" s="2"/>
      <c r="C359" s="2"/>
      <c r="D359" s="2"/>
      <c r="E359" s="2"/>
      <c r="F359" s="2"/>
      <c r="G359" s="2"/>
    </row>
    <row r="360" spans="2:7" ht="15.75" customHeight="1" x14ac:dyDescent="0.25">
      <c r="B360" s="2"/>
      <c r="C360" s="2"/>
      <c r="D360" s="2"/>
      <c r="E360" s="2"/>
      <c r="F360" s="2"/>
      <c r="G360" s="2"/>
    </row>
    <row r="361" spans="2:7" ht="15.75" customHeight="1" x14ac:dyDescent="0.25">
      <c r="B361" s="2"/>
      <c r="C361" s="2"/>
      <c r="D361" s="2"/>
      <c r="E361" s="2"/>
      <c r="F361" s="2"/>
      <c r="G361" s="2"/>
    </row>
    <row r="362" spans="2:7" ht="15.75" customHeight="1" x14ac:dyDescent="0.25">
      <c r="B362" s="2"/>
      <c r="C362" s="2"/>
      <c r="D362" s="2"/>
      <c r="E362" s="2"/>
      <c r="F362" s="2"/>
      <c r="G362" s="2"/>
    </row>
    <row r="363" spans="2:7" ht="15.75" customHeight="1" x14ac:dyDescent="0.25">
      <c r="B363" s="2"/>
      <c r="C363" s="2"/>
      <c r="D363" s="2"/>
      <c r="E363" s="2"/>
      <c r="F363" s="2"/>
      <c r="G363" s="2"/>
    </row>
    <row r="364" spans="2:7" ht="15.75" customHeight="1" x14ac:dyDescent="0.25">
      <c r="B364" s="2"/>
      <c r="C364" s="2"/>
      <c r="D364" s="2"/>
      <c r="E364" s="2"/>
      <c r="F364" s="2"/>
      <c r="G364" s="2"/>
    </row>
    <row r="365" spans="2:7" ht="15.75" customHeight="1" x14ac:dyDescent="0.25">
      <c r="B365" s="2"/>
      <c r="C365" s="2"/>
      <c r="D365" s="2"/>
      <c r="E365" s="2"/>
      <c r="F365" s="2"/>
      <c r="G365" s="2"/>
    </row>
    <row r="366" spans="2:7" ht="15.75" customHeight="1" x14ac:dyDescent="0.25">
      <c r="B366" s="2"/>
      <c r="C366" s="2"/>
      <c r="D366" s="2"/>
      <c r="E366" s="2"/>
      <c r="F366" s="2"/>
      <c r="G366" s="2"/>
    </row>
    <row r="367" spans="2:7" ht="15.75" customHeight="1" x14ac:dyDescent="0.25">
      <c r="B367" s="2"/>
      <c r="C367" s="2"/>
      <c r="D367" s="2"/>
      <c r="E367" s="2"/>
      <c r="F367" s="2"/>
      <c r="G367" s="2"/>
    </row>
    <row r="368" spans="2:7" ht="15.75" customHeight="1" x14ac:dyDescent="0.25">
      <c r="B368" s="2"/>
      <c r="C368" s="2"/>
      <c r="D368" s="2"/>
      <c r="E368" s="2"/>
      <c r="F368" s="2"/>
      <c r="G368" s="2"/>
    </row>
    <row r="369" spans="2:7" ht="15.75" customHeight="1" x14ac:dyDescent="0.25">
      <c r="B369" s="2"/>
      <c r="C369" s="2"/>
      <c r="D369" s="2"/>
      <c r="E369" s="2"/>
      <c r="F369" s="2"/>
      <c r="G369" s="2"/>
    </row>
    <row r="370" spans="2:7" ht="15.75" customHeight="1" x14ac:dyDescent="0.25">
      <c r="B370" s="2"/>
      <c r="C370" s="2"/>
      <c r="D370" s="2"/>
      <c r="E370" s="2"/>
      <c r="F370" s="2"/>
      <c r="G370" s="2"/>
    </row>
    <row r="371" spans="2:7" ht="15.75" customHeight="1" x14ac:dyDescent="0.25">
      <c r="B371" s="2"/>
      <c r="C371" s="2"/>
      <c r="D371" s="2"/>
      <c r="E371" s="2"/>
      <c r="F371" s="2"/>
      <c r="G371" s="2"/>
    </row>
    <row r="372" spans="2:7" ht="15.75" customHeight="1" x14ac:dyDescent="0.25">
      <c r="B372" s="2"/>
      <c r="C372" s="2"/>
      <c r="D372" s="2"/>
      <c r="E372" s="2"/>
      <c r="F372" s="2"/>
      <c r="G372" s="2"/>
    </row>
    <row r="373" spans="2:7" ht="15.75" customHeight="1" x14ac:dyDescent="0.25">
      <c r="B373" s="2"/>
      <c r="C373" s="2"/>
      <c r="D373" s="2"/>
      <c r="E373" s="2"/>
      <c r="F373" s="2"/>
      <c r="G373" s="2"/>
    </row>
    <row r="374" spans="2:7" ht="15.75" customHeight="1" x14ac:dyDescent="0.25">
      <c r="B374" s="2"/>
      <c r="C374" s="2"/>
      <c r="D374" s="2"/>
      <c r="E374" s="2"/>
      <c r="F374" s="2"/>
      <c r="G374" s="2"/>
    </row>
    <row r="375" spans="2:7" ht="15.75" customHeight="1" x14ac:dyDescent="0.25">
      <c r="B375" s="2"/>
      <c r="C375" s="2"/>
      <c r="D375" s="2"/>
      <c r="E375" s="2"/>
      <c r="F375" s="2"/>
      <c r="G375" s="2"/>
    </row>
    <row r="376" spans="2:7" ht="15.75" customHeight="1" x14ac:dyDescent="0.25">
      <c r="B376" s="2"/>
      <c r="C376" s="2"/>
      <c r="D376" s="2"/>
      <c r="E376" s="2"/>
      <c r="F376" s="2"/>
      <c r="G376" s="2"/>
    </row>
    <row r="377" spans="2:7" ht="15.75" customHeight="1" x14ac:dyDescent="0.25">
      <c r="B377" s="2"/>
      <c r="C377" s="2"/>
      <c r="D377" s="2"/>
      <c r="E377" s="2"/>
      <c r="F377" s="2"/>
      <c r="G377" s="2"/>
    </row>
    <row r="378" spans="2:7" ht="15.75" customHeight="1" x14ac:dyDescent="0.25">
      <c r="B378" s="2"/>
      <c r="C378" s="2"/>
      <c r="D378" s="2"/>
      <c r="E378" s="2"/>
      <c r="F378" s="2"/>
      <c r="G378" s="2"/>
    </row>
    <row r="379" spans="2:7" ht="15.75" customHeight="1" x14ac:dyDescent="0.25">
      <c r="B379" s="2"/>
      <c r="C379" s="2"/>
      <c r="D379" s="2"/>
      <c r="E379" s="2"/>
      <c r="F379" s="2"/>
      <c r="G379" s="2"/>
    </row>
    <row r="380" spans="2:7" ht="15.75" customHeight="1" x14ac:dyDescent="0.25">
      <c r="B380" s="2"/>
      <c r="C380" s="2"/>
      <c r="D380" s="2"/>
      <c r="E380" s="2"/>
      <c r="F380" s="2"/>
      <c r="G380" s="2"/>
    </row>
    <row r="381" spans="2:7" ht="15.75" customHeight="1" x14ac:dyDescent="0.25">
      <c r="B381" s="2"/>
      <c r="C381" s="2"/>
      <c r="D381" s="2"/>
      <c r="E381" s="2"/>
      <c r="F381" s="2"/>
      <c r="G381" s="2"/>
    </row>
    <row r="382" spans="2:7" ht="15.75" customHeight="1" x14ac:dyDescent="0.25">
      <c r="B382" s="2"/>
      <c r="C382" s="2"/>
      <c r="D382" s="2"/>
      <c r="E382" s="2"/>
      <c r="F382" s="2"/>
      <c r="G382" s="2"/>
    </row>
    <row r="383" spans="2:7" ht="15.75" customHeight="1" x14ac:dyDescent="0.25">
      <c r="B383" s="2"/>
      <c r="C383" s="2"/>
      <c r="D383" s="2"/>
      <c r="E383" s="2"/>
      <c r="F383" s="2"/>
      <c r="G383" s="2"/>
    </row>
    <row r="384" spans="2:7" ht="15.75" customHeight="1" x14ac:dyDescent="0.25">
      <c r="B384" s="2"/>
      <c r="C384" s="2"/>
      <c r="D384" s="2"/>
      <c r="E384" s="2"/>
      <c r="F384" s="2"/>
      <c r="G384" s="2"/>
    </row>
    <row r="385" spans="2:7" ht="15.75" customHeight="1" x14ac:dyDescent="0.25">
      <c r="B385" s="2"/>
      <c r="C385" s="2"/>
      <c r="D385" s="2"/>
      <c r="E385" s="2"/>
      <c r="F385" s="2"/>
      <c r="G385" s="2"/>
    </row>
    <row r="386" spans="2:7" ht="15.75" customHeight="1" x14ac:dyDescent="0.25">
      <c r="B386" s="2"/>
      <c r="C386" s="2"/>
      <c r="D386" s="2"/>
      <c r="E386" s="2"/>
      <c r="F386" s="2"/>
      <c r="G386" s="2"/>
    </row>
    <row r="387" spans="2:7" ht="15.75" customHeight="1" x14ac:dyDescent="0.25">
      <c r="B387" s="2"/>
      <c r="C387" s="2"/>
      <c r="D387" s="2"/>
      <c r="E387" s="2"/>
      <c r="F387" s="2"/>
      <c r="G387" s="2"/>
    </row>
    <row r="388" spans="2:7" ht="15.75" customHeight="1" x14ac:dyDescent="0.25">
      <c r="B388" s="2"/>
      <c r="C388" s="2"/>
      <c r="D388" s="2"/>
      <c r="E388" s="2"/>
      <c r="F388" s="2"/>
      <c r="G388" s="2"/>
    </row>
    <row r="389" spans="2:7" ht="15.75" customHeight="1" x14ac:dyDescent="0.25">
      <c r="B389" s="2"/>
      <c r="C389" s="2"/>
      <c r="D389" s="2"/>
      <c r="E389" s="2"/>
      <c r="F389" s="2"/>
      <c r="G389" s="2"/>
    </row>
    <row r="390" spans="2:7" ht="15.75" customHeight="1" x14ac:dyDescent="0.25">
      <c r="B390" s="2"/>
      <c r="C390" s="2"/>
      <c r="D390" s="2"/>
      <c r="E390" s="2"/>
      <c r="F390" s="2"/>
      <c r="G390" s="2"/>
    </row>
    <row r="391" spans="2:7" ht="15.75" customHeight="1" x14ac:dyDescent="0.25">
      <c r="B391" s="2"/>
      <c r="C391" s="2"/>
      <c r="D391" s="2"/>
      <c r="E391" s="2"/>
      <c r="F391" s="2"/>
      <c r="G391" s="2"/>
    </row>
    <row r="392" spans="2:7" ht="15.75" customHeight="1" x14ac:dyDescent="0.25">
      <c r="B392" s="2"/>
      <c r="C392" s="2"/>
      <c r="D392" s="2"/>
      <c r="E392" s="2"/>
      <c r="F392" s="2"/>
      <c r="G392" s="2"/>
    </row>
    <row r="393" spans="2:7" ht="15.75" customHeight="1" x14ac:dyDescent="0.25">
      <c r="B393" s="2"/>
      <c r="C393" s="2"/>
      <c r="D393" s="2"/>
      <c r="E393" s="2"/>
      <c r="F393" s="2"/>
      <c r="G393" s="2"/>
    </row>
    <row r="394" spans="2:7" ht="15.75" customHeight="1" x14ac:dyDescent="0.25">
      <c r="B394" s="2"/>
      <c r="C394" s="2"/>
      <c r="D394" s="2"/>
      <c r="E394" s="2"/>
      <c r="F394" s="2"/>
      <c r="G394" s="2"/>
    </row>
    <row r="395" spans="2:7" ht="15.75" customHeight="1" x14ac:dyDescent="0.25">
      <c r="B395" s="2"/>
      <c r="C395" s="2"/>
      <c r="D395" s="2"/>
      <c r="E395" s="2"/>
      <c r="F395" s="2"/>
      <c r="G395" s="2"/>
    </row>
    <row r="396" spans="2:7" ht="15.75" customHeight="1" x14ac:dyDescent="0.25">
      <c r="B396" s="2"/>
      <c r="C396" s="2"/>
      <c r="D396" s="2"/>
      <c r="E396" s="2"/>
      <c r="F396" s="2"/>
      <c r="G396" s="2"/>
    </row>
    <row r="397" spans="2:7" ht="15.75" customHeight="1" x14ac:dyDescent="0.25">
      <c r="B397" s="2"/>
      <c r="C397" s="2"/>
      <c r="D397" s="2"/>
      <c r="E397" s="2"/>
      <c r="F397" s="2"/>
      <c r="G397" s="2"/>
    </row>
    <row r="398" spans="2:7" ht="15.75" customHeight="1" x14ac:dyDescent="0.25">
      <c r="B398" s="2"/>
      <c r="C398" s="2"/>
      <c r="D398" s="2"/>
      <c r="E398" s="2"/>
      <c r="F398" s="2"/>
      <c r="G398" s="2"/>
    </row>
    <row r="399" spans="2:7" ht="15.75" customHeight="1" x14ac:dyDescent="0.25">
      <c r="B399" s="2"/>
      <c r="C399" s="2"/>
      <c r="D399" s="2"/>
      <c r="E399" s="2"/>
      <c r="F399" s="2"/>
      <c r="G399" s="2"/>
    </row>
    <row r="400" spans="2:7" ht="15.75" customHeight="1" x14ac:dyDescent="0.25">
      <c r="B400" s="2"/>
      <c r="C400" s="2"/>
      <c r="D400" s="2"/>
      <c r="E400" s="2"/>
      <c r="F400" s="2"/>
      <c r="G400" s="2"/>
    </row>
    <row r="401" spans="2:7" ht="15.75" customHeight="1" x14ac:dyDescent="0.25">
      <c r="B401" s="2"/>
      <c r="C401" s="2"/>
      <c r="D401" s="2"/>
      <c r="E401" s="2"/>
      <c r="F401" s="2"/>
      <c r="G401" s="2"/>
    </row>
    <row r="402" spans="2:7" ht="15.75" customHeight="1" x14ac:dyDescent="0.25">
      <c r="B402" s="2"/>
      <c r="C402" s="2"/>
      <c r="D402" s="2"/>
      <c r="E402" s="2"/>
      <c r="F402" s="2"/>
      <c r="G402" s="2"/>
    </row>
    <row r="403" spans="2:7" ht="15.75" customHeight="1" x14ac:dyDescent="0.25">
      <c r="B403" s="2"/>
      <c r="C403" s="2"/>
      <c r="D403" s="2"/>
      <c r="E403" s="2"/>
      <c r="F403" s="2"/>
      <c r="G403" s="2"/>
    </row>
    <row r="404" spans="2:7" ht="15.75" customHeight="1" x14ac:dyDescent="0.25">
      <c r="B404" s="2"/>
      <c r="C404" s="2"/>
      <c r="D404" s="2"/>
      <c r="E404" s="2"/>
      <c r="F404" s="2"/>
      <c r="G404" s="2"/>
    </row>
    <row r="405" spans="2:7" ht="15.75" customHeight="1" x14ac:dyDescent="0.25">
      <c r="B405" s="2"/>
      <c r="C405" s="2"/>
      <c r="D405" s="2"/>
      <c r="E405" s="2"/>
      <c r="F405" s="2"/>
      <c r="G405" s="2"/>
    </row>
    <row r="406" spans="2:7" ht="15.75" customHeight="1" x14ac:dyDescent="0.25">
      <c r="B406" s="2"/>
      <c r="C406" s="2"/>
      <c r="D406" s="2"/>
      <c r="E406" s="2"/>
      <c r="F406" s="2"/>
      <c r="G406" s="2"/>
    </row>
    <row r="407" spans="2:7" ht="15.75" customHeight="1" x14ac:dyDescent="0.25">
      <c r="B407" s="2"/>
      <c r="C407" s="2"/>
      <c r="D407" s="2"/>
      <c r="E407" s="2"/>
      <c r="F407" s="2"/>
      <c r="G407" s="2"/>
    </row>
    <row r="408" spans="2:7" ht="15.75" customHeight="1" x14ac:dyDescent="0.25">
      <c r="B408" s="2"/>
      <c r="C408" s="2"/>
      <c r="D408" s="2"/>
      <c r="E408" s="2"/>
      <c r="F408" s="2"/>
      <c r="G408" s="2"/>
    </row>
    <row r="409" spans="2:7" ht="15.75" customHeight="1" x14ac:dyDescent="0.25">
      <c r="B409" s="2"/>
      <c r="C409" s="2"/>
      <c r="D409" s="2"/>
      <c r="E409" s="2"/>
      <c r="F409" s="2"/>
      <c r="G409" s="2"/>
    </row>
    <row r="410" spans="2:7" ht="15.75" customHeight="1" x14ac:dyDescent="0.25">
      <c r="B410" s="2"/>
      <c r="C410" s="2"/>
      <c r="D410" s="2"/>
      <c r="E410" s="2"/>
      <c r="F410" s="2"/>
      <c r="G410" s="2"/>
    </row>
    <row r="411" spans="2:7" ht="15.75" customHeight="1" x14ac:dyDescent="0.25">
      <c r="B411" s="2"/>
      <c r="C411" s="2"/>
      <c r="D411" s="2"/>
      <c r="E411" s="2"/>
      <c r="F411" s="2"/>
      <c r="G411" s="2"/>
    </row>
    <row r="412" spans="2:7" ht="15.75" customHeight="1" x14ac:dyDescent="0.25">
      <c r="B412" s="2"/>
      <c r="C412" s="2"/>
      <c r="D412" s="2"/>
      <c r="E412" s="2"/>
      <c r="F412" s="2"/>
      <c r="G412" s="2"/>
    </row>
    <row r="413" spans="2:7" ht="15.75" customHeight="1" x14ac:dyDescent="0.25">
      <c r="B413" s="2"/>
      <c r="C413" s="2"/>
      <c r="D413" s="2"/>
      <c r="E413" s="2"/>
      <c r="F413" s="2"/>
      <c r="G413" s="2"/>
    </row>
    <row r="414" spans="2:7" ht="15.75" customHeight="1" x14ac:dyDescent="0.25">
      <c r="B414" s="2"/>
      <c r="C414" s="2"/>
      <c r="D414" s="2"/>
      <c r="E414" s="2"/>
      <c r="F414" s="2"/>
      <c r="G414" s="2"/>
    </row>
    <row r="415" spans="2:7" ht="15.75" customHeight="1" x14ac:dyDescent="0.25">
      <c r="B415" s="2"/>
      <c r="C415" s="2"/>
      <c r="D415" s="2"/>
      <c r="E415" s="2"/>
      <c r="F415" s="2"/>
      <c r="G415" s="2"/>
    </row>
    <row r="416" spans="2:7" ht="15.75" customHeight="1" x14ac:dyDescent="0.25">
      <c r="B416" s="2"/>
      <c r="C416" s="2"/>
      <c r="D416" s="2"/>
      <c r="E416" s="2"/>
      <c r="F416" s="2"/>
      <c r="G416" s="2"/>
    </row>
    <row r="417" spans="2:7" ht="15.75" customHeight="1" x14ac:dyDescent="0.25">
      <c r="B417" s="2"/>
      <c r="C417" s="2"/>
      <c r="D417" s="2"/>
      <c r="E417" s="2"/>
      <c r="F417" s="2"/>
      <c r="G417" s="2"/>
    </row>
    <row r="418" spans="2:7" ht="15.75" customHeight="1" x14ac:dyDescent="0.25">
      <c r="B418" s="2"/>
      <c r="C418" s="2"/>
      <c r="D418" s="2"/>
      <c r="E418" s="2"/>
      <c r="F418" s="2"/>
      <c r="G418" s="2"/>
    </row>
    <row r="419" spans="2:7" ht="15.75" customHeight="1" x14ac:dyDescent="0.25">
      <c r="B419" s="2"/>
      <c r="C419" s="2"/>
      <c r="D419" s="2"/>
      <c r="E419" s="2"/>
      <c r="F419" s="2"/>
      <c r="G419" s="2"/>
    </row>
    <row r="420" spans="2:7" ht="15.75" customHeight="1" x14ac:dyDescent="0.25">
      <c r="B420" s="2"/>
      <c r="C420" s="2"/>
      <c r="D420" s="2"/>
      <c r="E420" s="2"/>
      <c r="F420" s="2"/>
      <c r="G420" s="2"/>
    </row>
    <row r="421" spans="2:7" ht="15.75" customHeight="1" x14ac:dyDescent="0.25">
      <c r="B421" s="2"/>
      <c r="C421" s="2"/>
      <c r="D421" s="2"/>
      <c r="E421" s="2"/>
      <c r="F421" s="2"/>
      <c r="G421" s="2"/>
    </row>
    <row r="422" spans="2:7" ht="15.75" customHeight="1" x14ac:dyDescent="0.25">
      <c r="B422" s="2"/>
      <c r="C422" s="2"/>
      <c r="D422" s="2"/>
      <c r="E422" s="2"/>
      <c r="F422" s="2"/>
      <c r="G422" s="2"/>
    </row>
    <row r="423" spans="2:7" ht="15.75" customHeight="1" x14ac:dyDescent="0.25">
      <c r="B423" s="2"/>
      <c r="C423" s="2"/>
      <c r="D423" s="2"/>
      <c r="E423" s="2"/>
      <c r="F423" s="2"/>
      <c r="G423" s="2"/>
    </row>
    <row r="424" spans="2:7" ht="15.75" customHeight="1" x14ac:dyDescent="0.25">
      <c r="B424" s="2"/>
      <c r="C424" s="2"/>
      <c r="D424" s="2"/>
      <c r="E424" s="2"/>
      <c r="F424" s="2"/>
      <c r="G424" s="2"/>
    </row>
    <row r="425" spans="2:7" ht="15.75" customHeight="1" x14ac:dyDescent="0.25">
      <c r="B425" s="2"/>
      <c r="C425" s="2"/>
      <c r="D425" s="2"/>
      <c r="E425" s="2"/>
      <c r="F425" s="2"/>
      <c r="G425" s="2"/>
    </row>
    <row r="426" spans="2:7" ht="15.75" customHeight="1" x14ac:dyDescent="0.25">
      <c r="B426" s="2"/>
      <c r="C426" s="2"/>
      <c r="D426" s="2"/>
      <c r="E426" s="2"/>
      <c r="F426" s="2"/>
      <c r="G426" s="2"/>
    </row>
    <row r="427" spans="2:7" ht="15.75" customHeight="1" x14ac:dyDescent="0.25">
      <c r="B427" s="2"/>
      <c r="C427" s="2"/>
      <c r="D427" s="2"/>
      <c r="E427" s="2"/>
      <c r="F427" s="2"/>
      <c r="G427" s="2"/>
    </row>
    <row r="428" spans="2:7" ht="15.75" customHeight="1" x14ac:dyDescent="0.25">
      <c r="B428" s="2"/>
      <c r="C428" s="2"/>
      <c r="D428" s="2"/>
      <c r="E428" s="2"/>
      <c r="F428" s="2"/>
      <c r="G428" s="2"/>
    </row>
    <row r="429" spans="2:7" ht="15.75" customHeight="1" x14ac:dyDescent="0.25">
      <c r="B429" s="2"/>
      <c r="C429" s="2"/>
      <c r="D429" s="2"/>
      <c r="E429" s="2"/>
      <c r="F429" s="2"/>
      <c r="G429" s="2"/>
    </row>
    <row r="430" spans="2:7" ht="15.75" customHeight="1" x14ac:dyDescent="0.25">
      <c r="B430" s="2"/>
      <c r="C430" s="2"/>
      <c r="D430" s="2"/>
      <c r="E430" s="2"/>
      <c r="F430" s="2"/>
      <c r="G430" s="2"/>
    </row>
    <row r="431" spans="2:7" ht="15.75" customHeight="1" x14ac:dyDescent="0.25">
      <c r="B431" s="2"/>
      <c r="C431" s="2"/>
      <c r="D431" s="2"/>
      <c r="E431" s="2"/>
      <c r="F431" s="2"/>
      <c r="G431" s="2"/>
    </row>
    <row r="432" spans="2:7" ht="15.75" customHeight="1" x14ac:dyDescent="0.25">
      <c r="B432" s="2"/>
      <c r="C432" s="2"/>
      <c r="D432" s="2"/>
      <c r="E432" s="2"/>
      <c r="F432" s="2"/>
      <c r="G432" s="2"/>
    </row>
    <row r="433" spans="2:7" ht="15.75" customHeight="1" x14ac:dyDescent="0.25">
      <c r="B433" s="2"/>
      <c r="C433" s="2"/>
      <c r="D433" s="2"/>
      <c r="E433" s="2"/>
      <c r="F433" s="2"/>
      <c r="G433" s="2"/>
    </row>
    <row r="434" spans="2:7" ht="15.75" customHeight="1" x14ac:dyDescent="0.25">
      <c r="B434" s="2"/>
      <c r="C434" s="2"/>
      <c r="D434" s="2"/>
      <c r="E434" s="2"/>
      <c r="F434" s="2"/>
      <c r="G434" s="2"/>
    </row>
    <row r="435" spans="2:7" ht="15.75" customHeight="1" x14ac:dyDescent="0.25">
      <c r="B435" s="2"/>
      <c r="C435" s="2"/>
      <c r="D435" s="2"/>
      <c r="E435" s="2"/>
      <c r="F435" s="2"/>
      <c r="G435" s="2"/>
    </row>
    <row r="436" spans="2:7" ht="15.75" customHeight="1" x14ac:dyDescent="0.25">
      <c r="B436" s="2"/>
      <c r="C436" s="2"/>
      <c r="D436" s="2"/>
      <c r="E436" s="2"/>
      <c r="F436" s="2"/>
      <c r="G436" s="2"/>
    </row>
    <row r="437" spans="2:7" ht="15.75" customHeight="1" x14ac:dyDescent="0.25">
      <c r="B437" s="2"/>
      <c r="C437" s="2"/>
      <c r="D437" s="2"/>
      <c r="E437" s="2"/>
      <c r="F437" s="2"/>
      <c r="G437" s="2"/>
    </row>
    <row r="438" spans="2:7" ht="15.75" customHeight="1" x14ac:dyDescent="0.25">
      <c r="B438" s="2"/>
      <c r="C438" s="2"/>
      <c r="D438" s="2"/>
      <c r="E438" s="2"/>
      <c r="F438" s="2"/>
      <c r="G438" s="2"/>
    </row>
    <row r="439" spans="2:7" ht="15.75" customHeight="1" x14ac:dyDescent="0.25">
      <c r="B439" s="2"/>
      <c r="C439" s="2"/>
      <c r="D439" s="2"/>
      <c r="E439" s="2"/>
      <c r="F439" s="2"/>
      <c r="G439" s="2"/>
    </row>
    <row r="440" spans="2:7" ht="15.75" customHeight="1" x14ac:dyDescent="0.25">
      <c r="B440" s="2"/>
      <c r="C440" s="2"/>
      <c r="D440" s="2"/>
      <c r="E440" s="2"/>
      <c r="F440" s="2"/>
      <c r="G440" s="2"/>
    </row>
    <row r="441" spans="2:7" ht="15.75" customHeight="1" x14ac:dyDescent="0.25">
      <c r="B441" s="2"/>
      <c r="C441" s="2"/>
      <c r="D441" s="2"/>
      <c r="E441" s="2"/>
      <c r="F441" s="2"/>
      <c r="G441" s="2"/>
    </row>
    <row r="442" spans="2:7" ht="15.75" customHeight="1" x14ac:dyDescent="0.25">
      <c r="B442" s="2"/>
      <c r="C442" s="2"/>
      <c r="D442" s="2"/>
      <c r="E442" s="2"/>
      <c r="F442" s="2"/>
      <c r="G442" s="2"/>
    </row>
    <row r="443" spans="2:7" ht="15.75" customHeight="1" x14ac:dyDescent="0.25">
      <c r="B443" s="2"/>
      <c r="C443" s="2"/>
      <c r="D443" s="2"/>
      <c r="E443" s="2"/>
      <c r="F443" s="2"/>
      <c r="G443" s="2"/>
    </row>
    <row r="444" spans="2:7" ht="15.75" customHeight="1" x14ac:dyDescent="0.25">
      <c r="B444" s="2"/>
      <c r="C444" s="2"/>
      <c r="D444" s="2"/>
      <c r="E444" s="2"/>
      <c r="F444" s="2"/>
      <c r="G444" s="2"/>
    </row>
    <row r="445" spans="2:7" ht="15.75" customHeight="1" x14ac:dyDescent="0.25">
      <c r="B445" s="2"/>
      <c r="C445" s="2"/>
      <c r="D445" s="2"/>
      <c r="E445" s="2"/>
      <c r="F445" s="2"/>
      <c r="G445" s="2"/>
    </row>
    <row r="446" spans="2:7" ht="15.75" customHeight="1" x14ac:dyDescent="0.25">
      <c r="B446" s="2"/>
      <c r="C446" s="2"/>
      <c r="D446" s="2"/>
      <c r="E446" s="2"/>
      <c r="F446" s="2"/>
      <c r="G446" s="2"/>
    </row>
    <row r="447" spans="2:7" ht="15.75" customHeight="1" x14ac:dyDescent="0.25">
      <c r="B447" s="2"/>
      <c r="C447" s="2"/>
      <c r="D447" s="2"/>
      <c r="E447" s="2"/>
      <c r="F447" s="2"/>
      <c r="G447" s="2"/>
    </row>
    <row r="448" spans="2:7" ht="15.75" customHeight="1" x14ac:dyDescent="0.25">
      <c r="B448" s="2"/>
      <c r="C448" s="2"/>
      <c r="D448" s="2"/>
      <c r="E448" s="2"/>
      <c r="F448" s="2"/>
      <c r="G448" s="2"/>
    </row>
    <row r="449" spans="2:7" ht="15.75" customHeight="1" x14ac:dyDescent="0.25">
      <c r="B449" s="2"/>
      <c r="C449" s="2"/>
      <c r="D449" s="2"/>
      <c r="E449" s="2"/>
      <c r="F449" s="2"/>
      <c r="G449" s="2"/>
    </row>
    <row r="450" spans="2:7" ht="15.75" customHeight="1" x14ac:dyDescent="0.25">
      <c r="B450" s="2"/>
      <c r="C450" s="2"/>
      <c r="D450" s="2"/>
      <c r="E450" s="2"/>
      <c r="F450" s="2"/>
      <c r="G450" s="2"/>
    </row>
    <row r="451" spans="2:7" ht="15.75" customHeight="1" x14ac:dyDescent="0.25">
      <c r="B451" s="2"/>
      <c r="C451" s="2"/>
      <c r="D451" s="2"/>
      <c r="E451" s="2"/>
      <c r="F451" s="2"/>
      <c r="G451" s="2"/>
    </row>
    <row r="452" spans="2:7" ht="15.75" customHeight="1" x14ac:dyDescent="0.25">
      <c r="B452" s="2"/>
      <c r="C452" s="2"/>
      <c r="D452" s="2"/>
      <c r="E452" s="2"/>
      <c r="F452" s="2"/>
      <c r="G452" s="2"/>
    </row>
    <row r="453" spans="2:7" ht="15.75" customHeight="1" x14ac:dyDescent="0.25">
      <c r="B453" s="2"/>
      <c r="C453" s="2"/>
      <c r="D453" s="2"/>
      <c r="E453" s="2"/>
      <c r="F453" s="2"/>
      <c r="G453" s="2"/>
    </row>
    <row r="454" spans="2:7" ht="15.75" customHeight="1" x14ac:dyDescent="0.25">
      <c r="B454" s="2"/>
      <c r="C454" s="2"/>
      <c r="D454" s="2"/>
      <c r="E454" s="2"/>
      <c r="F454" s="2"/>
      <c r="G454" s="2"/>
    </row>
    <row r="455" spans="2:7" ht="15.75" customHeight="1" x14ac:dyDescent="0.25">
      <c r="B455" s="2"/>
      <c r="C455" s="2"/>
      <c r="D455" s="2"/>
      <c r="E455" s="2"/>
      <c r="F455" s="2"/>
      <c r="G455" s="2"/>
    </row>
    <row r="456" spans="2:7" ht="15.75" customHeight="1" x14ac:dyDescent="0.25">
      <c r="B456" s="2"/>
      <c r="C456" s="2"/>
      <c r="D456" s="2"/>
      <c r="E456" s="2"/>
      <c r="F456" s="2"/>
      <c r="G456" s="2"/>
    </row>
    <row r="457" spans="2:7" ht="15.75" customHeight="1" x14ac:dyDescent="0.25">
      <c r="B457" s="2"/>
      <c r="C457" s="2"/>
      <c r="D457" s="2"/>
      <c r="E457" s="2"/>
      <c r="F457" s="2"/>
      <c r="G457" s="2"/>
    </row>
    <row r="458" spans="2:7" ht="15.75" customHeight="1" x14ac:dyDescent="0.25">
      <c r="B458" s="2"/>
      <c r="C458" s="2"/>
      <c r="D458" s="2"/>
      <c r="E458" s="2"/>
      <c r="F458" s="2"/>
      <c r="G458" s="2"/>
    </row>
    <row r="459" spans="2:7" ht="15.75" customHeight="1" x14ac:dyDescent="0.25">
      <c r="B459" s="2"/>
      <c r="C459" s="2"/>
      <c r="D459" s="2"/>
      <c r="E459" s="2"/>
      <c r="F459" s="2"/>
      <c r="G459" s="2"/>
    </row>
    <row r="460" spans="2:7" ht="15.75" customHeight="1" x14ac:dyDescent="0.25">
      <c r="B460" s="2"/>
      <c r="C460" s="2"/>
      <c r="D460" s="2"/>
      <c r="E460" s="2"/>
      <c r="F460" s="2"/>
      <c r="G460" s="2"/>
    </row>
    <row r="461" spans="2:7" ht="15.75" customHeight="1" x14ac:dyDescent="0.25">
      <c r="B461" s="2"/>
      <c r="C461" s="2"/>
      <c r="D461" s="2"/>
      <c r="E461" s="2"/>
      <c r="F461" s="2"/>
      <c r="G461" s="2"/>
    </row>
    <row r="462" spans="2:7" ht="15.75" customHeight="1" x14ac:dyDescent="0.25">
      <c r="B462" s="2"/>
      <c r="C462" s="2"/>
      <c r="D462" s="2"/>
      <c r="E462" s="2"/>
      <c r="F462" s="2"/>
      <c r="G462" s="2"/>
    </row>
    <row r="463" spans="2:7" ht="15.75" customHeight="1" x14ac:dyDescent="0.25">
      <c r="B463" s="2"/>
      <c r="C463" s="2"/>
      <c r="D463" s="2"/>
      <c r="E463" s="2"/>
      <c r="F463" s="2"/>
      <c r="G463" s="2"/>
    </row>
    <row r="464" spans="2:7" ht="15.75" customHeight="1" x14ac:dyDescent="0.25">
      <c r="B464" s="2"/>
      <c r="C464" s="2"/>
      <c r="D464" s="2"/>
      <c r="E464" s="2"/>
      <c r="F464" s="2"/>
      <c r="G464" s="2"/>
    </row>
    <row r="465" spans="2:7" ht="15.75" customHeight="1" x14ac:dyDescent="0.25">
      <c r="B465" s="2"/>
      <c r="C465" s="2"/>
      <c r="D465" s="2"/>
      <c r="E465" s="2"/>
      <c r="F465" s="2"/>
      <c r="G465" s="2"/>
    </row>
    <row r="466" spans="2:7" ht="15.75" customHeight="1" x14ac:dyDescent="0.25">
      <c r="B466" s="2"/>
      <c r="C466" s="2"/>
      <c r="D466" s="2"/>
      <c r="E466" s="2"/>
      <c r="F466" s="2"/>
      <c r="G466" s="2"/>
    </row>
    <row r="467" spans="2:7" ht="15.75" customHeight="1" x14ac:dyDescent="0.25">
      <c r="B467" s="2"/>
      <c r="C467" s="2"/>
      <c r="D467" s="2"/>
      <c r="E467" s="2"/>
      <c r="F467" s="2"/>
      <c r="G467" s="2"/>
    </row>
    <row r="468" spans="2:7" ht="15.75" customHeight="1" x14ac:dyDescent="0.25">
      <c r="B468" s="2"/>
      <c r="C468" s="2"/>
      <c r="D468" s="2"/>
      <c r="E468" s="2"/>
      <c r="F468" s="2"/>
      <c r="G468" s="2"/>
    </row>
    <row r="469" spans="2:7" ht="15.75" customHeight="1" x14ac:dyDescent="0.25">
      <c r="B469" s="2"/>
      <c r="C469" s="2"/>
      <c r="D469" s="2"/>
      <c r="E469" s="2"/>
      <c r="F469" s="2"/>
      <c r="G469" s="2"/>
    </row>
    <row r="470" spans="2:7" ht="15.75" customHeight="1" x14ac:dyDescent="0.25">
      <c r="B470" s="2"/>
      <c r="C470" s="2"/>
      <c r="D470" s="2"/>
      <c r="E470" s="2"/>
      <c r="F470" s="2"/>
      <c r="G470" s="2"/>
    </row>
    <row r="471" spans="2:7" ht="15.75" customHeight="1" x14ac:dyDescent="0.25">
      <c r="B471" s="2"/>
      <c r="C471" s="2"/>
      <c r="D471" s="2"/>
      <c r="E471" s="2"/>
      <c r="F471" s="2"/>
      <c r="G471" s="2"/>
    </row>
    <row r="472" spans="2:7" ht="15.75" customHeight="1" x14ac:dyDescent="0.25">
      <c r="B472" s="2"/>
      <c r="C472" s="2"/>
      <c r="D472" s="2"/>
      <c r="E472" s="2"/>
      <c r="F472" s="2"/>
      <c r="G472" s="2"/>
    </row>
    <row r="473" spans="2:7" ht="15.75" customHeight="1" x14ac:dyDescent="0.25">
      <c r="B473" s="2"/>
      <c r="C473" s="2"/>
      <c r="D473" s="2"/>
      <c r="E473" s="2"/>
      <c r="F473" s="2"/>
      <c r="G473" s="2"/>
    </row>
    <row r="474" spans="2:7" ht="15.75" customHeight="1" x14ac:dyDescent="0.25">
      <c r="B474" s="2"/>
      <c r="C474" s="2"/>
      <c r="D474" s="2"/>
      <c r="E474" s="2"/>
      <c r="F474" s="2"/>
      <c r="G474" s="2"/>
    </row>
    <row r="475" spans="2:7" ht="15.75" customHeight="1" x14ac:dyDescent="0.25">
      <c r="B475" s="2"/>
      <c r="C475" s="2"/>
      <c r="D475" s="2"/>
      <c r="E475" s="2"/>
      <c r="F475" s="2"/>
      <c r="G475" s="2"/>
    </row>
    <row r="476" spans="2:7" ht="15.75" customHeight="1" x14ac:dyDescent="0.25">
      <c r="B476" s="2"/>
      <c r="C476" s="2"/>
      <c r="D476" s="2"/>
      <c r="E476" s="2"/>
      <c r="F476" s="2"/>
      <c r="G476" s="2"/>
    </row>
    <row r="477" spans="2:7" ht="15.75" customHeight="1" x14ac:dyDescent="0.25">
      <c r="B477" s="2"/>
      <c r="C477" s="2"/>
      <c r="D477" s="2"/>
      <c r="E477" s="2"/>
      <c r="F477" s="2"/>
      <c r="G477" s="2"/>
    </row>
    <row r="478" spans="2:7" ht="15.75" customHeight="1" x14ac:dyDescent="0.25">
      <c r="B478" s="2"/>
      <c r="C478" s="2"/>
      <c r="D478" s="2"/>
      <c r="E478" s="2"/>
      <c r="F478" s="2"/>
      <c r="G478" s="2"/>
    </row>
    <row r="479" spans="2:7" ht="15.75" customHeight="1" x14ac:dyDescent="0.25">
      <c r="B479" s="2"/>
      <c r="C479" s="2"/>
      <c r="D479" s="2"/>
      <c r="E479" s="2"/>
      <c r="F479" s="2"/>
      <c r="G479" s="2"/>
    </row>
    <row r="480" spans="2:7" ht="15.75" customHeight="1" x14ac:dyDescent="0.25">
      <c r="B480" s="2"/>
      <c r="C480" s="2"/>
      <c r="D480" s="2"/>
      <c r="E480" s="2"/>
      <c r="F480" s="2"/>
      <c r="G480" s="2"/>
    </row>
    <row r="481" spans="2:7" ht="15.75" customHeight="1" x14ac:dyDescent="0.25">
      <c r="B481" s="2"/>
      <c r="C481" s="2"/>
      <c r="D481" s="2"/>
      <c r="E481" s="2"/>
      <c r="F481" s="2"/>
      <c r="G481" s="2"/>
    </row>
    <row r="482" spans="2:7" ht="15.75" customHeight="1" x14ac:dyDescent="0.25">
      <c r="B482" s="2"/>
      <c r="C482" s="2"/>
      <c r="D482" s="2"/>
      <c r="E482" s="2"/>
      <c r="F482" s="2"/>
      <c r="G482" s="2"/>
    </row>
    <row r="483" spans="2:7" ht="15.75" customHeight="1" x14ac:dyDescent="0.25">
      <c r="B483" s="2"/>
      <c r="C483" s="2"/>
      <c r="D483" s="2"/>
      <c r="E483" s="2"/>
      <c r="F483" s="2"/>
      <c r="G483" s="2"/>
    </row>
    <row r="484" spans="2:7" ht="15.75" customHeight="1" x14ac:dyDescent="0.25">
      <c r="B484" s="2"/>
      <c r="C484" s="2"/>
      <c r="D484" s="2"/>
      <c r="E484" s="2"/>
      <c r="F484" s="2"/>
      <c r="G484" s="2"/>
    </row>
    <row r="485" spans="2:7" ht="15.75" customHeight="1" x14ac:dyDescent="0.25">
      <c r="B485" s="2"/>
      <c r="C485" s="2"/>
      <c r="D485" s="2"/>
      <c r="E485" s="2"/>
      <c r="F485" s="2"/>
      <c r="G485" s="2"/>
    </row>
    <row r="486" spans="2:7" ht="15.75" customHeight="1" x14ac:dyDescent="0.25">
      <c r="B486" s="2"/>
      <c r="C486" s="2"/>
      <c r="D486" s="2"/>
      <c r="E486" s="2"/>
      <c r="F486" s="2"/>
      <c r="G486" s="2"/>
    </row>
    <row r="487" spans="2:7" ht="15.75" customHeight="1" x14ac:dyDescent="0.25">
      <c r="B487" s="2"/>
      <c r="C487" s="2"/>
      <c r="D487" s="2"/>
      <c r="E487" s="2"/>
      <c r="F487" s="2"/>
      <c r="G487" s="2"/>
    </row>
    <row r="488" spans="2:7" ht="15.75" customHeight="1" x14ac:dyDescent="0.25">
      <c r="B488" s="2"/>
      <c r="C488" s="2"/>
      <c r="D488" s="2"/>
      <c r="E488" s="2"/>
      <c r="F488" s="2"/>
      <c r="G488" s="2"/>
    </row>
    <row r="489" spans="2:7" ht="15.75" customHeight="1" x14ac:dyDescent="0.25">
      <c r="B489" s="2"/>
      <c r="C489" s="2"/>
      <c r="D489" s="2"/>
      <c r="E489" s="2"/>
      <c r="F489" s="2"/>
      <c r="G489" s="2"/>
    </row>
    <row r="490" spans="2:7" ht="15.75" customHeight="1" x14ac:dyDescent="0.25">
      <c r="B490" s="2"/>
      <c r="C490" s="2"/>
      <c r="D490" s="2"/>
      <c r="E490" s="2"/>
      <c r="F490" s="2"/>
      <c r="G490" s="2"/>
    </row>
    <row r="491" spans="2:7" ht="15.75" customHeight="1" x14ac:dyDescent="0.25">
      <c r="B491" s="2"/>
      <c r="C491" s="2"/>
      <c r="D491" s="2"/>
      <c r="E491" s="2"/>
      <c r="F491" s="2"/>
      <c r="G491" s="2"/>
    </row>
    <row r="492" spans="2:7" ht="15.75" customHeight="1" x14ac:dyDescent="0.25">
      <c r="B492" s="2"/>
      <c r="C492" s="2"/>
      <c r="D492" s="2"/>
      <c r="E492" s="2"/>
      <c r="F492" s="2"/>
      <c r="G492" s="2"/>
    </row>
    <row r="493" spans="2:7" ht="15.75" customHeight="1" x14ac:dyDescent="0.25">
      <c r="B493" s="2"/>
      <c r="C493" s="2"/>
      <c r="D493" s="2"/>
      <c r="E493" s="2"/>
      <c r="F493" s="2"/>
      <c r="G493" s="2"/>
    </row>
    <row r="494" spans="2:7" ht="15.75" customHeight="1" x14ac:dyDescent="0.25">
      <c r="B494" s="2"/>
      <c r="C494" s="2"/>
      <c r="D494" s="2"/>
      <c r="E494" s="2"/>
      <c r="F494" s="2"/>
      <c r="G494" s="2"/>
    </row>
    <row r="495" spans="2:7" ht="15.75" customHeight="1" x14ac:dyDescent="0.25">
      <c r="B495" s="2"/>
      <c r="C495" s="2"/>
      <c r="D495" s="2"/>
      <c r="E495" s="2"/>
      <c r="F495" s="2"/>
      <c r="G495" s="2"/>
    </row>
    <row r="496" spans="2:7" ht="15.75" customHeight="1" x14ac:dyDescent="0.25">
      <c r="B496" s="2"/>
      <c r="C496" s="2"/>
      <c r="D496" s="2"/>
      <c r="E496" s="2"/>
      <c r="F496" s="2"/>
      <c r="G496" s="2"/>
    </row>
    <row r="497" spans="2:7" ht="15.75" customHeight="1" x14ac:dyDescent="0.25">
      <c r="B497" s="2"/>
      <c r="C497" s="2"/>
      <c r="D497" s="2"/>
      <c r="E497" s="2"/>
      <c r="F497" s="2"/>
      <c r="G497" s="2"/>
    </row>
    <row r="498" spans="2:7" ht="15.75" customHeight="1" x14ac:dyDescent="0.25">
      <c r="B498" s="2"/>
      <c r="C498" s="2"/>
      <c r="D498" s="2"/>
      <c r="E498" s="2"/>
      <c r="F498" s="2"/>
      <c r="G498" s="2"/>
    </row>
    <row r="499" spans="2:7" ht="15.75" customHeight="1" x14ac:dyDescent="0.25">
      <c r="B499" s="2"/>
      <c r="C499" s="2"/>
      <c r="D499" s="2"/>
      <c r="E499" s="2"/>
      <c r="F499" s="2"/>
      <c r="G499" s="2"/>
    </row>
    <row r="500" spans="2:7" ht="15.75" customHeight="1" x14ac:dyDescent="0.25">
      <c r="B500" s="2"/>
      <c r="C500" s="2"/>
      <c r="D500" s="2"/>
      <c r="E500" s="2"/>
      <c r="F500" s="2"/>
      <c r="G500" s="2"/>
    </row>
    <row r="501" spans="2:7" ht="15.75" customHeight="1" x14ac:dyDescent="0.25">
      <c r="B501" s="2"/>
      <c r="C501" s="2"/>
      <c r="D501" s="2"/>
      <c r="E501" s="2"/>
      <c r="F501" s="2"/>
      <c r="G501" s="2"/>
    </row>
    <row r="502" spans="2:7" ht="15.75" customHeight="1" x14ac:dyDescent="0.25">
      <c r="B502" s="2"/>
      <c r="C502" s="2"/>
      <c r="D502" s="2"/>
      <c r="E502" s="2"/>
      <c r="F502" s="2"/>
      <c r="G502" s="2"/>
    </row>
    <row r="503" spans="2:7" ht="15.75" customHeight="1" x14ac:dyDescent="0.25">
      <c r="B503" s="2"/>
      <c r="C503" s="2"/>
      <c r="D503" s="2"/>
      <c r="E503" s="2"/>
      <c r="F503" s="2"/>
      <c r="G503" s="2"/>
    </row>
    <row r="504" spans="2:7" ht="15.75" customHeight="1" x14ac:dyDescent="0.25">
      <c r="B504" s="2"/>
      <c r="C504" s="2"/>
      <c r="D504" s="2"/>
      <c r="E504" s="2"/>
      <c r="F504" s="2"/>
      <c r="G504" s="2"/>
    </row>
    <row r="505" spans="2:7" ht="15.75" customHeight="1" x14ac:dyDescent="0.25">
      <c r="B505" s="2"/>
      <c r="C505" s="2"/>
      <c r="D505" s="2"/>
      <c r="E505" s="2"/>
      <c r="F505" s="2"/>
      <c r="G505" s="2"/>
    </row>
    <row r="506" spans="2:7" ht="15.75" customHeight="1" x14ac:dyDescent="0.25">
      <c r="B506" s="2"/>
      <c r="C506" s="2"/>
      <c r="D506" s="2"/>
      <c r="E506" s="2"/>
      <c r="F506" s="2"/>
      <c r="G506" s="2"/>
    </row>
    <row r="507" spans="2:7" ht="15.75" customHeight="1" x14ac:dyDescent="0.25">
      <c r="B507" s="2"/>
      <c r="C507" s="2"/>
      <c r="D507" s="2"/>
      <c r="E507" s="2"/>
      <c r="F507" s="2"/>
      <c r="G507" s="2"/>
    </row>
    <row r="508" spans="2:7" ht="15.75" customHeight="1" x14ac:dyDescent="0.25">
      <c r="B508" s="2"/>
      <c r="C508" s="2"/>
      <c r="D508" s="2"/>
      <c r="E508" s="2"/>
      <c r="F508" s="2"/>
      <c r="G508" s="2"/>
    </row>
    <row r="509" spans="2:7" ht="15.75" customHeight="1" x14ac:dyDescent="0.25">
      <c r="B509" s="2"/>
      <c r="C509" s="2"/>
      <c r="D509" s="2"/>
      <c r="E509" s="2"/>
      <c r="F509" s="2"/>
      <c r="G509" s="2"/>
    </row>
    <row r="510" spans="2:7" ht="15.75" customHeight="1" x14ac:dyDescent="0.25">
      <c r="B510" s="2"/>
      <c r="C510" s="2"/>
      <c r="D510" s="2"/>
      <c r="E510" s="2"/>
      <c r="F510" s="2"/>
      <c r="G510" s="2"/>
    </row>
    <row r="511" spans="2:7" ht="15.75" customHeight="1" x14ac:dyDescent="0.25">
      <c r="B511" s="2"/>
      <c r="C511" s="2"/>
      <c r="D511" s="2"/>
      <c r="E511" s="2"/>
      <c r="F511" s="2"/>
      <c r="G511" s="2"/>
    </row>
    <row r="512" spans="2:7" ht="15.75" customHeight="1" x14ac:dyDescent="0.25">
      <c r="B512" s="2"/>
      <c r="C512" s="2"/>
      <c r="D512" s="2"/>
      <c r="E512" s="2"/>
      <c r="F512" s="2"/>
      <c r="G512" s="2"/>
    </row>
    <row r="513" spans="2:7" ht="15.75" customHeight="1" x14ac:dyDescent="0.25">
      <c r="B513" s="2"/>
      <c r="C513" s="2"/>
      <c r="D513" s="2"/>
      <c r="E513" s="2"/>
      <c r="F513" s="2"/>
      <c r="G513" s="2"/>
    </row>
    <row r="514" spans="2:7" ht="15.75" customHeight="1" x14ac:dyDescent="0.25">
      <c r="B514" s="2"/>
      <c r="C514" s="2"/>
      <c r="D514" s="2"/>
      <c r="E514" s="2"/>
      <c r="F514" s="2"/>
      <c r="G514" s="2"/>
    </row>
    <row r="515" spans="2:7" ht="15.75" customHeight="1" x14ac:dyDescent="0.25">
      <c r="B515" s="2"/>
      <c r="C515" s="2"/>
      <c r="D515" s="2"/>
      <c r="E515" s="2"/>
      <c r="F515" s="2"/>
      <c r="G515" s="2"/>
    </row>
    <row r="516" spans="2:7" ht="15.75" customHeight="1" x14ac:dyDescent="0.25">
      <c r="B516" s="2"/>
      <c r="C516" s="2"/>
      <c r="D516" s="2"/>
      <c r="E516" s="2"/>
      <c r="F516" s="2"/>
      <c r="G516" s="2"/>
    </row>
    <row r="517" spans="2:7" ht="15.75" customHeight="1" x14ac:dyDescent="0.25">
      <c r="B517" s="2"/>
      <c r="C517" s="2"/>
      <c r="D517" s="2"/>
      <c r="E517" s="2"/>
      <c r="F517" s="2"/>
      <c r="G517" s="2"/>
    </row>
    <row r="518" spans="2:7" ht="15.75" customHeight="1" x14ac:dyDescent="0.25">
      <c r="B518" s="2"/>
      <c r="C518" s="2"/>
      <c r="D518" s="2"/>
      <c r="E518" s="2"/>
      <c r="F518" s="2"/>
      <c r="G518" s="2"/>
    </row>
    <row r="519" spans="2:7" ht="15.75" customHeight="1" x14ac:dyDescent="0.25">
      <c r="B519" s="2"/>
      <c r="C519" s="2"/>
      <c r="D519" s="2"/>
      <c r="E519" s="2"/>
      <c r="F519" s="2"/>
      <c r="G519" s="2"/>
    </row>
    <row r="520" spans="2:7" ht="15.75" customHeight="1" x14ac:dyDescent="0.25">
      <c r="B520" s="2"/>
      <c r="C520" s="2"/>
      <c r="D520" s="2"/>
      <c r="E520" s="2"/>
      <c r="F520" s="2"/>
      <c r="G520" s="2"/>
    </row>
    <row r="521" spans="2:7" ht="15.75" customHeight="1" x14ac:dyDescent="0.25">
      <c r="B521" s="2"/>
      <c r="C521" s="2"/>
      <c r="D521" s="2"/>
      <c r="E521" s="2"/>
      <c r="F521" s="2"/>
      <c r="G521" s="2"/>
    </row>
    <row r="522" spans="2:7" ht="15.75" customHeight="1" x14ac:dyDescent="0.25">
      <c r="B522" s="2"/>
      <c r="C522" s="2"/>
      <c r="D522" s="2"/>
      <c r="E522" s="2"/>
      <c r="F522" s="2"/>
      <c r="G522" s="2"/>
    </row>
    <row r="523" spans="2:7" ht="15.75" customHeight="1" x14ac:dyDescent="0.25">
      <c r="B523" s="2"/>
      <c r="C523" s="2"/>
      <c r="D523" s="2"/>
      <c r="E523" s="2"/>
      <c r="F523" s="2"/>
      <c r="G523" s="2"/>
    </row>
    <row r="524" spans="2:7" ht="15.75" customHeight="1" x14ac:dyDescent="0.25">
      <c r="B524" s="2"/>
      <c r="C524" s="2"/>
      <c r="D524" s="2"/>
      <c r="E524" s="2"/>
      <c r="F524" s="2"/>
      <c r="G524" s="2"/>
    </row>
    <row r="525" spans="2:7" ht="15.75" customHeight="1" x14ac:dyDescent="0.25">
      <c r="B525" s="2"/>
      <c r="C525" s="2"/>
      <c r="D525" s="2"/>
      <c r="E525" s="2"/>
      <c r="F525" s="2"/>
      <c r="G525" s="2"/>
    </row>
    <row r="526" spans="2:7" ht="15.75" customHeight="1" x14ac:dyDescent="0.25">
      <c r="B526" s="2"/>
      <c r="C526" s="2"/>
      <c r="D526" s="2"/>
      <c r="E526" s="2"/>
      <c r="F526" s="2"/>
      <c r="G526" s="2"/>
    </row>
    <row r="527" spans="2:7" ht="15.75" customHeight="1" x14ac:dyDescent="0.25">
      <c r="B527" s="2"/>
      <c r="C527" s="2"/>
      <c r="D527" s="2"/>
      <c r="E527" s="2"/>
      <c r="F527" s="2"/>
      <c r="G527" s="2"/>
    </row>
    <row r="528" spans="2:7" ht="15.75" customHeight="1" x14ac:dyDescent="0.25">
      <c r="B528" s="2"/>
      <c r="C528" s="2"/>
      <c r="D528" s="2"/>
      <c r="E528" s="2"/>
      <c r="F528" s="2"/>
      <c r="G528" s="2"/>
    </row>
    <row r="529" spans="2:7" ht="15.75" customHeight="1" x14ac:dyDescent="0.25">
      <c r="B529" s="2"/>
      <c r="C529" s="2"/>
      <c r="D529" s="2"/>
      <c r="E529" s="2"/>
      <c r="F529" s="2"/>
      <c r="G529" s="2"/>
    </row>
    <row r="530" spans="2:7" ht="15.75" customHeight="1" x14ac:dyDescent="0.25">
      <c r="B530" s="2"/>
      <c r="C530" s="2"/>
      <c r="D530" s="2"/>
      <c r="E530" s="2"/>
      <c r="F530" s="2"/>
      <c r="G530" s="2"/>
    </row>
    <row r="531" spans="2:7" ht="15.75" customHeight="1" x14ac:dyDescent="0.25">
      <c r="B531" s="2"/>
      <c r="C531" s="2"/>
      <c r="D531" s="2"/>
      <c r="E531" s="2"/>
      <c r="F531" s="2"/>
      <c r="G531" s="2"/>
    </row>
    <row r="532" spans="2:7" ht="15.75" customHeight="1" x14ac:dyDescent="0.25">
      <c r="B532" s="2"/>
      <c r="C532" s="2"/>
      <c r="D532" s="2"/>
      <c r="E532" s="2"/>
      <c r="F532" s="2"/>
      <c r="G532" s="2"/>
    </row>
    <row r="533" spans="2:7" ht="15.75" customHeight="1" x14ac:dyDescent="0.25">
      <c r="B533" s="2"/>
      <c r="C533" s="2"/>
      <c r="D533" s="2"/>
      <c r="E533" s="2"/>
      <c r="F533" s="2"/>
      <c r="G533" s="2"/>
    </row>
    <row r="534" spans="2:7" ht="15.75" customHeight="1" x14ac:dyDescent="0.25">
      <c r="B534" s="2"/>
      <c r="C534" s="2"/>
      <c r="D534" s="2"/>
      <c r="E534" s="2"/>
      <c r="F534" s="2"/>
      <c r="G534" s="2"/>
    </row>
    <row r="535" spans="2:7" ht="15.75" customHeight="1" x14ac:dyDescent="0.25">
      <c r="B535" s="2"/>
      <c r="C535" s="2"/>
      <c r="D535" s="2"/>
      <c r="E535" s="2"/>
      <c r="F535" s="2"/>
      <c r="G535" s="2"/>
    </row>
    <row r="536" spans="2:7" ht="15.75" customHeight="1" x14ac:dyDescent="0.25">
      <c r="B536" s="2"/>
      <c r="C536" s="2"/>
      <c r="D536" s="2"/>
      <c r="E536" s="2"/>
      <c r="F536" s="2"/>
      <c r="G536" s="2"/>
    </row>
    <row r="537" spans="2:7" ht="15.75" customHeight="1" x14ac:dyDescent="0.25">
      <c r="B537" s="2"/>
      <c r="C537" s="2"/>
      <c r="D537" s="2"/>
      <c r="E537" s="2"/>
      <c r="F537" s="2"/>
      <c r="G537" s="2"/>
    </row>
    <row r="538" spans="2:7" ht="15.75" customHeight="1" x14ac:dyDescent="0.25">
      <c r="B538" s="2"/>
      <c r="C538" s="2"/>
      <c r="D538" s="2"/>
      <c r="E538" s="2"/>
      <c r="F538" s="2"/>
      <c r="G538" s="2"/>
    </row>
    <row r="539" spans="2:7" ht="15.75" customHeight="1" x14ac:dyDescent="0.25">
      <c r="B539" s="2"/>
      <c r="C539" s="2"/>
      <c r="D539" s="2"/>
      <c r="E539" s="2"/>
      <c r="F539" s="2"/>
      <c r="G539" s="2"/>
    </row>
    <row r="540" spans="2:7" ht="15.75" customHeight="1" x14ac:dyDescent="0.25">
      <c r="B540" s="2"/>
      <c r="C540" s="2"/>
      <c r="D540" s="2"/>
      <c r="E540" s="2"/>
      <c r="F540" s="2"/>
      <c r="G540" s="2"/>
    </row>
    <row r="541" spans="2:7" ht="15.75" customHeight="1" x14ac:dyDescent="0.25">
      <c r="B541" s="2"/>
      <c r="C541" s="2"/>
      <c r="D541" s="2"/>
      <c r="E541" s="2"/>
      <c r="F541" s="2"/>
      <c r="G541" s="2"/>
    </row>
    <row r="542" spans="2:7" ht="15.75" customHeight="1" x14ac:dyDescent="0.25">
      <c r="B542" s="2"/>
      <c r="C542" s="2"/>
      <c r="D542" s="2"/>
      <c r="E542" s="2"/>
      <c r="F542" s="2"/>
      <c r="G542" s="2"/>
    </row>
    <row r="543" spans="2:7" ht="15.75" customHeight="1" x14ac:dyDescent="0.25">
      <c r="B543" s="2"/>
      <c r="C543" s="2"/>
      <c r="D543" s="2"/>
      <c r="E543" s="2"/>
      <c r="F543" s="2"/>
      <c r="G543" s="2"/>
    </row>
    <row r="544" spans="2:7" ht="15.75" customHeight="1" x14ac:dyDescent="0.25">
      <c r="B544" s="2"/>
      <c r="C544" s="2"/>
      <c r="D544" s="2"/>
      <c r="E544" s="2"/>
      <c r="F544" s="2"/>
      <c r="G544" s="2"/>
    </row>
    <row r="545" spans="2:7" ht="15.75" customHeight="1" x14ac:dyDescent="0.25">
      <c r="B545" s="2"/>
      <c r="C545" s="2"/>
      <c r="D545" s="2"/>
      <c r="E545" s="2"/>
      <c r="F545" s="2"/>
      <c r="G545" s="2"/>
    </row>
    <row r="546" spans="2:7" ht="15.75" customHeight="1" x14ac:dyDescent="0.25">
      <c r="B546" s="2"/>
      <c r="C546" s="2"/>
      <c r="D546" s="2"/>
      <c r="E546" s="2"/>
      <c r="F546" s="2"/>
      <c r="G546" s="2"/>
    </row>
    <row r="547" spans="2:7" ht="15.75" customHeight="1" x14ac:dyDescent="0.25">
      <c r="B547" s="2"/>
      <c r="C547" s="2"/>
      <c r="D547" s="2"/>
      <c r="E547" s="2"/>
      <c r="F547" s="2"/>
      <c r="G547" s="2"/>
    </row>
    <row r="548" spans="2:7" ht="15.75" customHeight="1" x14ac:dyDescent="0.25">
      <c r="B548" s="2"/>
      <c r="C548" s="2"/>
      <c r="D548" s="2"/>
      <c r="E548" s="2"/>
      <c r="F548" s="2"/>
      <c r="G548" s="2"/>
    </row>
    <row r="549" spans="2:7" ht="15.75" customHeight="1" x14ac:dyDescent="0.25">
      <c r="B549" s="2"/>
      <c r="C549" s="2"/>
      <c r="D549" s="2"/>
      <c r="E549" s="2"/>
      <c r="F549" s="2"/>
      <c r="G549" s="2"/>
    </row>
    <row r="550" spans="2:7" ht="15.75" customHeight="1" x14ac:dyDescent="0.25">
      <c r="B550" s="2"/>
      <c r="C550" s="2"/>
      <c r="D550" s="2"/>
      <c r="E550" s="2"/>
      <c r="F550" s="2"/>
      <c r="G550" s="2"/>
    </row>
    <row r="551" spans="2:7" ht="15.75" customHeight="1" x14ac:dyDescent="0.25">
      <c r="B551" s="2"/>
      <c r="C551" s="2"/>
      <c r="D551" s="2"/>
      <c r="E551" s="2"/>
      <c r="F551" s="2"/>
      <c r="G551" s="2"/>
    </row>
    <row r="552" spans="2:7" ht="15.75" customHeight="1" x14ac:dyDescent="0.25">
      <c r="B552" s="2"/>
      <c r="C552" s="2"/>
      <c r="D552" s="2"/>
      <c r="E552" s="2"/>
      <c r="F552" s="2"/>
      <c r="G552" s="2"/>
    </row>
    <row r="553" spans="2:7" ht="15.75" customHeight="1" x14ac:dyDescent="0.25">
      <c r="B553" s="2"/>
      <c r="C553" s="2"/>
      <c r="D553" s="2"/>
      <c r="E553" s="2"/>
      <c r="F553" s="2"/>
      <c r="G553" s="2"/>
    </row>
    <row r="554" spans="2:7" ht="15.75" customHeight="1" x14ac:dyDescent="0.25">
      <c r="B554" s="2"/>
      <c r="C554" s="2"/>
      <c r="D554" s="2"/>
      <c r="E554" s="2"/>
      <c r="F554" s="2"/>
      <c r="G554" s="2"/>
    </row>
    <row r="555" spans="2:7" ht="15.75" customHeight="1" x14ac:dyDescent="0.25">
      <c r="B555" s="2"/>
      <c r="C555" s="2"/>
      <c r="D555" s="2"/>
      <c r="E555" s="2"/>
      <c r="F555" s="2"/>
      <c r="G555" s="2"/>
    </row>
    <row r="556" spans="2:7" ht="15.75" customHeight="1" x14ac:dyDescent="0.25">
      <c r="B556" s="2"/>
      <c r="C556" s="2"/>
      <c r="D556" s="2"/>
      <c r="E556" s="2"/>
      <c r="F556" s="2"/>
      <c r="G556" s="2"/>
    </row>
    <row r="557" spans="2:7" ht="15.75" customHeight="1" x14ac:dyDescent="0.25">
      <c r="B557" s="2"/>
      <c r="C557" s="2"/>
      <c r="D557" s="2"/>
      <c r="E557" s="2"/>
      <c r="F557" s="2"/>
      <c r="G557" s="2"/>
    </row>
    <row r="558" spans="2:7" ht="15.75" customHeight="1" x14ac:dyDescent="0.25">
      <c r="B558" s="2"/>
      <c r="C558" s="2"/>
      <c r="D558" s="2"/>
      <c r="E558" s="2"/>
      <c r="F558" s="2"/>
      <c r="G558" s="2"/>
    </row>
    <row r="559" spans="2:7" ht="15.75" customHeight="1" x14ac:dyDescent="0.25">
      <c r="B559" s="2"/>
      <c r="C559" s="2"/>
      <c r="D559" s="2"/>
      <c r="E559" s="2"/>
      <c r="F559" s="2"/>
      <c r="G559" s="2"/>
    </row>
    <row r="560" spans="2:7" ht="15.75" customHeight="1" x14ac:dyDescent="0.25">
      <c r="B560" s="2"/>
      <c r="C560" s="2"/>
      <c r="D560" s="2"/>
      <c r="E560" s="2"/>
      <c r="F560" s="2"/>
      <c r="G560" s="2"/>
    </row>
    <row r="561" spans="2:7" ht="15.75" customHeight="1" x14ac:dyDescent="0.25">
      <c r="B561" s="2"/>
      <c r="C561" s="2"/>
      <c r="D561" s="2"/>
      <c r="E561" s="2"/>
      <c r="F561" s="2"/>
      <c r="G561" s="2"/>
    </row>
    <row r="562" spans="2:7" ht="15.75" customHeight="1" x14ac:dyDescent="0.25">
      <c r="B562" s="2"/>
      <c r="C562" s="2"/>
      <c r="D562" s="2"/>
      <c r="E562" s="2"/>
      <c r="F562" s="2"/>
      <c r="G562" s="2"/>
    </row>
    <row r="563" spans="2:7" ht="15.75" customHeight="1" x14ac:dyDescent="0.25">
      <c r="B563" s="2"/>
      <c r="C563" s="2"/>
      <c r="D563" s="2"/>
      <c r="E563" s="2"/>
      <c r="F563" s="2"/>
      <c r="G563" s="2"/>
    </row>
    <row r="564" spans="2:7" ht="15.75" customHeight="1" x14ac:dyDescent="0.25">
      <c r="B564" s="2"/>
      <c r="C564" s="2"/>
      <c r="D564" s="2"/>
      <c r="E564" s="2"/>
      <c r="F564" s="2"/>
      <c r="G564" s="2"/>
    </row>
    <row r="565" spans="2:7" ht="15.75" customHeight="1" x14ac:dyDescent="0.25">
      <c r="B565" s="2"/>
      <c r="C565" s="2"/>
      <c r="D565" s="2"/>
      <c r="E565" s="2"/>
      <c r="F565" s="2"/>
      <c r="G565" s="2"/>
    </row>
    <row r="566" spans="2:7" ht="15.75" customHeight="1" x14ac:dyDescent="0.25">
      <c r="B566" s="2"/>
      <c r="C566" s="2"/>
      <c r="D566" s="2"/>
      <c r="E566" s="2"/>
      <c r="F566" s="2"/>
      <c r="G566" s="2"/>
    </row>
    <row r="567" spans="2:7" ht="15.75" customHeight="1" x14ac:dyDescent="0.25">
      <c r="B567" s="2"/>
      <c r="C567" s="2"/>
      <c r="D567" s="2"/>
      <c r="E567" s="2"/>
      <c r="F567" s="2"/>
      <c r="G567" s="2"/>
    </row>
    <row r="568" spans="2:7" ht="15.75" customHeight="1" x14ac:dyDescent="0.25">
      <c r="B568" s="2"/>
      <c r="C568" s="2"/>
      <c r="D568" s="2"/>
      <c r="E568" s="2"/>
      <c r="F568" s="2"/>
      <c r="G568" s="2"/>
    </row>
    <row r="569" spans="2:7" ht="15.75" customHeight="1" x14ac:dyDescent="0.25">
      <c r="B569" s="2"/>
      <c r="C569" s="2"/>
      <c r="D569" s="2"/>
      <c r="E569" s="2"/>
      <c r="F569" s="2"/>
      <c r="G569" s="2"/>
    </row>
    <row r="570" spans="2:7" ht="15.75" customHeight="1" x14ac:dyDescent="0.25">
      <c r="B570" s="2"/>
      <c r="C570" s="2"/>
      <c r="D570" s="2"/>
      <c r="E570" s="2"/>
      <c r="F570" s="2"/>
      <c r="G570" s="2"/>
    </row>
    <row r="571" spans="2:7" ht="15.75" customHeight="1" x14ac:dyDescent="0.25">
      <c r="B571" s="2"/>
      <c r="C571" s="2"/>
      <c r="D571" s="2"/>
      <c r="E571" s="2"/>
      <c r="F571" s="2"/>
      <c r="G571" s="2"/>
    </row>
    <row r="572" spans="2:7" ht="15.75" customHeight="1" x14ac:dyDescent="0.25">
      <c r="B572" s="2"/>
      <c r="C572" s="2"/>
      <c r="D572" s="2"/>
      <c r="E572" s="2"/>
      <c r="F572" s="2"/>
      <c r="G572" s="2"/>
    </row>
    <row r="573" spans="2:7" ht="15.75" customHeight="1" x14ac:dyDescent="0.25">
      <c r="B573" s="2"/>
      <c r="C573" s="2"/>
      <c r="D573" s="2"/>
      <c r="E573" s="2"/>
      <c r="F573" s="2"/>
      <c r="G573" s="2"/>
    </row>
    <row r="574" spans="2:7" ht="15.75" customHeight="1" x14ac:dyDescent="0.25">
      <c r="B574" s="2"/>
      <c r="C574" s="2"/>
      <c r="D574" s="2"/>
      <c r="E574" s="2"/>
      <c r="F574" s="2"/>
      <c r="G574" s="2"/>
    </row>
    <row r="575" spans="2:7" ht="15.75" customHeight="1" x14ac:dyDescent="0.25">
      <c r="B575" s="2"/>
      <c r="C575" s="2"/>
      <c r="D575" s="2"/>
      <c r="E575" s="2"/>
      <c r="F575" s="2"/>
      <c r="G575" s="2"/>
    </row>
    <row r="576" spans="2:7" ht="15.75" customHeight="1" x14ac:dyDescent="0.25">
      <c r="B576" s="2"/>
      <c r="C576" s="2"/>
      <c r="D576" s="2"/>
      <c r="E576" s="2"/>
      <c r="F576" s="2"/>
      <c r="G576" s="2"/>
    </row>
    <row r="577" spans="2:7" ht="15.75" customHeight="1" x14ac:dyDescent="0.25">
      <c r="B577" s="2"/>
      <c r="C577" s="2"/>
      <c r="D577" s="2"/>
      <c r="E577" s="2"/>
      <c r="F577" s="2"/>
      <c r="G577" s="2"/>
    </row>
    <row r="578" spans="2:7" ht="15.75" customHeight="1" x14ac:dyDescent="0.25">
      <c r="B578" s="2"/>
      <c r="C578" s="2"/>
      <c r="D578" s="2"/>
      <c r="E578" s="2"/>
      <c r="F578" s="2"/>
      <c r="G578" s="2"/>
    </row>
    <row r="579" spans="2:7" ht="15.75" customHeight="1" x14ac:dyDescent="0.25">
      <c r="B579" s="2"/>
      <c r="C579" s="2"/>
      <c r="D579" s="2"/>
      <c r="E579" s="2"/>
      <c r="F579" s="2"/>
      <c r="G579" s="2"/>
    </row>
    <row r="580" spans="2:7" ht="15.75" customHeight="1" x14ac:dyDescent="0.25">
      <c r="B580" s="2"/>
      <c r="C580" s="2"/>
      <c r="D580" s="2"/>
      <c r="E580" s="2"/>
      <c r="F580" s="2"/>
      <c r="G580" s="2"/>
    </row>
    <row r="581" spans="2:7" ht="15.75" customHeight="1" x14ac:dyDescent="0.25">
      <c r="B581" s="2"/>
      <c r="C581" s="2"/>
      <c r="D581" s="2"/>
      <c r="E581" s="2"/>
      <c r="F581" s="2"/>
      <c r="G581" s="2"/>
    </row>
    <row r="582" spans="2:7" ht="15.75" customHeight="1" x14ac:dyDescent="0.25">
      <c r="B582" s="2"/>
      <c r="C582" s="2"/>
      <c r="D582" s="2"/>
      <c r="E582" s="2"/>
      <c r="F582" s="2"/>
      <c r="G582" s="2"/>
    </row>
    <row r="583" spans="2:7" ht="15.75" customHeight="1" x14ac:dyDescent="0.25">
      <c r="B583" s="2"/>
      <c r="C583" s="2"/>
      <c r="D583" s="2"/>
      <c r="E583" s="2"/>
      <c r="F583" s="2"/>
      <c r="G583" s="2"/>
    </row>
    <row r="584" spans="2:7" ht="15.75" customHeight="1" x14ac:dyDescent="0.25">
      <c r="B584" s="2"/>
      <c r="C584" s="2"/>
      <c r="D584" s="2"/>
      <c r="E584" s="2"/>
      <c r="F584" s="2"/>
      <c r="G584" s="2"/>
    </row>
    <row r="585" spans="2:7" ht="15.75" customHeight="1" x14ac:dyDescent="0.25">
      <c r="B585" s="2"/>
      <c r="C585" s="2"/>
      <c r="D585" s="2"/>
      <c r="E585" s="2"/>
      <c r="F585" s="2"/>
      <c r="G585" s="2"/>
    </row>
    <row r="586" spans="2:7" ht="15.75" customHeight="1" x14ac:dyDescent="0.25">
      <c r="B586" s="2"/>
      <c r="C586" s="2"/>
      <c r="D586" s="2"/>
      <c r="E586" s="2"/>
      <c r="F586" s="2"/>
      <c r="G586" s="2"/>
    </row>
    <row r="587" spans="2:7" ht="15.75" customHeight="1" x14ac:dyDescent="0.25">
      <c r="B587" s="2"/>
      <c r="C587" s="2"/>
      <c r="D587" s="2"/>
      <c r="E587" s="2"/>
      <c r="F587" s="2"/>
      <c r="G587" s="2"/>
    </row>
    <row r="588" spans="2:7" ht="15.75" customHeight="1" x14ac:dyDescent="0.25">
      <c r="B588" s="2"/>
      <c r="C588" s="2"/>
      <c r="D588" s="2"/>
      <c r="E588" s="2"/>
      <c r="F588" s="2"/>
      <c r="G588" s="2"/>
    </row>
    <row r="589" spans="2:7" ht="15.75" customHeight="1" x14ac:dyDescent="0.25">
      <c r="B589" s="2"/>
      <c r="C589" s="2"/>
      <c r="D589" s="2"/>
      <c r="E589" s="2"/>
      <c r="F589" s="2"/>
      <c r="G589" s="2"/>
    </row>
    <row r="590" spans="2:7" ht="15.75" customHeight="1" x14ac:dyDescent="0.25">
      <c r="B590" s="2"/>
      <c r="C590" s="2"/>
      <c r="D590" s="2"/>
      <c r="E590" s="2"/>
      <c r="F590" s="2"/>
      <c r="G590" s="2"/>
    </row>
    <row r="591" spans="2:7" ht="15.75" customHeight="1" x14ac:dyDescent="0.25">
      <c r="B591" s="2"/>
      <c r="C591" s="2"/>
      <c r="D591" s="2"/>
      <c r="E591" s="2"/>
      <c r="F591" s="2"/>
      <c r="G591" s="2"/>
    </row>
    <row r="592" spans="2:7" ht="15.75" customHeight="1" x14ac:dyDescent="0.25">
      <c r="B592" s="2"/>
      <c r="C592" s="2"/>
      <c r="D592" s="2"/>
      <c r="E592" s="2"/>
      <c r="F592" s="2"/>
      <c r="G592" s="2"/>
    </row>
    <row r="593" spans="2:7" ht="15.75" customHeight="1" x14ac:dyDescent="0.25">
      <c r="B593" s="2"/>
      <c r="C593" s="2"/>
      <c r="D593" s="2"/>
      <c r="E593" s="2"/>
      <c r="F593" s="2"/>
      <c r="G593" s="2"/>
    </row>
    <row r="594" spans="2:7" ht="15.75" customHeight="1" x14ac:dyDescent="0.25">
      <c r="B594" s="2"/>
      <c r="C594" s="2"/>
      <c r="D594" s="2"/>
      <c r="E594" s="2"/>
      <c r="F594" s="2"/>
      <c r="G594" s="2"/>
    </row>
    <row r="595" spans="2:7" ht="15.75" customHeight="1" x14ac:dyDescent="0.25">
      <c r="B595" s="2"/>
      <c r="C595" s="2"/>
      <c r="D595" s="2"/>
      <c r="E595" s="2"/>
      <c r="F595" s="2"/>
      <c r="G595" s="2"/>
    </row>
    <row r="596" spans="2:7" ht="15.75" customHeight="1" x14ac:dyDescent="0.25">
      <c r="B596" s="2"/>
      <c r="C596" s="2"/>
      <c r="D596" s="2"/>
      <c r="E596" s="2"/>
      <c r="F596" s="2"/>
      <c r="G596" s="2"/>
    </row>
    <row r="597" spans="2:7" ht="15.75" customHeight="1" x14ac:dyDescent="0.25">
      <c r="B597" s="2"/>
      <c r="C597" s="2"/>
      <c r="D597" s="2"/>
      <c r="E597" s="2"/>
      <c r="F597" s="2"/>
      <c r="G597" s="2"/>
    </row>
    <row r="598" spans="2:7" ht="15.75" customHeight="1" x14ac:dyDescent="0.25">
      <c r="B598" s="2"/>
      <c r="C598" s="2"/>
      <c r="D598" s="2"/>
      <c r="E598" s="2"/>
      <c r="F598" s="2"/>
      <c r="G598" s="2"/>
    </row>
    <row r="599" spans="2:7" ht="15.75" customHeight="1" x14ac:dyDescent="0.25">
      <c r="B599" s="2"/>
      <c r="C599" s="2"/>
      <c r="D599" s="2"/>
      <c r="E599" s="2"/>
      <c r="F599" s="2"/>
      <c r="G599" s="2"/>
    </row>
    <row r="600" spans="2:7" ht="15.75" customHeight="1" x14ac:dyDescent="0.25">
      <c r="B600" s="2"/>
      <c r="C600" s="2"/>
      <c r="D600" s="2"/>
      <c r="E600" s="2"/>
      <c r="F600" s="2"/>
      <c r="G600" s="2"/>
    </row>
    <row r="601" spans="2:7" ht="15.75" customHeight="1" x14ac:dyDescent="0.25">
      <c r="B601" s="2"/>
      <c r="C601" s="2"/>
      <c r="D601" s="2"/>
      <c r="E601" s="2"/>
      <c r="F601" s="2"/>
      <c r="G601" s="2"/>
    </row>
    <row r="602" spans="2:7" ht="15.75" customHeight="1" x14ac:dyDescent="0.25">
      <c r="B602" s="2"/>
      <c r="C602" s="2"/>
      <c r="D602" s="2"/>
      <c r="E602" s="2"/>
      <c r="F602" s="2"/>
      <c r="G602" s="2"/>
    </row>
    <row r="603" spans="2:7" ht="15.75" customHeight="1" x14ac:dyDescent="0.25">
      <c r="B603" s="2"/>
      <c r="C603" s="2"/>
      <c r="D603" s="2"/>
      <c r="E603" s="2"/>
      <c r="F603" s="2"/>
      <c r="G603" s="2"/>
    </row>
    <row r="604" spans="2:7" ht="15.75" customHeight="1" x14ac:dyDescent="0.25">
      <c r="B604" s="2"/>
      <c r="C604" s="2"/>
      <c r="D604" s="2"/>
      <c r="E604" s="2"/>
      <c r="F604" s="2"/>
      <c r="G604" s="2"/>
    </row>
    <row r="605" spans="2:7" ht="15.75" customHeight="1" x14ac:dyDescent="0.25">
      <c r="B605" s="2"/>
      <c r="C605" s="2"/>
      <c r="D605" s="2"/>
      <c r="E605" s="2"/>
      <c r="F605" s="2"/>
      <c r="G605" s="2"/>
    </row>
    <row r="606" spans="2:7" ht="15.75" customHeight="1" x14ac:dyDescent="0.25">
      <c r="B606" s="2"/>
      <c r="C606" s="2"/>
      <c r="D606" s="2"/>
      <c r="E606" s="2"/>
      <c r="F606" s="2"/>
      <c r="G606" s="2"/>
    </row>
    <row r="607" spans="2:7" ht="15.75" customHeight="1" x14ac:dyDescent="0.25">
      <c r="B607" s="2"/>
      <c r="C607" s="2"/>
      <c r="D607" s="2"/>
      <c r="E607" s="2"/>
      <c r="F607" s="2"/>
      <c r="G607" s="2"/>
    </row>
    <row r="608" spans="2:7" ht="15.75" customHeight="1" x14ac:dyDescent="0.25">
      <c r="B608" s="2"/>
      <c r="C608" s="2"/>
      <c r="D608" s="2"/>
      <c r="E608" s="2"/>
      <c r="F608" s="2"/>
      <c r="G608" s="2"/>
    </row>
    <row r="609" spans="2:7" ht="15.75" customHeight="1" x14ac:dyDescent="0.25">
      <c r="B609" s="2"/>
      <c r="C609" s="2"/>
      <c r="D609" s="2"/>
      <c r="E609" s="2"/>
      <c r="F609" s="2"/>
      <c r="G609" s="2"/>
    </row>
    <row r="610" spans="2:7" ht="15.75" customHeight="1" x14ac:dyDescent="0.25">
      <c r="B610" s="2"/>
      <c r="C610" s="2"/>
      <c r="D610" s="2"/>
      <c r="E610" s="2"/>
      <c r="F610" s="2"/>
      <c r="G610" s="2"/>
    </row>
    <row r="611" spans="2:7" ht="15.75" customHeight="1" x14ac:dyDescent="0.25">
      <c r="B611" s="2"/>
      <c r="C611" s="2"/>
      <c r="D611" s="2"/>
      <c r="E611" s="2"/>
      <c r="F611" s="2"/>
      <c r="G611" s="2"/>
    </row>
    <row r="612" spans="2:7" ht="15.75" customHeight="1" x14ac:dyDescent="0.25">
      <c r="B612" s="2"/>
      <c r="C612" s="2"/>
      <c r="D612" s="2"/>
      <c r="E612" s="2"/>
      <c r="F612" s="2"/>
      <c r="G612" s="2"/>
    </row>
    <row r="613" spans="2:7" ht="15.75" customHeight="1" x14ac:dyDescent="0.25">
      <c r="B613" s="2"/>
      <c r="C613" s="2"/>
      <c r="D613" s="2"/>
      <c r="E613" s="2"/>
      <c r="F613" s="2"/>
      <c r="G613" s="2"/>
    </row>
    <row r="614" spans="2:7" ht="15.75" customHeight="1" x14ac:dyDescent="0.25">
      <c r="B614" s="2"/>
      <c r="C614" s="2"/>
      <c r="D614" s="2"/>
      <c r="E614" s="2"/>
      <c r="F614" s="2"/>
      <c r="G614" s="2"/>
    </row>
    <row r="615" spans="2:7" ht="15.75" customHeight="1" x14ac:dyDescent="0.25">
      <c r="B615" s="2"/>
      <c r="C615" s="2"/>
      <c r="D615" s="2"/>
      <c r="E615" s="2"/>
      <c r="F615" s="2"/>
      <c r="G615" s="2"/>
    </row>
    <row r="616" spans="2:7" ht="15.75" customHeight="1" x14ac:dyDescent="0.25">
      <c r="B616" s="2"/>
      <c r="C616" s="2"/>
      <c r="D616" s="2"/>
      <c r="E616" s="2"/>
      <c r="F616" s="2"/>
      <c r="G616" s="2"/>
    </row>
    <row r="617" spans="2:7" ht="15.75" customHeight="1" x14ac:dyDescent="0.25">
      <c r="B617" s="2"/>
      <c r="C617" s="2"/>
      <c r="D617" s="2"/>
      <c r="E617" s="2"/>
      <c r="F617" s="2"/>
      <c r="G617" s="2"/>
    </row>
    <row r="618" spans="2:7" ht="15.75" customHeight="1" x14ac:dyDescent="0.25">
      <c r="B618" s="2"/>
      <c r="C618" s="2"/>
      <c r="D618" s="2"/>
      <c r="E618" s="2"/>
      <c r="F618" s="2"/>
      <c r="G618" s="2"/>
    </row>
    <row r="619" spans="2:7" ht="15.75" customHeight="1" x14ac:dyDescent="0.25">
      <c r="B619" s="2"/>
      <c r="C619" s="2"/>
      <c r="D619" s="2"/>
      <c r="E619" s="2"/>
      <c r="F619" s="2"/>
      <c r="G619" s="2"/>
    </row>
    <row r="620" spans="2:7" ht="15.75" customHeight="1" x14ac:dyDescent="0.25">
      <c r="B620" s="2"/>
      <c r="C620" s="2"/>
      <c r="D620" s="2"/>
      <c r="E620" s="2"/>
      <c r="F620" s="2"/>
      <c r="G620" s="2"/>
    </row>
    <row r="621" spans="2:7" ht="15.75" customHeight="1" x14ac:dyDescent="0.25">
      <c r="B621" s="2"/>
      <c r="C621" s="2"/>
      <c r="D621" s="2"/>
      <c r="E621" s="2"/>
      <c r="F621" s="2"/>
      <c r="G621" s="2"/>
    </row>
    <row r="622" spans="2:7" ht="15.75" customHeight="1" x14ac:dyDescent="0.25">
      <c r="B622" s="2"/>
      <c r="C622" s="2"/>
      <c r="D622" s="2"/>
      <c r="E622" s="2"/>
      <c r="F622" s="2"/>
      <c r="G622" s="2"/>
    </row>
    <row r="623" spans="2:7" ht="15.75" customHeight="1" x14ac:dyDescent="0.25">
      <c r="B623" s="2"/>
      <c r="C623" s="2"/>
      <c r="D623" s="2"/>
      <c r="E623" s="2"/>
      <c r="F623" s="2"/>
      <c r="G623" s="2"/>
    </row>
    <row r="624" spans="2:7" ht="15.75" customHeight="1" x14ac:dyDescent="0.25">
      <c r="B624" s="2"/>
      <c r="C624" s="2"/>
      <c r="D624" s="2"/>
      <c r="E624" s="2"/>
      <c r="F624" s="2"/>
      <c r="G624" s="2"/>
    </row>
    <row r="625" spans="2:7" ht="15.75" customHeight="1" x14ac:dyDescent="0.25">
      <c r="B625" s="2"/>
      <c r="C625" s="2"/>
      <c r="D625" s="2"/>
      <c r="E625" s="2"/>
      <c r="F625" s="2"/>
      <c r="G625" s="2"/>
    </row>
    <row r="626" spans="2:7" ht="15.75" customHeight="1" x14ac:dyDescent="0.25">
      <c r="B626" s="2"/>
      <c r="C626" s="2"/>
      <c r="D626" s="2"/>
      <c r="E626" s="2"/>
      <c r="F626" s="2"/>
      <c r="G626" s="2"/>
    </row>
    <row r="627" spans="2:7" ht="15.75" customHeight="1" x14ac:dyDescent="0.25">
      <c r="B627" s="2"/>
      <c r="C627" s="2"/>
      <c r="D627" s="2"/>
      <c r="E627" s="2"/>
      <c r="F627" s="2"/>
      <c r="G627" s="2"/>
    </row>
    <row r="628" spans="2:7" ht="15.75" customHeight="1" x14ac:dyDescent="0.25">
      <c r="B628" s="2"/>
      <c r="C628" s="2"/>
      <c r="D628" s="2"/>
      <c r="E628" s="2"/>
      <c r="F628" s="2"/>
      <c r="G628" s="2"/>
    </row>
    <row r="629" spans="2:7" ht="15.75" customHeight="1" x14ac:dyDescent="0.25">
      <c r="B629" s="2"/>
      <c r="C629" s="2"/>
      <c r="D629" s="2"/>
      <c r="E629" s="2"/>
      <c r="F629" s="2"/>
      <c r="G629" s="2"/>
    </row>
    <row r="630" spans="2:7" ht="15.75" customHeight="1" x14ac:dyDescent="0.25">
      <c r="B630" s="2"/>
      <c r="C630" s="2"/>
      <c r="D630" s="2"/>
      <c r="E630" s="2"/>
      <c r="F630" s="2"/>
      <c r="G630" s="2"/>
    </row>
    <row r="631" spans="2:7" ht="15.75" customHeight="1" x14ac:dyDescent="0.25">
      <c r="B631" s="2"/>
      <c r="C631" s="2"/>
      <c r="D631" s="2"/>
      <c r="E631" s="2"/>
      <c r="F631" s="2"/>
      <c r="G631" s="2"/>
    </row>
    <row r="632" spans="2:7" ht="15.75" customHeight="1" x14ac:dyDescent="0.25">
      <c r="B632" s="2"/>
      <c r="C632" s="2"/>
      <c r="D632" s="2"/>
      <c r="E632" s="2"/>
      <c r="F632" s="2"/>
      <c r="G632" s="2"/>
    </row>
    <row r="633" spans="2:7" ht="15.75" customHeight="1" x14ac:dyDescent="0.25">
      <c r="B633" s="2"/>
      <c r="C633" s="2"/>
      <c r="D633" s="2"/>
      <c r="E633" s="2"/>
      <c r="F633" s="2"/>
      <c r="G633" s="2"/>
    </row>
    <row r="634" spans="2:7" ht="15.75" customHeight="1" x14ac:dyDescent="0.25">
      <c r="B634" s="2"/>
      <c r="C634" s="2"/>
      <c r="D634" s="2"/>
      <c r="E634" s="2"/>
      <c r="F634" s="2"/>
      <c r="G634" s="2"/>
    </row>
    <row r="635" spans="2:7" ht="15.75" customHeight="1" x14ac:dyDescent="0.25">
      <c r="B635" s="2"/>
      <c r="C635" s="2"/>
      <c r="D635" s="2"/>
      <c r="E635" s="2"/>
      <c r="F635" s="2"/>
      <c r="G635" s="2"/>
    </row>
    <row r="636" spans="2:7" ht="15.75" customHeight="1" x14ac:dyDescent="0.25">
      <c r="B636" s="2"/>
      <c r="C636" s="2"/>
      <c r="D636" s="2"/>
      <c r="E636" s="2"/>
      <c r="F636" s="2"/>
      <c r="G636" s="2"/>
    </row>
    <row r="637" spans="2:7" ht="15.75" customHeight="1" x14ac:dyDescent="0.25">
      <c r="B637" s="2"/>
      <c r="C637" s="2"/>
      <c r="D637" s="2"/>
      <c r="E637" s="2"/>
      <c r="F637" s="2"/>
      <c r="G637" s="2"/>
    </row>
    <row r="638" spans="2:7" ht="15.75" customHeight="1" x14ac:dyDescent="0.25">
      <c r="B638" s="2"/>
      <c r="C638" s="2"/>
      <c r="D638" s="2"/>
      <c r="E638" s="2"/>
      <c r="F638" s="2"/>
      <c r="G638" s="2"/>
    </row>
    <row r="639" spans="2:7" ht="15.75" customHeight="1" x14ac:dyDescent="0.25">
      <c r="B639" s="2"/>
      <c r="C639" s="2"/>
      <c r="D639" s="2"/>
      <c r="E639" s="2"/>
      <c r="F639" s="2"/>
      <c r="G639" s="2"/>
    </row>
    <row r="640" spans="2:7" ht="15.75" customHeight="1" x14ac:dyDescent="0.25">
      <c r="B640" s="2"/>
      <c r="C640" s="2"/>
      <c r="D640" s="2"/>
      <c r="E640" s="2"/>
      <c r="F640" s="2"/>
      <c r="G640" s="2"/>
    </row>
    <row r="641" spans="2:7" ht="15.75" customHeight="1" x14ac:dyDescent="0.25">
      <c r="B641" s="2"/>
      <c r="C641" s="2"/>
      <c r="D641" s="2"/>
      <c r="E641" s="2"/>
      <c r="F641" s="2"/>
      <c r="G641" s="2"/>
    </row>
    <row r="642" spans="2:7" ht="15.75" customHeight="1" x14ac:dyDescent="0.25">
      <c r="B642" s="2"/>
      <c r="C642" s="2"/>
      <c r="D642" s="2"/>
      <c r="E642" s="2"/>
      <c r="F642" s="2"/>
      <c r="G642" s="2"/>
    </row>
    <row r="643" spans="2:7" ht="15.75" customHeight="1" x14ac:dyDescent="0.25">
      <c r="B643" s="2"/>
      <c r="C643" s="2"/>
      <c r="D643" s="2"/>
      <c r="E643" s="2"/>
      <c r="F643" s="2"/>
      <c r="G643" s="2"/>
    </row>
    <row r="644" spans="2:7" ht="15.75" customHeight="1" x14ac:dyDescent="0.25">
      <c r="B644" s="2"/>
      <c r="C644" s="2"/>
      <c r="D644" s="2"/>
      <c r="E644" s="2"/>
      <c r="F644" s="2"/>
      <c r="G644" s="2"/>
    </row>
    <row r="645" spans="2:7" ht="15.75" customHeight="1" x14ac:dyDescent="0.25">
      <c r="B645" s="2"/>
      <c r="C645" s="2"/>
      <c r="D645" s="2"/>
      <c r="E645" s="2"/>
      <c r="F645" s="2"/>
      <c r="G645" s="2"/>
    </row>
    <row r="646" spans="2:7" ht="15.75" customHeight="1" x14ac:dyDescent="0.25">
      <c r="B646" s="2"/>
      <c r="C646" s="2"/>
      <c r="D646" s="2"/>
      <c r="E646" s="2"/>
      <c r="F646" s="2"/>
      <c r="G646" s="2"/>
    </row>
    <row r="647" spans="2:7" ht="15.75" customHeight="1" x14ac:dyDescent="0.25">
      <c r="B647" s="2"/>
      <c r="C647" s="2"/>
      <c r="D647" s="2"/>
      <c r="E647" s="2"/>
      <c r="F647" s="2"/>
      <c r="G647" s="2"/>
    </row>
    <row r="648" spans="2:7" ht="15.75" customHeight="1" x14ac:dyDescent="0.25">
      <c r="B648" s="2"/>
      <c r="C648" s="2"/>
      <c r="D648" s="2"/>
      <c r="E648" s="2"/>
      <c r="F648" s="2"/>
      <c r="G648" s="2"/>
    </row>
    <row r="649" spans="2:7" ht="15.75" customHeight="1" x14ac:dyDescent="0.25">
      <c r="B649" s="2"/>
      <c r="C649" s="2"/>
      <c r="D649" s="2"/>
      <c r="E649" s="2"/>
      <c r="F649" s="2"/>
      <c r="G649" s="2"/>
    </row>
    <row r="650" spans="2:7" ht="15.75" customHeight="1" x14ac:dyDescent="0.25">
      <c r="B650" s="2"/>
      <c r="C650" s="2"/>
      <c r="D650" s="2"/>
      <c r="E650" s="2"/>
      <c r="F650" s="2"/>
      <c r="G650" s="2"/>
    </row>
    <row r="651" spans="2:7" ht="15.75" customHeight="1" x14ac:dyDescent="0.25">
      <c r="B651" s="2"/>
      <c r="C651" s="2"/>
      <c r="D651" s="2"/>
      <c r="E651" s="2"/>
      <c r="F651" s="2"/>
      <c r="G651" s="2"/>
    </row>
    <row r="652" spans="2:7" ht="15.75" customHeight="1" x14ac:dyDescent="0.25">
      <c r="B652" s="2"/>
      <c r="C652" s="2"/>
      <c r="D652" s="2"/>
      <c r="E652" s="2"/>
      <c r="F652" s="2"/>
      <c r="G652" s="2"/>
    </row>
    <row r="653" spans="2:7" ht="15.75" customHeight="1" x14ac:dyDescent="0.25">
      <c r="B653" s="2"/>
      <c r="C653" s="2"/>
      <c r="D653" s="2"/>
      <c r="E653" s="2"/>
      <c r="F653" s="2"/>
      <c r="G653" s="2"/>
    </row>
    <row r="654" spans="2:7" ht="15.75" customHeight="1" x14ac:dyDescent="0.25">
      <c r="B654" s="2"/>
      <c r="C654" s="2"/>
      <c r="D654" s="2"/>
      <c r="E654" s="2"/>
      <c r="F654" s="2"/>
      <c r="G654" s="2"/>
    </row>
    <row r="655" spans="2:7" ht="15.75" customHeight="1" x14ac:dyDescent="0.25">
      <c r="B655" s="2"/>
      <c r="C655" s="2"/>
      <c r="D655" s="2"/>
      <c r="E655" s="2"/>
      <c r="F655" s="2"/>
      <c r="G655" s="2"/>
    </row>
    <row r="656" spans="2:7" ht="15.75" customHeight="1" x14ac:dyDescent="0.25">
      <c r="B656" s="2"/>
      <c r="C656" s="2"/>
      <c r="D656" s="2"/>
      <c r="E656" s="2"/>
      <c r="F656" s="2"/>
      <c r="G656" s="2"/>
    </row>
    <row r="657" spans="2:7" ht="15.75" customHeight="1" x14ac:dyDescent="0.25">
      <c r="B657" s="2"/>
      <c r="C657" s="2"/>
      <c r="D657" s="2"/>
      <c r="E657" s="2"/>
      <c r="F657" s="2"/>
      <c r="G657" s="2"/>
    </row>
    <row r="658" spans="2:7" ht="15.75" customHeight="1" x14ac:dyDescent="0.25">
      <c r="B658" s="2"/>
      <c r="C658" s="2"/>
      <c r="D658" s="2"/>
      <c r="E658" s="2"/>
      <c r="F658" s="2"/>
      <c r="G658" s="2"/>
    </row>
    <row r="659" spans="2:7" ht="15.75" customHeight="1" x14ac:dyDescent="0.25">
      <c r="B659" s="2"/>
      <c r="C659" s="2"/>
      <c r="D659" s="2"/>
      <c r="E659" s="2"/>
      <c r="F659" s="2"/>
      <c r="G659" s="2"/>
    </row>
    <row r="660" spans="2:7" ht="15.75" customHeight="1" x14ac:dyDescent="0.25">
      <c r="B660" s="2"/>
      <c r="C660" s="2"/>
      <c r="D660" s="2"/>
      <c r="E660" s="2"/>
      <c r="F660" s="2"/>
      <c r="G660" s="2"/>
    </row>
    <row r="661" spans="2:7" ht="15.75" customHeight="1" x14ac:dyDescent="0.25">
      <c r="B661" s="2"/>
      <c r="C661" s="2"/>
      <c r="D661" s="2"/>
      <c r="E661" s="2"/>
      <c r="F661" s="2"/>
      <c r="G661" s="2"/>
    </row>
    <row r="662" spans="2:7" ht="15.75" customHeight="1" x14ac:dyDescent="0.25">
      <c r="B662" s="2"/>
      <c r="C662" s="2"/>
      <c r="D662" s="2"/>
      <c r="E662" s="2"/>
      <c r="F662" s="2"/>
      <c r="G662" s="2"/>
    </row>
    <row r="663" spans="2:7" ht="15.75" customHeight="1" x14ac:dyDescent="0.25">
      <c r="B663" s="2"/>
      <c r="C663" s="2"/>
      <c r="D663" s="2"/>
      <c r="E663" s="2"/>
      <c r="F663" s="2"/>
      <c r="G663" s="2"/>
    </row>
    <row r="664" spans="2:7" ht="15.75" customHeight="1" x14ac:dyDescent="0.25">
      <c r="B664" s="2"/>
      <c r="C664" s="2"/>
      <c r="D664" s="2"/>
      <c r="E664" s="2"/>
      <c r="F664" s="2"/>
      <c r="G664" s="2"/>
    </row>
    <row r="665" spans="2:7" ht="15.75" customHeight="1" x14ac:dyDescent="0.25">
      <c r="B665" s="2"/>
      <c r="C665" s="2"/>
      <c r="D665" s="2"/>
      <c r="E665" s="2"/>
      <c r="F665" s="2"/>
      <c r="G665" s="2"/>
    </row>
    <row r="666" spans="2:7" ht="15.75" customHeight="1" x14ac:dyDescent="0.25">
      <c r="B666" s="2"/>
      <c r="C666" s="2"/>
      <c r="D666" s="2"/>
      <c r="E666" s="2"/>
      <c r="F666" s="2"/>
      <c r="G666" s="2"/>
    </row>
    <row r="667" spans="2:7" ht="15.75" customHeight="1" x14ac:dyDescent="0.25">
      <c r="B667" s="2"/>
      <c r="C667" s="2"/>
      <c r="D667" s="2"/>
      <c r="E667" s="2"/>
      <c r="F667" s="2"/>
      <c r="G667" s="2"/>
    </row>
    <row r="668" spans="2:7" ht="15.75" customHeight="1" x14ac:dyDescent="0.25">
      <c r="B668" s="2"/>
      <c r="C668" s="2"/>
      <c r="D668" s="2"/>
      <c r="E668" s="2"/>
      <c r="F668" s="2"/>
      <c r="G668" s="2"/>
    </row>
    <row r="669" spans="2:7" ht="15.75" customHeight="1" x14ac:dyDescent="0.25">
      <c r="B669" s="2"/>
      <c r="C669" s="2"/>
      <c r="D669" s="2"/>
      <c r="E669" s="2"/>
      <c r="F669" s="2"/>
      <c r="G669" s="2"/>
    </row>
    <row r="670" spans="2:7" ht="15.75" customHeight="1" x14ac:dyDescent="0.25">
      <c r="B670" s="2"/>
      <c r="C670" s="2"/>
      <c r="D670" s="2"/>
      <c r="E670" s="2"/>
      <c r="F670" s="2"/>
      <c r="G670" s="2"/>
    </row>
    <row r="671" spans="2:7" ht="15.75" customHeight="1" x14ac:dyDescent="0.25">
      <c r="B671" s="2"/>
      <c r="C671" s="2"/>
      <c r="D671" s="2"/>
      <c r="E671" s="2"/>
      <c r="F671" s="2"/>
      <c r="G671" s="2"/>
    </row>
    <row r="672" spans="2:7" ht="15.75" customHeight="1" x14ac:dyDescent="0.25">
      <c r="B672" s="2"/>
      <c r="C672" s="2"/>
      <c r="D672" s="2"/>
      <c r="E672" s="2"/>
      <c r="F672" s="2"/>
      <c r="G672" s="2"/>
    </row>
    <row r="673" spans="2:7" ht="15.75" customHeight="1" x14ac:dyDescent="0.25">
      <c r="B673" s="2"/>
      <c r="C673" s="2"/>
      <c r="D673" s="2"/>
      <c r="E673" s="2"/>
      <c r="F673" s="2"/>
      <c r="G673" s="2"/>
    </row>
    <row r="674" spans="2:7" ht="15.75" customHeight="1" x14ac:dyDescent="0.25">
      <c r="B674" s="2"/>
      <c r="C674" s="2"/>
      <c r="D674" s="2"/>
      <c r="E674" s="2"/>
      <c r="F674" s="2"/>
      <c r="G674" s="2"/>
    </row>
    <row r="675" spans="2:7" ht="15.75" customHeight="1" x14ac:dyDescent="0.25">
      <c r="B675" s="2"/>
      <c r="C675" s="2"/>
      <c r="D675" s="2"/>
      <c r="E675" s="2"/>
      <c r="F675" s="2"/>
      <c r="G675" s="2"/>
    </row>
    <row r="676" spans="2:7" ht="15.75" customHeight="1" x14ac:dyDescent="0.25">
      <c r="B676" s="2"/>
      <c r="C676" s="2"/>
      <c r="D676" s="2"/>
      <c r="E676" s="2"/>
      <c r="F676" s="2"/>
      <c r="G676" s="2"/>
    </row>
    <row r="677" spans="2:7" ht="15.75" customHeight="1" x14ac:dyDescent="0.25">
      <c r="B677" s="2"/>
      <c r="C677" s="2"/>
      <c r="D677" s="2"/>
      <c r="E677" s="2"/>
      <c r="F677" s="2"/>
      <c r="G677" s="2"/>
    </row>
    <row r="678" spans="2:7" ht="15.75" customHeight="1" x14ac:dyDescent="0.25">
      <c r="B678" s="2"/>
      <c r="C678" s="2"/>
      <c r="D678" s="2"/>
      <c r="E678" s="2"/>
      <c r="F678" s="2"/>
      <c r="G678" s="2"/>
    </row>
    <row r="679" spans="2:7" ht="15.75" customHeight="1" x14ac:dyDescent="0.25">
      <c r="B679" s="2"/>
      <c r="C679" s="2"/>
      <c r="D679" s="2"/>
      <c r="E679" s="2"/>
      <c r="F679" s="2"/>
      <c r="G679" s="2"/>
    </row>
    <row r="680" spans="2:7" ht="15.75" customHeight="1" x14ac:dyDescent="0.25">
      <c r="B680" s="2"/>
      <c r="C680" s="2"/>
      <c r="D680" s="2"/>
      <c r="E680" s="2"/>
      <c r="F680" s="2"/>
      <c r="G680" s="2"/>
    </row>
    <row r="681" spans="2:7" ht="15.75" customHeight="1" x14ac:dyDescent="0.25">
      <c r="B681" s="2"/>
      <c r="C681" s="2"/>
      <c r="D681" s="2"/>
      <c r="E681" s="2"/>
      <c r="F681" s="2"/>
      <c r="G681" s="2"/>
    </row>
    <row r="682" spans="2:7" ht="15.75" customHeight="1" x14ac:dyDescent="0.25">
      <c r="B682" s="2"/>
      <c r="C682" s="2"/>
      <c r="D682" s="2"/>
      <c r="E682" s="2"/>
      <c r="F682" s="2"/>
      <c r="G682" s="2"/>
    </row>
    <row r="683" spans="2:7" ht="15.75" customHeight="1" x14ac:dyDescent="0.25">
      <c r="B683" s="2"/>
      <c r="C683" s="2"/>
      <c r="D683" s="2"/>
      <c r="E683" s="2"/>
      <c r="F683" s="2"/>
      <c r="G683" s="2"/>
    </row>
    <row r="684" spans="2:7" ht="15.75" customHeight="1" x14ac:dyDescent="0.25">
      <c r="B684" s="2"/>
      <c r="C684" s="2"/>
      <c r="D684" s="2"/>
      <c r="E684" s="2"/>
      <c r="F684" s="2"/>
      <c r="G684" s="2"/>
    </row>
    <row r="685" spans="2:7" ht="15.75" customHeight="1" x14ac:dyDescent="0.25">
      <c r="B685" s="2"/>
      <c r="C685" s="2"/>
      <c r="D685" s="2"/>
      <c r="E685" s="2"/>
      <c r="F685" s="2"/>
      <c r="G685" s="2"/>
    </row>
    <row r="686" spans="2:7" ht="15.75" customHeight="1" x14ac:dyDescent="0.25">
      <c r="B686" s="2"/>
      <c r="C686" s="2"/>
      <c r="D686" s="2"/>
      <c r="E686" s="2"/>
      <c r="F686" s="2"/>
      <c r="G686" s="2"/>
    </row>
    <row r="687" spans="2:7" ht="15.75" customHeight="1" x14ac:dyDescent="0.25">
      <c r="B687" s="2"/>
      <c r="C687" s="2"/>
      <c r="D687" s="2"/>
      <c r="E687" s="2"/>
      <c r="F687" s="2"/>
      <c r="G687" s="2"/>
    </row>
    <row r="688" spans="2:7" ht="15.75" customHeight="1" x14ac:dyDescent="0.25">
      <c r="B688" s="2"/>
      <c r="C688" s="2"/>
      <c r="D688" s="2"/>
      <c r="E688" s="2"/>
      <c r="F688" s="2"/>
      <c r="G688" s="2"/>
    </row>
    <row r="689" spans="2:7" ht="15.75" customHeight="1" x14ac:dyDescent="0.25">
      <c r="B689" s="2"/>
      <c r="C689" s="2"/>
      <c r="D689" s="2"/>
      <c r="E689" s="2"/>
      <c r="F689" s="2"/>
      <c r="G689" s="2"/>
    </row>
    <row r="690" spans="2:7" ht="15.75" customHeight="1" x14ac:dyDescent="0.25">
      <c r="B690" s="2"/>
      <c r="C690" s="2"/>
      <c r="D690" s="2"/>
      <c r="E690" s="2"/>
      <c r="F690" s="2"/>
      <c r="G690" s="2"/>
    </row>
    <row r="691" spans="2:7" ht="15.75" customHeight="1" x14ac:dyDescent="0.25">
      <c r="B691" s="2"/>
      <c r="C691" s="2"/>
      <c r="D691" s="2"/>
      <c r="E691" s="2"/>
      <c r="F691" s="2"/>
      <c r="G691" s="2"/>
    </row>
    <row r="692" spans="2:7" ht="15.75" customHeight="1" x14ac:dyDescent="0.25">
      <c r="B692" s="2"/>
      <c r="C692" s="2"/>
      <c r="D692" s="2"/>
      <c r="E692" s="2"/>
      <c r="F692" s="2"/>
      <c r="G692" s="2"/>
    </row>
    <row r="693" spans="2:7" ht="15.75" customHeight="1" x14ac:dyDescent="0.25">
      <c r="B693" s="2"/>
      <c r="C693" s="2"/>
      <c r="D693" s="2"/>
      <c r="E693" s="2"/>
      <c r="F693" s="2"/>
      <c r="G693" s="2"/>
    </row>
    <row r="694" spans="2:7" ht="15.75" customHeight="1" x14ac:dyDescent="0.25">
      <c r="B694" s="2"/>
      <c r="C694" s="2"/>
      <c r="D694" s="2"/>
      <c r="E694" s="2"/>
      <c r="F694" s="2"/>
      <c r="G694" s="2"/>
    </row>
    <row r="695" spans="2:7" ht="15.75" customHeight="1" x14ac:dyDescent="0.25">
      <c r="B695" s="2"/>
      <c r="C695" s="2"/>
      <c r="D695" s="2"/>
      <c r="E695" s="2"/>
      <c r="F695" s="2"/>
      <c r="G695" s="2"/>
    </row>
    <row r="696" spans="2:7" ht="15.75" customHeight="1" x14ac:dyDescent="0.25">
      <c r="B696" s="2"/>
      <c r="C696" s="2"/>
      <c r="D696" s="2"/>
      <c r="E696" s="2"/>
      <c r="F696" s="2"/>
      <c r="G696" s="2"/>
    </row>
    <row r="697" spans="2:7" ht="15.75" customHeight="1" x14ac:dyDescent="0.25">
      <c r="B697" s="2"/>
      <c r="C697" s="2"/>
      <c r="D697" s="2"/>
      <c r="E697" s="2"/>
      <c r="F697" s="2"/>
      <c r="G697" s="2"/>
    </row>
    <row r="698" spans="2:7" ht="15.75" customHeight="1" x14ac:dyDescent="0.25">
      <c r="B698" s="2"/>
      <c r="C698" s="2"/>
      <c r="D698" s="2"/>
      <c r="E698" s="2"/>
      <c r="F698" s="2"/>
      <c r="G698" s="2"/>
    </row>
    <row r="699" spans="2:7" ht="15.75" customHeight="1" x14ac:dyDescent="0.25">
      <c r="B699" s="2"/>
      <c r="C699" s="2"/>
      <c r="D699" s="2"/>
      <c r="E699" s="2"/>
      <c r="F699" s="2"/>
      <c r="G699" s="2"/>
    </row>
    <row r="700" spans="2:7" ht="15.75" customHeight="1" x14ac:dyDescent="0.25">
      <c r="B700" s="2"/>
      <c r="C700" s="2"/>
      <c r="D700" s="2"/>
      <c r="E700" s="2"/>
      <c r="F700" s="2"/>
      <c r="G700" s="2"/>
    </row>
    <row r="701" spans="2:7" ht="15.75" customHeight="1" x14ac:dyDescent="0.25">
      <c r="B701" s="2"/>
      <c r="C701" s="2"/>
      <c r="D701" s="2"/>
      <c r="E701" s="2"/>
      <c r="F701" s="2"/>
      <c r="G701" s="2"/>
    </row>
    <row r="702" spans="2:7" ht="15.75" customHeight="1" x14ac:dyDescent="0.25">
      <c r="B702" s="2"/>
      <c r="C702" s="2"/>
      <c r="D702" s="2"/>
      <c r="E702" s="2"/>
      <c r="F702" s="2"/>
      <c r="G702" s="2"/>
    </row>
    <row r="703" spans="2:7" ht="15.75" customHeight="1" x14ac:dyDescent="0.25">
      <c r="B703" s="2"/>
      <c r="C703" s="2"/>
      <c r="D703" s="2"/>
      <c r="E703" s="2"/>
      <c r="F703" s="2"/>
      <c r="G703" s="2"/>
    </row>
    <row r="704" spans="2:7" ht="15.75" customHeight="1" x14ac:dyDescent="0.25">
      <c r="B704" s="2"/>
      <c r="C704" s="2"/>
      <c r="D704" s="2"/>
      <c r="E704" s="2"/>
      <c r="F704" s="2"/>
      <c r="G704" s="2"/>
    </row>
    <row r="705" spans="2:7" ht="15.75" customHeight="1" x14ac:dyDescent="0.25">
      <c r="B705" s="2"/>
      <c r="C705" s="2"/>
      <c r="D705" s="2"/>
      <c r="E705" s="2"/>
      <c r="F705" s="2"/>
      <c r="G705" s="2"/>
    </row>
    <row r="706" spans="2:7" ht="15.75" customHeight="1" x14ac:dyDescent="0.25">
      <c r="B706" s="2"/>
      <c r="C706" s="2"/>
      <c r="D706" s="2"/>
      <c r="E706" s="2"/>
      <c r="F706" s="2"/>
      <c r="G706" s="2"/>
    </row>
    <row r="707" spans="2:7" ht="15.75" customHeight="1" x14ac:dyDescent="0.25">
      <c r="B707" s="2"/>
      <c r="C707" s="2"/>
      <c r="D707" s="2"/>
      <c r="E707" s="2"/>
      <c r="F707" s="2"/>
      <c r="G707" s="2"/>
    </row>
    <row r="708" spans="2:7" ht="15.75" customHeight="1" x14ac:dyDescent="0.25">
      <c r="B708" s="2"/>
      <c r="C708" s="2"/>
      <c r="D708" s="2"/>
      <c r="E708" s="2"/>
      <c r="F708" s="2"/>
      <c r="G708" s="2"/>
    </row>
    <row r="709" spans="2:7" ht="15.75" customHeight="1" x14ac:dyDescent="0.25">
      <c r="B709" s="2"/>
      <c r="C709" s="2"/>
      <c r="D709" s="2"/>
      <c r="E709" s="2"/>
      <c r="F709" s="2"/>
      <c r="G709" s="2"/>
    </row>
    <row r="710" spans="2:7" ht="15.75" customHeight="1" x14ac:dyDescent="0.25">
      <c r="B710" s="2"/>
      <c r="C710" s="2"/>
      <c r="D710" s="2"/>
      <c r="E710" s="2"/>
      <c r="F710" s="2"/>
      <c r="G710" s="2"/>
    </row>
    <row r="711" spans="2:7" ht="15.75" customHeight="1" x14ac:dyDescent="0.25">
      <c r="B711" s="2"/>
      <c r="C711" s="2"/>
      <c r="D711" s="2"/>
      <c r="E711" s="2"/>
      <c r="F711" s="2"/>
      <c r="G711" s="2"/>
    </row>
    <row r="712" spans="2:7" ht="15.75" customHeight="1" x14ac:dyDescent="0.25">
      <c r="B712" s="2"/>
      <c r="C712" s="2"/>
      <c r="D712" s="2"/>
      <c r="E712" s="2"/>
      <c r="F712" s="2"/>
      <c r="G712" s="2"/>
    </row>
    <row r="713" spans="2:7" ht="15.75" customHeight="1" x14ac:dyDescent="0.25">
      <c r="B713" s="2"/>
      <c r="C713" s="2"/>
      <c r="D713" s="2"/>
      <c r="E713" s="2"/>
      <c r="F713" s="2"/>
      <c r="G713" s="2"/>
    </row>
    <row r="714" spans="2:7" ht="15.75" customHeight="1" x14ac:dyDescent="0.25">
      <c r="B714" s="2"/>
      <c r="C714" s="2"/>
      <c r="D714" s="2"/>
      <c r="E714" s="2"/>
      <c r="F714" s="2"/>
      <c r="G714" s="2"/>
    </row>
    <row r="715" spans="2:7" ht="15.75" customHeight="1" x14ac:dyDescent="0.25">
      <c r="B715" s="2"/>
      <c r="C715" s="2"/>
      <c r="D715" s="2"/>
      <c r="E715" s="2"/>
      <c r="F715" s="2"/>
      <c r="G715" s="2"/>
    </row>
    <row r="716" spans="2:7" ht="15.75" customHeight="1" x14ac:dyDescent="0.25">
      <c r="B716" s="2"/>
      <c r="C716" s="2"/>
      <c r="D716" s="2"/>
      <c r="E716" s="2"/>
      <c r="F716" s="2"/>
      <c r="G716" s="2"/>
    </row>
    <row r="717" spans="2:7" ht="15.75" customHeight="1" x14ac:dyDescent="0.25">
      <c r="B717" s="2"/>
      <c r="C717" s="2"/>
      <c r="D717" s="2"/>
      <c r="E717" s="2"/>
      <c r="F717" s="2"/>
      <c r="G717" s="2"/>
    </row>
    <row r="718" spans="2:7" ht="15.75" customHeight="1" x14ac:dyDescent="0.25">
      <c r="B718" s="2"/>
      <c r="C718" s="2"/>
      <c r="D718" s="2"/>
      <c r="E718" s="2"/>
      <c r="F718" s="2"/>
      <c r="G718" s="2"/>
    </row>
    <row r="719" spans="2:7" ht="15.75" customHeight="1" x14ac:dyDescent="0.25">
      <c r="B719" s="2"/>
      <c r="C719" s="2"/>
      <c r="D719" s="2"/>
      <c r="E719" s="2"/>
      <c r="F719" s="2"/>
      <c r="G719" s="2"/>
    </row>
    <row r="720" spans="2:7" ht="15.75" customHeight="1" x14ac:dyDescent="0.25">
      <c r="B720" s="2"/>
      <c r="C720" s="2"/>
      <c r="D720" s="2"/>
      <c r="E720" s="2"/>
      <c r="F720" s="2"/>
      <c r="G720" s="2"/>
    </row>
    <row r="721" spans="2:7" ht="15.75" customHeight="1" x14ac:dyDescent="0.25">
      <c r="B721" s="2"/>
      <c r="C721" s="2"/>
      <c r="D721" s="2"/>
      <c r="E721" s="2"/>
      <c r="F721" s="2"/>
      <c r="G721" s="2"/>
    </row>
    <row r="722" spans="2:7" ht="15.75" customHeight="1" x14ac:dyDescent="0.25">
      <c r="B722" s="2"/>
      <c r="C722" s="2"/>
      <c r="D722" s="2"/>
      <c r="E722" s="2"/>
      <c r="F722" s="2"/>
      <c r="G722" s="2"/>
    </row>
    <row r="723" spans="2:7" ht="15.75" customHeight="1" x14ac:dyDescent="0.25">
      <c r="B723" s="2"/>
      <c r="C723" s="2"/>
      <c r="D723" s="2"/>
      <c r="E723" s="2"/>
      <c r="F723" s="2"/>
      <c r="G723" s="2"/>
    </row>
    <row r="724" spans="2:7" ht="15.75" customHeight="1" x14ac:dyDescent="0.25">
      <c r="B724" s="2"/>
      <c r="C724" s="2"/>
      <c r="D724" s="2"/>
      <c r="E724" s="2"/>
      <c r="F724" s="2"/>
      <c r="G724" s="2"/>
    </row>
    <row r="725" spans="2:7" ht="15.75" customHeight="1" x14ac:dyDescent="0.25">
      <c r="B725" s="2"/>
      <c r="C725" s="2"/>
      <c r="D725" s="2"/>
      <c r="E725" s="2"/>
      <c r="F725" s="2"/>
      <c r="G725" s="2"/>
    </row>
    <row r="726" spans="2:7" ht="15.75" customHeight="1" x14ac:dyDescent="0.25">
      <c r="B726" s="2"/>
      <c r="C726" s="2"/>
      <c r="D726" s="2"/>
      <c r="E726" s="2"/>
      <c r="F726" s="2"/>
      <c r="G726" s="2"/>
    </row>
    <row r="727" spans="2:7" ht="15.75" customHeight="1" x14ac:dyDescent="0.25">
      <c r="B727" s="2"/>
      <c r="C727" s="2"/>
      <c r="D727" s="2"/>
      <c r="E727" s="2"/>
      <c r="F727" s="2"/>
      <c r="G727" s="2"/>
    </row>
    <row r="728" spans="2:7" ht="15.75" customHeight="1" x14ac:dyDescent="0.25">
      <c r="B728" s="2"/>
      <c r="C728" s="2"/>
      <c r="D728" s="2"/>
      <c r="E728" s="2"/>
      <c r="F728" s="2"/>
      <c r="G728" s="2"/>
    </row>
    <row r="729" spans="2:7" ht="15.75" customHeight="1" x14ac:dyDescent="0.25">
      <c r="B729" s="2"/>
      <c r="C729" s="2"/>
      <c r="D729" s="2"/>
      <c r="E729" s="2"/>
      <c r="F729" s="2"/>
      <c r="G729" s="2"/>
    </row>
    <row r="730" spans="2:7" ht="15.75" customHeight="1" x14ac:dyDescent="0.25">
      <c r="B730" s="2"/>
      <c r="C730" s="2"/>
      <c r="D730" s="2"/>
      <c r="E730" s="2"/>
      <c r="F730" s="2"/>
      <c r="G730" s="2"/>
    </row>
    <row r="731" spans="2:7" ht="15.75" customHeight="1" x14ac:dyDescent="0.25">
      <c r="B731" s="2"/>
      <c r="C731" s="2"/>
      <c r="D731" s="2"/>
      <c r="E731" s="2"/>
      <c r="F731" s="2"/>
      <c r="G731" s="2"/>
    </row>
    <row r="732" spans="2:7" ht="15.75" customHeight="1" x14ac:dyDescent="0.25">
      <c r="B732" s="2"/>
      <c r="C732" s="2"/>
      <c r="D732" s="2"/>
      <c r="E732" s="2"/>
      <c r="F732" s="2"/>
      <c r="G732" s="2"/>
    </row>
    <row r="733" spans="2:7" ht="15.75" customHeight="1" x14ac:dyDescent="0.25">
      <c r="B733" s="2"/>
      <c r="C733" s="2"/>
      <c r="D733" s="2"/>
      <c r="E733" s="2"/>
      <c r="F733" s="2"/>
      <c r="G733" s="2"/>
    </row>
    <row r="734" spans="2:7" ht="15.75" customHeight="1" x14ac:dyDescent="0.25">
      <c r="B734" s="2"/>
      <c r="C734" s="2"/>
      <c r="D734" s="2"/>
      <c r="E734" s="2"/>
      <c r="F734" s="2"/>
      <c r="G734" s="2"/>
    </row>
    <row r="735" spans="2:7" ht="15.75" customHeight="1" x14ac:dyDescent="0.25">
      <c r="B735" s="2"/>
      <c r="C735" s="2"/>
      <c r="D735" s="2"/>
      <c r="E735" s="2"/>
      <c r="F735" s="2"/>
      <c r="G735" s="2"/>
    </row>
    <row r="736" spans="2:7" ht="15.75" customHeight="1" x14ac:dyDescent="0.25">
      <c r="B736" s="2"/>
      <c r="C736" s="2"/>
      <c r="D736" s="2"/>
      <c r="E736" s="2"/>
      <c r="F736" s="2"/>
      <c r="G736" s="2"/>
    </row>
    <row r="737" spans="2:7" ht="15.75" customHeight="1" x14ac:dyDescent="0.25">
      <c r="B737" s="2"/>
      <c r="C737" s="2"/>
      <c r="D737" s="2"/>
      <c r="E737" s="2"/>
      <c r="F737" s="2"/>
      <c r="G737" s="2"/>
    </row>
    <row r="738" spans="2:7" ht="15.75" customHeight="1" x14ac:dyDescent="0.25">
      <c r="B738" s="2"/>
      <c r="C738" s="2"/>
      <c r="D738" s="2"/>
      <c r="E738" s="2"/>
      <c r="F738" s="2"/>
      <c r="G738" s="2"/>
    </row>
    <row r="739" spans="2:7" ht="15.75" customHeight="1" x14ac:dyDescent="0.25">
      <c r="B739" s="2"/>
      <c r="C739" s="2"/>
      <c r="D739" s="2"/>
      <c r="E739" s="2"/>
      <c r="F739" s="2"/>
      <c r="G739" s="2"/>
    </row>
    <row r="740" spans="2:7" ht="15.75" customHeight="1" x14ac:dyDescent="0.25">
      <c r="B740" s="2"/>
      <c r="C740" s="2"/>
      <c r="D740" s="2"/>
      <c r="E740" s="2"/>
      <c r="F740" s="2"/>
      <c r="G740" s="2"/>
    </row>
    <row r="741" spans="2:7" ht="15.75" customHeight="1" x14ac:dyDescent="0.25">
      <c r="B741" s="2"/>
      <c r="C741" s="2"/>
      <c r="D741" s="2"/>
      <c r="E741" s="2"/>
      <c r="F741" s="2"/>
      <c r="G741" s="2"/>
    </row>
    <row r="742" spans="2:7" ht="15.75" customHeight="1" x14ac:dyDescent="0.25">
      <c r="B742" s="2"/>
      <c r="C742" s="2"/>
      <c r="D742" s="2"/>
      <c r="E742" s="2"/>
      <c r="F742" s="2"/>
      <c r="G742" s="2"/>
    </row>
    <row r="743" spans="2:7" ht="15.75" customHeight="1" x14ac:dyDescent="0.25">
      <c r="B743" s="2"/>
      <c r="C743" s="2"/>
      <c r="D743" s="2"/>
      <c r="E743" s="2"/>
      <c r="F743" s="2"/>
      <c r="G743" s="2"/>
    </row>
    <row r="744" spans="2:7" ht="15.75" customHeight="1" x14ac:dyDescent="0.25">
      <c r="B744" s="2"/>
      <c r="C744" s="2"/>
      <c r="D744" s="2"/>
      <c r="E744" s="2"/>
      <c r="F744" s="2"/>
      <c r="G744" s="2"/>
    </row>
    <row r="745" spans="2:7" ht="15.75" customHeight="1" x14ac:dyDescent="0.25">
      <c r="B745" s="2"/>
      <c r="C745" s="2"/>
      <c r="D745" s="2"/>
      <c r="E745" s="2"/>
      <c r="F745" s="2"/>
      <c r="G745" s="2"/>
    </row>
    <row r="746" spans="2:7" ht="15.75" customHeight="1" x14ac:dyDescent="0.25">
      <c r="B746" s="2"/>
      <c r="C746" s="2"/>
      <c r="D746" s="2"/>
      <c r="E746" s="2"/>
      <c r="F746" s="2"/>
      <c r="G746" s="2"/>
    </row>
    <row r="747" spans="2:7" ht="15.75" customHeight="1" x14ac:dyDescent="0.25">
      <c r="B747" s="2"/>
      <c r="C747" s="2"/>
      <c r="D747" s="2"/>
      <c r="E747" s="2"/>
      <c r="F747" s="2"/>
      <c r="G747" s="2"/>
    </row>
    <row r="748" spans="2:7" ht="15.75" customHeight="1" x14ac:dyDescent="0.25">
      <c r="B748" s="2"/>
      <c r="C748" s="2"/>
      <c r="D748" s="2"/>
      <c r="E748" s="2"/>
      <c r="F748" s="2"/>
      <c r="G748" s="2"/>
    </row>
    <row r="749" spans="2:7" ht="15.75" customHeight="1" x14ac:dyDescent="0.25">
      <c r="B749" s="2"/>
      <c r="C749" s="2"/>
      <c r="D749" s="2"/>
      <c r="E749" s="2"/>
      <c r="F749" s="2"/>
      <c r="G749" s="2"/>
    </row>
    <row r="750" spans="2:7" ht="15.75" customHeight="1" x14ac:dyDescent="0.25">
      <c r="B750" s="2"/>
      <c r="C750" s="2"/>
      <c r="D750" s="2"/>
      <c r="E750" s="2"/>
      <c r="F750" s="2"/>
      <c r="G750" s="2"/>
    </row>
    <row r="751" spans="2:7" ht="15.75" customHeight="1" x14ac:dyDescent="0.25">
      <c r="B751" s="2"/>
      <c r="C751" s="2"/>
      <c r="D751" s="2"/>
      <c r="E751" s="2"/>
      <c r="F751" s="2"/>
      <c r="G751" s="2"/>
    </row>
    <row r="752" spans="2:7" ht="15.75" customHeight="1" x14ac:dyDescent="0.25">
      <c r="B752" s="2"/>
      <c r="C752" s="2"/>
      <c r="D752" s="2"/>
      <c r="E752" s="2"/>
      <c r="F752" s="2"/>
      <c r="G752" s="2"/>
    </row>
    <row r="753" spans="2:7" ht="15.75" customHeight="1" x14ac:dyDescent="0.25">
      <c r="B753" s="2"/>
      <c r="C753" s="2"/>
      <c r="D753" s="2"/>
      <c r="E753" s="2"/>
      <c r="F753" s="2"/>
      <c r="G753" s="2"/>
    </row>
    <row r="754" spans="2:7" ht="15.75" customHeight="1" x14ac:dyDescent="0.25">
      <c r="B754" s="2"/>
      <c r="C754" s="2"/>
      <c r="D754" s="2"/>
      <c r="E754" s="2"/>
      <c r="F754" s="2"/>
      <c r="G754" s="2"/>
    </row>
    <row r="755" spans="2:7" ht="15.75" customHeight="1" x14ac:dyDescent="0.25">
      <c r="B755" s="2"/>
      <c r="C755" s="2"/>
      <c r="D755" s="2"/>
      <c r="E755" s="2"/>
      <c r="F755" s="2"/>
      <c r="G755" s="2"/>
    </row>
    <row r="756" spans="2:7" ht="15.75" customHeight="1" x14ac:dyDescent="0.25">
      <c r="B756" s="2"/>
      <c r="C756" s="2"/>
      <c r="D756" s="2"/>
      <c r="E756" s="2"/>
      <c r="F756" s="2"/>
      <c r="G756" s="2"/>
    </row>
    <row r="757" spans="2:7" ht="15.75" customHeight="1" x14ac:dyDescent="0.25">
      <c r="B757" s="2"/>
      <c r="C757" s="2"/>
      <c r="D757" s="2"/>
      <c r="E757" s="2"/>
      <c r="F757" s="2"/>
      <c r="G757" s="2"/>
    </row>
    <row r="758" spans="2:7" ht="15.75" customHeight="1" x14ac:dyDescent="0.25">
      <c r="B758" s="2"/>
      <c r="C758" s="2"/>
      <c r="D758" s="2"/>
      <c r="E758" s="2"/>
      <c r="F758" s="2"/>
      <c r="G758" s="2"/>
    </row>
    <row r="759" spans="2:7" ht="15.75" customHeight="1" x14ac:dyDescent="0.25">
      <c r="B759" s="2"/>
      <c r="C759" s="2"/>
      <c r="D759" s="2"/>
      <c r="E759" s="2"/>
      <c r="F759" s="2"/>
      <c r="G759" s="2"/>
    </row>
    <row r="760" spans="2:7" ht="15.75" customHeight="1" x14ac:dyDescent="0.25">
      <c r="B760" s="2"/>
      <c r="C760" s="2"/>
      <c r="D760" s="2"/>
      <c r="E760" s="2"/>
      <c r="F760" s="2"/>
      <c r="G760" s="2"/>
    </row>
    <row r="761" spans="2:7" ht="15.75" customHeight="1" x14ac:dyDescent="0.25">
      <c r="B761" s="2"/>
      <c r="C761" s="2"/>
      <c r="D761" s="2"/>
      <c r="E761" s="2"/>
      <c r="F761" s="2"/>
      <c r="G761" s="2"/>
    </row>
    <row r="762" spans="2:7" ht="15.75" customHeight="1" x14ac:dyDescent="0.25">
      <c r="B762" s="2"/>
      <c r="C762" s="2"/>
      <c r="D762" s="2"/>
      <c r="E762" s="2"/>
      <c r="F762" s="2"/>
      <c r="G762" s="2"/>
    </row>
    <row r="763" spans="2:7" ht="15.75" customHeight="1" x14ac:dyDescent="0.25">
      <c r="B763" s="2"/>
      <c r="C763" s="2"/>
      <c r="D763" s="2"/>
      <c r="E763" s="2"/>
      <c r="F763" s="2"/>
      <c r="G763" s="2"/>
    </row>
    <row r="764" spans="2:7" ht="15.75" customHeight="1" x14ac:dyDescent="0.25">
      <c r="B764" s="2"/>
      <c r="C764" s="2"/>
      <c r="D764" s="2"/>
      <c r="E764" s="2"/>
      <c r="F764" s="2"/>
      <c r="G764" s="2"/>
    </row>
    <row r="765" spans="2:7" ht="15.75" customHeight="1" x14ac:dyDescent="0.25">
      <c r="B765" s="2"/>
      <c r="C765" s="2"/>
      <c r="D765" s="2"/>
      <c r="E765" s="2"/>
      <c r="F765" s="2"/>
      <c r="G765" s="2"/>
    </row>
    <row r="766" spans="2:7" ht="15.75" customHeight="1" x14ac:dyDescent="0.25">
      <c r="B766" s="2"/>
      <c r="C766" s="2"/>
      <c r="D766" s="2"/>
      <c r="E766" s="2"/>
      <c r="F766" s="2"/>
      <c r="G766" s="2"/>
    </row>
    <row r="767" spans="2:7" ht="15.75" customHeight="1" x14ac:dyDescent="0.25">
      <c r="B767" s="2"/>
      <c r="C767" s="2"/>
      <c r="D767" s="2"/>
      <c r="E767" s="2"/>
      <c r="F767" s="2"/>
      <c r="G767" s="2"/>
    </row>
    <row r="768" spans="2:7" ht="15.75" customHeight="1" x14ac:dyDescent="0.25">
      <c r="B768" s="2"/>
      <c r="C768" s="2"/>
      <c r="D768" s="2"/>
      <c r="E768" s="2"/>
      <c r="F768" s="2"/>
      <c r="G768" s="2"/>
    </row>
    <row r="769" spans="2:7" ht="15.75" customHeight="1" x14ac:dyDescent="0.25">
      <c r="B769" s="2"/>
      <c r="C769" s="2"/>
      <c r="D769" s="2"/>
      <c r="E769" s="2"/>
      <c r="F769" s="2"/>
      <c r="G769" s="2"/>
    </row>
    <row r="770" spans="2:7" ht="15.75" customHeight="1" x14ac:dyDescent="0.25">
      <c r="B770" s="2"/>
      <c r="C770" s="2"/>
      <c r="D770" s="2"/>
      <c r="E770" s="2"/>
      <c r="F770" s="2"/>
      <c r="G770" s="2"/>
    </row>
    <row r="771" spans="2:7" ht="15.75" customHeight="1" x14ac:dyDescent="0.25">
      <c r="B771" s="2"/>
      <c r="C771" s="2"/>
      <c r="D771" s="2"/>
      <c r="E771" s="2"/>
      <c r="F771" s="2"/>
      <c r="G771" s="2"/>
    </row>
    <row r="772" spans="2:7" ht="15.75" customHeight="1" x14ac:dyDescent="0.25">
      <c r="B772" s="2"/>
      <c r="C772" s="2"/>
      <c r="D772" s="2"/>
      <c r="E772" s="2"/>
      <c r="F772" s="2"/>
      <c r="G772" s="2"/>
    </row>
    <row r="773" spans="2:7" ht="15.75" customHeight="1" x14ac:dyDescent="0.25">
      <c r="B773" s="2"/>
      <c r="C773" s="2"/>
      <c r="D773" s="2"/>
      <c r="E773" s="2"/>
      <c r="F773" s="2"/>
      <c r="G773" s="2"/>
    </row>
    <row r="774" spans="2:7" ht="15.75" customHeight="1" x14ac:dyDescent="0.25">
      <c r="B774" s="2"/>
      <c r="C774" s="2"/>
      <c r="D774" s="2"/>
      <c r="E774" s="2"/>
      <c r="F774" s="2"/>
      <c r="G774" s="2"/>
    </row>
    <row r="775" spans="2:7" ht="15.75" customHeight="1" x14ac:dyDescent="0.25">
      <c r="B775" s="2"/>
      <c r="C775" s="2"/>
      <c r="D775" s="2"/>
      <c r="E775" s="2"/>
      <c r="F775" s="2"/>
      <c r="G775" s="2"/>
    </row>
    <row r="776" spans="2:7" ht="15.75" customHeight="1" x14ac:dyDescent="0.25">
      <c r="B776" s="2"/>
      <c r="C776" s="2"/>
      <c r="D776" s="2"/>
      <c r="E776" s="2"/>
      <c r="F776" s="2"/>
      <c r="G776" s="2"/>
    </row>
    <row r="777" spans="2:7" ht="15.75" customHeight="1" x14ac:dyDescent="0.25">
      <c r="B777" s="2"/>
      <c r="C777" s="2"/>
      <c r="D777" s="2"/>
      <c r="E777" s="2"/>
      <c r="F777" s="2"/>
      <c r="G777" s="2"/>
    </row>
    <row r="778" spans="2:7" ht="15.75" customHeight="1" x14ac:dyDescent="0.25">
      <c r="B778" s="2"/>
      <c r="C778" s="2"/>
      <c r="D778" s="2"/>
      <c r="E778" s="2"/>
      <c r="F778" s="2"/>
      <c r="G778" s="2"/>
    </row>
    <row r="779" spans="2:7" ht="15.75" customHeight="1" x14ac:dyDescent="0.25">
      <c r="B779" s="2"/>
      <c r="C779" s="2"/>
      <c r="D779" s="2"/>
      <c r="E779" s="2"/>
      <c r="F779" s="2"/>
      <c r="G779" s="2"/>
    </row>
    <row r="780" spans="2:7" ht="15.75" customHeight="1" x14ac:dyDescent="0.25">
      <c r="B780" s="2"/>
      <c r="C780" s="2"/>
      <c r="D780" s="2"/>
      <c r="E780" s="2"/>
      <c r="F780" s="2"/>
      <c r="G780" s="2"/>
    </row>
    <row r="781" spans="2:7" ht="15.75" customHeight="1" x14ac:dyDescent="0.25">
      <c r="B781" s="2"/>
      <c r="C781" s="2"/>
      <c r="D781" s="2"/>
      <c r="E781" s="2"/>
      <c r="F781" s="2"/>
      <c r="G781" s="2"/>
    </row>
    <row r="782" spans="2:7" ht="15.75" customHeight="1" x14ac:dyDescent="0.25">
      <c r="B782" s="2"/>
      <c r="C782" s="2"/>
      <c r="D782" s="2"/>
      <c r="E782" s="2"/>
      <c r="F782" s="2"/>
      <c r="G782" s="2"/>
    </row>
    <row r="783" spans="2:7" ht="15.75" customHeight="1" x14ac:dyDescent="0.25">
      <c r="B783" s="2"/>
      <c r="C783" s="2"/>
      <c r="D783" s="2"/>
      <c r="E783" s="2"/>
      <c r="F783" s="2"/>
      <c r="G783" s="2"/>
    </row>
    <row r="784" spans="2:7" ht="15.75" customHeight="1" x14ac:dyDescent="0.25">
      <c r="B784" s="2"/>
      <c r="C784" s="2"/>
      <c r="D784" s="2"/>
      <c r="E784" s="2"/>
      <c r="F784" s="2"/>
      <c r="G784" s="2"/>
    </row>
    <row r="785" spans="2:7" ht="15.75" customHeight="1" x14ac:dyDescent="0.25">
      <c r="B785" s="2"/>
      <c r="C785" s="2"/>
      <c r="D785" s="2"/>
      <c r="E785" s="2"/>
      <c r="F785" s="2"/>
      <c r="G785" s="2"/>
    </row>
    <row r="786" spans="2:7" ht="15.75" customHeight="1" x14ac:dyDescent="0.25">
      <c r="B786" s="2"/>
      <c r="C786" s="2"/>
      <c r="D786" s="2"/>
      <c r="E786" s="2"/>
      <c r="F786" s="2"/>
      <c r="G786" s="2"/>
    </row>
    <row r="787" spans="2:7" ht="15.75" customHeight="1" x14ac:dyDescent="0.25">
      <c r="B787" s="2"/>
      <c r="C787" s="2"/>
      <c r="D787" s="2"/>
      <c r="E787" s="2"/>
      <c r="F787" s="2"/>
      <c r="G787" s="2"/>
    </row>
    <row r="788" spans="2:7" ht="15.75" customHeight="1" x14ac:dyDescent="0.25">
      <c r="B788" s="2"/>
      <c r="C788" s="2"/>
      <c r="D788" s="2"/>
      <c r="E788" s="2"/>
      <c r="F788" s="2"/>
      <c r="G788" s="2"/>
    </row>
    <row r="789" spans="2:7" ht="15.75" customHeight="1" x14ac:dyDescent="0.25">
      <c r="B789" s="2"/>
      <c r="C789" s="2"/>
      <c r="D789" s="2"/>
      <c r="E789" s="2"/>
      <c r="F789" s="2"/>
      <c r="G789" s="2"/>
    </row>
    <row r="790" spans="2:7" ht="15.75" customHeight="1" x14ac:dyDescent="0.25">
      <c r="B790" s="2"/>
      <c r="C790" s="2"/>
      <c r="D790" s="2"/>
      <c r="E790" s="2"/>
      <c r="F790" s="2"/>
      <c r="G790" s="2"/>
    </row>
    <row r="791" spans="2:7" ht="15.75" customHeight="1" x14ac:dyDescent="0.25">
      <c r="B791" s="2"/>
      <c r="C791" s="2"/>
      <c r="D791" s="2"/>
      <c r="E791" s="2"/>
      <c r="F791" s="2"/>
      <c r="G791" s="2"/>
    </row>
    <row r="792" spans="2:7" ht="15.75" customHeight="1" x14ac:dyDescent="0.25">
      <c r="B792" s="2"/>
      <c r="C792" s="2"/>
      <c r="D792" s="2"/>
      <c r="E792" s="2"/>
      <c r="F792" s="2"/>
      <c r="G792" s="2"/>
    </row>
    <row r="793" spans="2:7" ht="15.75" customHeight="1" x14ac:dyDescent="0.25">
      <c r="B793" s="2"/>
      <c r="C793" s="2"/>
      <c r="D793" s="2"/>
      <c r="E793" s="2"/>
      <c r="F793" s="2"/>
      <c r="G793" s="2"/>
    </row>
    <row r="794" spans="2:7" ht="15.75" customHeight="1" x14ac:dyDescent="0.25">
      <c r="B794" s="2"/>
      <c r="C794" s="2"/>
      <c r="D794" s="2"/>
      <c r="E794" s="2"/>
      <c r="F794" s="2"/>
      <c r="G794" s="2"/>
    </row>
    <row r="795" spans="2:7" ht="15.75" customHeight="1" x14ac:dyDescent="0.25">
      <c r="B795" s="2"/>
      <c r="C795" s="2"/>
      <c r="D795" s="2"/>
      <c r="E795" s="2"/>
      <c r="F795" s="2"/>
      <c r="G795" s="2"/>
    </row>
    <row r="796" spans="2:7" ht="15.75" customHeight="1" x14ac:dyDescent="0.25">
      <c r="B796" s="2"/>
      <c r="C796" s="2"/>
      <c r="D796" s="2"/>
      <c r="E796" s="2"/>
      <c r="F796" s="2"/>
      <c r="G796" s="2"/>
    </row>
    <row r="797" spans="2:7" ht="15.75" customHeight="1" x14ac:dyDescent="0.25">
      <c r="B797" s="2"/>
      <c r="C797" s="2"/>
      <c r="D797" s="2"/>
      <c r="E797" s="2"/>
      <c r="F797" s="2"/>
      <c r="G797" s="2"/>
    </row>
    <row r="798" spans="2:7" ht="15.75" customHeight="1" x14ac:dyDescent="0.25">
      <c r="B798" s="2"/>
      <c r="C798" s="2"/>
      <c r="D798" s="2"/>
      <c r="E798" s="2"/>
      <c r="F798" s="2"/>
      <c r="G798" s="2"/>
    </row>
    <row r="799" spans="2:7" ht="15.75" customHeight="1" x14ac:dyDescent="0.25">
      <c r="B799" s="2"/>
      <c r="C799" s="2"/>
      <c r="D799" s="2"/>
      <c r="E799" s="2"/>
      <c r="F799" s="2"/>
      <c r="G799" s="2"/>
    </row>
    <row r="800" spans="2:7" ht="15.75" customHeight="1" x14ac:dyDescent="0.25">
      <c r="B800" s="2"/>
      <c r="C800" s="2"/>
      <c r="D800" s="2"/>
      <c r="E800" s="2"/>
      <c r="F800" s="2"/>
      <c r="G800" s="2"/>
    </row>
    <row r="801" spans="2:7" ht="15.75" customHeight="1" x14ac:dyDescent="0.25">
      <c r="B801" s="2"/>
      <c r="C801" s="2"/>
      <c r="D801" s="2"/>
      <c r="E801" s="2"/>
      <c r="F801" s="2"/>
      <c r="G801" s="2"/>
    </row>
    <row r="802" spans="2:7" ht="15.75" customHeight="1" x14ac:dyDescent="0.25">
      <c r="B802" s="2"/>
      <c r="C802" s="2"/>
      <c r="D802" s="2"/>
      <c r="E802" s="2"/>
      <c r="F802" s="2"/>
      <c r="G802" s="2"/>
    </row>
    <row r="803" spans="2:7" ht="15.75" customHeight="1" x14ac:dyDescent="0.25">
      <c r="B803" s="2"/>
      <c r="C803" s="2"/>
      <c r="D803" s="2"/>
      <c r="E803" s="2"/>
      <c r="F803" s="2"/>
      <c r="G803" s="2"/>
    </row>
    <row r="804" spans="2:7" ht="15.75" customHeight="1" x14ac:dyDescent="0.25">
      <c r="B804" s="2"/>
      <c r="C804" s="2"/>
      <c r="D804" s="2"/>
      <c r="E804" s="2"/>
      <c r="F804" s="2"/>
      <c r="G804" s="2"/>
    </row>
    <row r="805" spans="2:7" ht="15.75" customHeight="1" x14ac:dyDescent="0.25">
      <c r="B805" s="2"/>
      <c r="C805" s="2"/>
      <c r="D805" s="2"/>
      <c r="E805" s="2"/>
      <c r="F805" s="2"/>
      <c r="G805" s="2"/>
    </row>
    <row r="806" spans="2:7" ht="15.75" customHeight="1" x14ac:dyDescent="0.25">
      <c r="B806" s="2"/>
      <c r="C806" s="2"/>
      <c r="D806" s="2"/>
      <c r="E806" s="2"/>
      <c r="F806" s="2"/>
      <c r="G806" s="2"/>
    </row>
    <row r="807" spans="2:7" ht="15.75" customHeight="1" x14ac:dyDescent="0.25">
      <c r="B807" s="2"/>
      <c r="C807" s="2"/>
      <c r="D807" s="2"/>
      <c r="E807" s="2"/>
      <c r="F807" s="2"/>
      <c r="G807" s="2"/>
    </row>
    <row r="808" spans="2:7" ht="15.75" customHeight="1" x14ac:dyDescent="0.25">
      <c r="B808" s="2"/>
      <c r="C808" s="2"/>
      <c r="D808" s="2"/>
      <c r="E808" s="2"/>
      <c r="F808" s="2"/>
      <c r="G808" s="2"/>
    </row>
    <row r="809" spans="2:7" ht="15.75" customHeight="1" x14ac:dyDescent="0.25">
      <c r="B809" s="2"/>
      <c r="C809" s="2"/>
      <c r="D809" s="2"/>
      <c r="E809" s="2"/>
      <c r="F809" s="2"/>
      <c r="G809" s="2"/>
    </row>
    <row r="810" spans="2:7" ht="15.75" customHeight="1" x14ac:dyDescent="0.25">
      <c r="B810" s="2"/>
      <c r="C810" s="2"/>
      <c r="D810" s="2"/>
      <c r="E810" s="2"/>
      <c r="F810" s="2"/>
      <c r="G810" s="2"/>
    </row>
    <row r="811" spans="2:7" ht="15.75" customHeight="1" x14ac:dyDescent="0.25">
      <c r="B811" s="2"/>
      <c r="C811" s="2"/>
      <c r="D811" s="2"/>
      <c r="E811" s="2"/>
      <c r="F811" s="2"/>
      <c r="G811" s="2"/>
    </row>
    <row r="812" spans="2:7" ht="15.75" customHeight="1" x14ac:dyDescent="0.25">
      <c r="B812" s="2"/>
      <c r="C812" s="2"/>
      <c r="D812" s="2"/>
      <c r="E812" s="2"/>
      <c r="F812" s="2"/>
      <c r="G812" s="2"/>
    </row>
    <row r="813" spans="2:7" ht="15.75" customHeight="1" x14ac:dyDescent="0.25">
      <c r="B813" s="2"/>
      <c r="C813" s="2"/>
      <c r="D813" s="2"/>
      <c r="E813" s="2"/>
      <c r="F813" s="2"/>
      <c r="G813" s="2"/>
    </row>
    <row r="814" spans="2:7" ht="15.75" customHeight="1" x14ac:dyDescent="0.25">
      <c r="B814" s="2"/>
      <c r="C814" s="2"/>
      <c r="D814" s="2"/>
      <c r="E814" s="2"/>
      <c r="F814" s="2"/>
      <c r="G814" s="2"/>
    </row>
    <row r="815" spans="2:7" ht="15.75" customHeight="1" x14ac:dyDescent="0.25">
      <c r="B815" s="2"/>
      <c r="C815" s="2"/>
      <c r="D815" s="2"/>
      <c r="E815" s="2"/>
      <c r="F815" s="2"/>
      <c r="G815" s="2"/>
    </row>
    <row r="816" spans="2:7" ht="15.75" customHeight="1" x14ac:dyDescent="0.25">
      <c r="B816" s="2"/>
      <c r="C816" s="2"/>
      <c r="D816" s="2"/>
      <c r="E816" s="2"/>
      <c r="F816" s="2"/>
      <c r="G816" s="2"/>
    </row>
    <row r="817" spans="2:7" ht="15.75" customHeight="1" x14ac:dyDescent="0.25">
      <c r="B817" s="2"/>
      <c r="C817" s="2"/>
      <c r="D817" s="2"/>
      <c r="E817" s="2"/>
      <c r="F817" s="2"/>
      <c r="G817" s="2"/>
    </row>
    <row r="818" spans="2:7" ht="15.75" customHeight="1" x14ac:dyDescent="0.25">
      <c r="B818" s="2"/>
      <c r="C818" s="2"/>
      <c r="D818" s="2"/>
      <c r="E818" s="2"/>
      <c r="F818" s="2"/>
      <c r="G818" s="2"/>
    </row>
    <row r="819" spans="2:7" ht="15.75" customHeight="1" x14ac:dyDescent="0.25">
      <c r="B819" s="2"/>
      <c r="C819" s="2"/>
      <c r="D819" s="2"/>
      <c r="E819" s="2"/>
      <c r="F819" s="2"/>
      <c r="G819" s="2"/>
    </row>
    <row r="820" spans="2:7" ht="15.75" customHeight="1" x14ac:dyDescent="0.25">
      <c r="B820" s="2"/>
      <c r="C820" s="2"/>
      <c r="D820" s="2"/>
      <c r="E820" s="2"/>
      <c r="F820" s="2"/>
      <c r="G820" s="2"/>
    </row>
    <row r="821" spans="2:7" ht="15.75" customHeight="1" x14ac:dyDescent="0.25">
      <c r="B821" s="2"/>
      <c r="C821" s="2"/>
      <c r="D821" s="2"/>
      <c r="E821" s="2"/>
      <c r="F821" s="2"/>
      <c r="G821" s="2"/>
    </row>
    <row r="822" spans="2:7" ht="15.75" customHeight="1" x14ac:dyDescent="0.25">
      <c r="B822" s="2"/>
      <c r="C822" s="2"/>
      <c r="D822" s="2"/>
      <c r="E822" s="2"/>
      <c r="F822" s="2"/>
      <c r="G822" s="2"/>
    </row>
    <row r="823" spans="2:7" ht="15.75" customHeight="1" x14ac:dyDescent="0.25">
      <c r="B823" s="2"/>
      <c r="C823" s="2"/>
      <c r="D823" s="2"/>
      <c r="E823" s="2"/>
      <c r="F823" s="2"/>
      <c r="G823" s="2"/>
    </row>
    <row r="824" spans="2:7" ht="15.75" customHeight="1" x14ac:dyDescent="0.25">
      <c r="B824" s="2"/>
      <c r="C824" s="2"/>
      <c r="D824" s="2"/>
      <c r="E824" s="2"/>
      <c r="F824" s="2"/>
      <c r="G824" s="2"/>
    </row>
    <row r="825" spans="2:7" ht="15.75" customHeight="1" x14ac:dyDescent="0.25">
      <c r="B825" s="2"/>
      <c r="C825" s="2"/>
      <c r="D825" s="2"/>
      <c r="E825" s="2"/>
      <c r="F825" s="2"/>
      <c r="G825" s="2"/>
    </row>
    <row r="826" spans="2:7" ht="15.75" customHeight="1" x14ac:dyDescent="0.25">
      <c r="B826" s="2"/>
      <c r="C826" s="2"/>
      <c r="D826" s="2"/>
      <c r="E826" s="2"/>
      <c r="F826" s="2"/>
      <c r="G826" s="2"/>
    </row>
    <row r="827" spans="2:7" ht="15.75" customHeight="1" x14ac:dyDescent="0.25">
      <c r="B827" s="2"/>
      <c r="C827" s="2"/>
      <c r="D827" s="2"/>
      <c r="E827" s="2"/>
      <c r="F827" s="2"/>
      <c r="G827" s="2"/>
    </row>
    <row r="828" spans="2:7" ht="15.75" customHeight="1" x14ac:dyDescent="0.25">
      <c r="B828" s="2"/>
      <c r="C828" s="2"/>
      <c r="D828" s="2"/>
      <c r="E828" s="2"/>
      <c r="F828" s="2"/>
      <c r="G828" s="2"/>
    </row>
    <row r="829" spans="2:7" ht="15.75" customHeight="1" x14ac:dyDescent="0.25">
      <c r="B829" s="2"/>
      <c r="C829" s="2"/>
      <c r="D829" s="2"/>
      <c r="E829" s="2"/>
      <c r="F829" s="2"/>
      <c r="G829" s="2"/>
    </row>
    <row r="830" spans="2:7" ht="15.75" customHeight="1" x14ac:dyDescent="0.25">
      <c r="B830" s="2"/>
      <c r="C830" s="2"/>
      <c r="D830" s="2"/>
      <c r="E830" s="2"/>
      <c r="F830" s="2"/>
      <c r="G830" s="2"/>
    </row>
    <row r="831" spans="2:7" ht="15.75" customHeight="1" x14ac:dyDescent="0.25">
      <c r="B831" s="2"/>
      <c r="C831" s="2"/>
      <c r="D831" s="2"/>
      <c r="E831" s="2"/>
      <c r="F831" s="2"/>
      <c r="G831" s="2"/>
    </row>
    <row r="832" spans="2:7" ht="15.75" customHeight="1" x14ac:dyDescent="0.25">
      <c r="B832" s="2"/>
      <c r="C832" s="2"/>
      <c r="D832" s="2"/>
      <c r="E832" s="2"/>
      <c r="F832" s="2"/>
      <c r="G832" s="2"/>
    </row>
    <row r="833" spans="2:7" ht="15.75" customHeight="1" x14ac:dyDescent="0.25">
      <c r="B833" s="2"/>
      <c r="C833" s="2"/>
      <c r="D833" s="2"/>
      <c r="E833" s="2"/>
      <c r="F833" s="2"/>
      <c r="G833" s="2"/>
    </row>
    <row r="834" spans="2:7" ht="15.75" customHeight="1" x14ac:dyDescent="0.25">
      <c r="B834" s="2"/>
      <c r="C834" s="2"/>
      <c r="D834" s="2"/>
      <c r="E834" s="2"/>
      <c r="F834" s="2"/>
      <c r="G834" s="2"/>
    </row>
    <row r="835" spans="2:7" ht="15.75" customHeight="1" x14ac:dyDescent="0.25">
      <c r="B835" s="2"/>
      <c r="C835" s="2"/>
      <c r="D835" s="2"/>
      <c r="E835" s="2"/>
      <c r="F835" s="2"/>
      <c r="G835" s="2"/>
    </row>
    <row r="836" spans="2:7" ht="15.75" customHeight="1" x14ac:dyDescent="0.25">
      <c r="B836" s="2"/>
      <c r="C836" s="2"/>
      <c r="D836" s="2"/>
      <c r="E836" s="2"/>
      <c r="F836" s="2"/>
      <c r="G836" s="2"/>
    </row>
    <row r="837" spans="2:7" ht="15.75" customHeight="1" x14ac:dyDescent="0.25">
      <c r="B837" s="2"/>
      <c r="C837" s="2"/>
      <c r="D837" s="2"/>
      <c r="E837" s="2"/>
      <c r="F837" s="2"/>
      <c r="G837" s="2"/>
    </row>
    <row r="838" spans="2:7" ht="15.75" customHeight="1" x14ac:dyDescent="0.25">
      <c r="B838" s="2"/>
      <c r="C838" s="2"/>
      <c r="D838" s="2"/>
      <c r="E838" s="2"/>
      <c r="F838" s="2"/>
      <c r="G838" s="2"/>
    </row>
    <row r="839" spans="2:7" ht="15.75" customHeight="1" x14ac:dyDescent="0.25">
      <c r="B839" s="2"/>
      <c r="C839" s="2"/>
      <c r="D839" s="2"/>
      <c r="E839" s="2"/>
      <c r="F839" s="2"/>
      <c r="G839" s="2"/>
    </row>
    <row r="840" spans="2:7" ht="15.75" customHeight="1" x14ac:dyDescent="0.25">
      <c r="B840" s="2"/>
      <c r="C840" s="2"/>
      <c r="D840" s="2"/>
      <c r="E840" s="2"/>
      <c r="F840" s="2"/>
      <c r="G840" s="2"/>
    </row>
    <row r="841" spans="2:7" ht="15.75" customHeight="1" x14ac:dyDescent="0.25">
      <c r="B841" s="2"/>
      <c r="C841" s="2"/>
      <c r="D841" s="2"/>
      <c r="E841" s="2"/>
      <c r="F841" s="2"/>
      <c r="G841" s="2"/>
    </row>
    <row r="842" spans="2:7" ht="15.75" customHeight="1" x14ac:dyDescent="0.25">
      <c r="B842" s="2"/>
      <c r="C842" s="2"/>
      <c r="D842" s="2"/>
      <c r="E842" s="2"/>
      <c r="F842" s="2"/>
      <c r="G842" s="2"/>
    </row>
    <row r="843" spans="2:7" ht="15.75" customHeight="1" x14ac:dyDescent="0.25">
      <c r="B843" s="2"/>
      <c r="C843" s="2"/>
      <c r="D843" s="2"/>
      <c r="E843" s="2"/>
      <c r="F843" s="2"/>
      <c r="G843" s="2"/>
    </row>
    <row r="844" spans="2:7" ht="15.75" customHeight="1" x14ac:dyDescent="0.25">
      <c r="B844" s="2"/>
      <c r="C844" s="2"/>
      <c r="D844" s="2"/>
      <c r="E844" s="2"/>
      <c r="F844" s="2"/>
      <c r="G844" s="2"/>
    </row>
    <row r="845" spans="2:7" ht="15.75" customHeight="1" x14ac:dyDescent="0.25">
      <c r="B845" s="2"/>
      <c r="C845" s="2"/>
      <c r="D845" s="2"/>
      <c r="E845" s="2"/>
      <c r="F845" s="2"/>
      <c r="G845" s="2"/>
    </row>
    <row r="846" spans="2:7" ht="15.75" customHeight="1" x14ac:dyDescent="0.25">
      <c r="B846" s="2"/>
      <c r="C846" s="2"/>
      <c r="D846" s="2"/>
      <c r="E846" s="2"/>
      <c r="F846" s="2"/>
      <c r="G846" s="2"/>
    </row>
    <row r="847" spans="2:7" ht="15.75" customHeight="1" x14ac:dyDescent="0.25">
      <c r="B847" s="2"/>
      <c r="C847" s="2"/>
      <c r="D847" s="2"/>
      <c r="E847" s="2"/>
      <c r="F847" s="2"/>
      <c r="G847" s="2"/>
    </row>
    <row r="848" spans="2:7" ht="15.75" customHeight="1" x14ac:dyDescent="0.25">
      <c r="B848" s="2"/>
      <c r="C848" s="2"/>
      <c r="D848" s="2"/>
      <c r="E848" s="2"/>
      <c r="F848" s="2"/>
      <c r="G848" s="2"/>
    </row>
    <row r="849" spans="2:7" ht="15.75" customHeight="1" x14ac:dyDescent="0.25">
      <c r="B849" s="2"/>
      <c r="C849" s="2"/>
      <c r="D849" s="2"/>
      <c r="E849" s="2"/>
      <c r="F849" s="2"/>
      <c r="G849" s="2"/>
    </row>
    <row r="850" spans="2:7" ht="15.75" customHeight="1" x14ac:dyDescent="0.25">
      <c r="B850" s="2"/>
      <c r="C850" s="2"/>
      <c r="D850" s="2"/>
      <c r="E850" s="2"/>
      <c r="F850" s="2"/>
      <c r="G850" s="2"/>
    </row>
    <row r="851" spans="2:7" ht="15.75" customHeight="1" x14ac:dyDescent="0.25">
      <c r="B851" s="2"/>
      <c r="C851" s="2"/>
      <c r="D851" s="2"/>
      <c r="E851" s="2"/>
      <c r="F851" s="2"/>
      <c r="G851" s="2"/>
    </row>
    <row r="852" spans="2:7" ht="15.75" customHeight="1" x14ac:dyDescent="0.25">
      <c r="B852" s="2"/>
      <c r="C852" s="2"/>
      <c r="D852" s="2"/>
      <c r="E852" s="2"/>
      <c r="F852" s="2"/>
      <c r="G852" s="2"/>
    </row>
    <row r="853" spans="2:7" ht="15.75" customHeight="1" x14ac:dyDescent="0.25">
      <c r="B853" s="2"/>
      <c r="C853" s="2"/>
      <c r="D853" s="2"/>
      <c r="E853" s="2"/>
      <c r="F853" s="2"/>
      <c r="G853" s="2"/>
    </row>
    <row r="854" spans="2:7" ht="15.75" customHeight="1" x14ac:dyDescent="0.25">
      <c r="B854" s="2"/>
      <c r="C854" s="2"/>
      <c r="D854" s="2"/>
      <c r="E854" s="2"/>
      <c r="F854" s="2"/>
      <c r="G854" s="2"/>
    </row>
    <row r="855" spans="2:7" ht="15.75" customHeight="1" x14ac:dyDescent="0.25">
      <c r="B855" s="2"/>
      <c r="C855" s="2"/>
      <c r="D855" s="2"/>
      <c r="E855" s="2"/>
      <c r="F855" s="2"/>
      <c r="G855" s="2"/>
    </row>
    <row r="856" spans="2:7" ht="15.75" customHeight="1" x14ac:dyDescent="0.25">
      <c r="B856" s="2"/>
      <c r="C856" s="2"/>
      <c r="D856" s="2"/>
      <c r="E856" s="2"/>
      <c r="F856" s="2"/>
      <c r="G856" s="2"/>
    </row>
    <row r="857" spans="2:7" ht="15.75" customHeight="1" x14ac:dyDescent="0.25">
      <c r="B857" s="2"/>
      <c r="C857" s="2"/>
      <c r="D857" s="2"/>
      <c r="E857" s="2"/>
      <c r="F857" s="2"/>
      <c r="G857" s="2"/>
    </row>
    <row r="858" spans="2:7" ht="15.75" customHeight="1" x14ac:dyDescent="0.25">
      <c r="B858" s="2"/>
      <c r="C858" s="2"/>
      <c r="D858" s="2"/>
      <c r="E858" s="2"/>
      <c r="F858" s="2"/>
      <c r="G858" s="2"/>
    </row>
    <row r="859" spans="2:7" ht="15.75" customHeight="1" x14ac:dyDescent="0.25">
      <c r="B859" s="2"/>
      <c r="C859" s="2"/>
      <c r="D859" s="2"/>
      <c r="E859" s="2"/>
      <c r="F859" s="2"/>
      <c r="G859" s="2"/>
    </row>
    <row r="860" spans="2:7" ht="15.75" customHeight="1" x14ac:dyDescent="0.25">
      <c r="B860" s="2"/>
      <c r="C860" s="2"/>
      <c r="D860" s="2"/>
      <c r="E860" s="2"/>
      <c r="F860" s="2"/>
      <c r="G860" s="2"/>
    </row>
    <row r="861" spans="2:7" ht="15.75" customHeight="1" x14ac:dyDescent="0.25">
      <c r="B861" s="2"/>
      <c r="C861" s="2"/>
      <c r="D861" s="2"/>
      <c r="E861" s="2"/>
      <c r="F861" s="2"/>
      <c r="G861" s="2"/>
    </row>
    <row r="862" spans="2:7" ht="15.75" customHeight="1" x14ac:dyDescent="0.25">
      <c r="B862" s="2"/>
      <c r="C862" s="2"/>
      <c r="D862" s="2"/>
      <c r="E862" s="2"/>
      <c r="F862" s="2"/>
      <c r="G862" s="2"/>
    </row>
    <row r="863" spans="2:7" ht="15.75" customHeight="1" x14ac:dyDescent="0.25">
      <c r="B863" s="2"/>
      <c r="C863" s="2"/>
      <c r="D863" s="2"/>
      <c r="E863" s="2"/>
      <c r="F863" s="2"/>
      <c r="G863" s="2"/>
    </row>
    <row r="864" spans="2:7" ht="15.75" customHeight="1" x14ac:dyDescent="0.25">
      <c r="B864" s="2"/>
      <c r="C864" s="2"/>
      <c r="D864" s="2"/>
      <c r="E864" s="2"/>
      <c r="F864" s="2"/>
      <c r="G864" s="2"/>
    </row>
    <row r="865" spans="2:7" ht="15.75" customHeight="1" x14ac:dyDescent="0.25">
      <c r="B865" s="2"/>
      <c r="C865" s="2"/>
      <c r="D865" s="2"/>
      <c r="E865" s="2"/>
      <c r="F865" s="2"/>
      <c r="G865" s="2"/>
    </row>
    <row r="866" spans="2:7" ht="15.75" customHeight="1" x14ac:dyDescent="0.25">
      <c r="B866" s="2"/>
      <c r="C866" s="2"/>
      <c r="D866" s="2"/>
      <c r="E866" s="2"/>
      <c r="F866" s="2"/>
      <c r="G866" s="2"/>
    </row>
    <row r="867" spans="2:7" ht="15.75" customHeight="1" x14ac:dyDescent="0.25">
      <c r="B867" s="2"/>
      <c r="C867" s="2"/>
      <c r="D867" s="2"/>
      <c r="E867" s="2"/>
      <c r="F867" s="2"/>
      <c r="G867" s="2"/>
    </row>
    <row r="868" spans="2:7" ht="15.75" customHeight="1" x14ac:dyDescent="0.25">
      <c r="B868" s="2"/>
      <c r="C868" s="2"/>
      <c r="D868" s="2"/>
      <c r="E868" s="2"/>
      <c r="F868" s="2"/>
      <c r="G868" s="2"/>
    </row>
    <row r="869" spans="2:7" ht="15.75" customHeight="1" x14ac:dyDescent="0.25">
      <c r="B869" s="2"/>
      <c r="C869" s="2"/>
      <c r="D869" s="2"/>
      <c r="E869" s="2"/>
      <c r="F869" s="2"/>
      <c r="G869" s="2"/>
    </row>
    <row r="870" spans="2:7" ht="15.75" customHeight="1" x14ac:dyDescent="0.25">
      <c r="B870" s="2"/>
      <c r="C870" s="2"/>
      <c r="D870" s="2"/>
      <c r="E870" s="2"/>
      <c r="F870" s="2"/>
      <c r="G870" s="2"/>
    </row>
    <row r="871" spans="2:7" ht="15.75" customHeight="1" x14ac:dyDescent="0.25">
      <c r="B871" s="2"/>
      <c r="C871" s="2"/>
      <c r="D871" s="2"/>
      <c r="E871" s="2"/>
      <c r="F871" s="2"/>
      <c r="G871" s="2"/>
    </row>
    <row r="872" spans="2:7" ht="15.75" customHeight="1" x14ac:dyDescent="0.25">
      <c r="B872" s="2"/>
      <c r="C872" s="2"/>
      <c r="D872" s="2"/>
      <c r="E872" s="2"/>
      <c r="F872" s="2"/>
      <c r="G872" s="2"/>
    </row>
    <row r="873" spans="2:7" ht="15.75" customHeight="1" x14ac:dyDescent="0.25">
      <c r="B873" s="2"/>
      <c r="C873" s="2"/>
      <c r="D873" s="2"/>
      <c r="E873" s="2"/>
      <c r="F873" s="2"/>
      <c r="G873" s="2"/>
    </row>
    <row r="874" spans="2:7" ht="15.75" customHeight="1" x14ac:dyDescent="0.25">
      <c r="B874" s="2"/>
      <c r="C874" s="2"/>
      <c r="D874" s="2"/>
      <c r="E874" s="2"/>
      <c r="F874" s="2"/>
      <c r="G874" s="2"/>
    </row>
    <row r="875" spans="2:7" ht="15.75" customHeight="1" x14ac:dyDescent="0.25">
      <c r="B875" s="2"/>
      <c r="C875" s="2"/>
      <c r="D875" s="2"/>
      <c r="E875" s="2"/>
      <c r="F875" s="2"/>
      <c r="G875" s="2"/>
    </row>
    <row r="876" spans="2:7" ht="15.75" customHeight="1" x14ac:dyDescent="0.25">
      <c r="B876" s="2"/>
      <c r="C876" s="2"/>
      <c r="D876" s="2"/>
      <c r="E876" s="2"/>
      <c r="F876" s="2"/>
      <c r="G876" s="2"/>
    </row>
    <row r="877" spans="2:7" ht="15.75" customHeight="1" x14ac:dyDescent="0.25">
      <c r="B877" s="2"/>
      <c r="C877" s="2"/>
      <c r="D877" s="2"/>
      <c r="E877" s="2"/>
      <c r="F877" s="2"/>
      <c r="G877" s="2"/>
    </row>
    <row r="878" spans="2:7" ht="15.75" customHeight="1" x14ac:dyDescent="0.25">
      <c r="B878" s="2"/>
      <c r="C878" s="2"/>
      <c r="D878" s="2"/>
      <c r="E878" s="2"/>
      <c r="F878" s="2"/>
      <c r="G878" s="2"/>
    </row>
    <row r="879" spans="2:7" ht="15.75" customHeight="1" x14ac:dyDescent="0.25">
      <c r="B879" s="2"/>
      <c r="C879" s="2"/>
      <c r="D879" s="2"/>
      <c r="E879" s="2"/>
      <c r="F879" s="2"/>
      <c r="G879" s="2"/>
    </row>
    <row r="880" spans="2:7" ht="15.75" customHeight="1" x14ac:dyDescent="0.25">
      <c r="B880" s="2"/>
      <c r="C880" s="2"/>
      <c r="D880" s="2"/>
      <c r="E880" s="2"/>
      <c r="F880" s="2"/>
      <c r="G880" s="2"/>
    </row>
    <row r="881" spans="2:7" ht="15.75" customHeight="1" x14ac:dyDescent="0.25">
      <c r="B881" s="2"/>
      <c r="C881" s="2"/>
      <c r="D881" s="2"/>
      <c r="E881" s="2"/>
      <c r="F881" s="2"/>
      <c r="G881" s="2"/>
    </row>
    <row r="882" spans="2:7" ht="15.75" customHeight="1" x14ac:dyDescent="0.25">
      <c r="B882" s="2"/>
      <c r="C882" s="2"/>
      <c r="D882" s="2"/>
      <c r="E882" s="2"/>
      <c r="F882" s="2"/>
      <c r="G882" s="2"/>
    </row>
    <row r="883" spans="2:7" ht="15.75" customHeight="1" x14ac:dyDescent="0.25">
      <c r="B883" s="2"/>
      <c r="C883" s="2"/>
      <c r="D883" s="2"/>
      <c r="E883" s="2"/>
      <c r="F883" s="2"/>
      <c r="G883" s="2"/>
    </row>
    <row r="884" spans="2:7" ht="15.75" customHeight="1" x14ac:dyDescent="0.25">
      <c r="B884" s="2"/>
      <c r="C884" s="2"/>
      <c r="D884" s="2"/>
      <c r="E884" s="2"/>
      <c r="F884" s="2"/>
      <c r="G884" s="2"/>
    </row>
    <row r="885" spans="2:7" ht="15.75" customHeight="1" x14ac:dyDescent="0.25">
      <c r="B885" s="2"/>
      <c r="C885" s="2"/>
      <c r="D885" s="2"/>
      <c r="E885" s="2"/>
      <c r="F885" s="2"/>
      <c r="G885" s="2"/>
    </row>
    <row r="886" spans="2:7" ht="15.75" customHeight="1" x14ac:dyDescent="0.25">
      <c r="B886" s="2"/>
      <c r="C886" s="2"/>
      <c r="D886" s="2"/>
      <c r="E886" s="2"/>
      <c r="F886" s="2"/>
      <c r="G886" s="2"/>
    </row>
    <row r="887" spans="2:7" ht="15.75" customHeight="1" x14ac:dyDescent="0.25">
      <c r="B887" s="2"/>
      <c r="C887" s="2"/>
      <c r="D887" s="2"/>
      <c r="E887" s="2"/>
      <c r="F887" s="2"/>
      <c r="G887" s="2"/>
    </row>
    <row r="888" spans="2:7" ht="15.75" customHeight="1" x14ac:dyDescent="0.25">
      <c r="B888" s="2"/>
      <c r="C888" s="2"/>
      <c r="D888" s="2"/>
      <c r="E888" s="2"/>
      <c r="F888" s="2"/>
      <c r="G888" s="2"/>
    </row>
    <row r="889" spans="2:7" ht="15.75" customHeight="1" x14ac:dyDescent="0.25">
      <c r="B889" s="2"/>
      <c r="C889" s="2"/>
      <c r="D889" s="2"/>
      <c r="E889" s="2"/>
      <c r="F889" s="2"/>
      <c r="G889" s="2"/>
    </row>
    <row r="890" spans="2:7" ht="15.75" customHeight="1" x14ac:dyDescent="0.25">
      <c r="B890" s="2"/>
      <c r="C890" s="2"/>
      <c r="D890" s="2"/>
      <c r="E890" s="2"/>
      <c r="F890" s="2"/>
      <c r="G890" s="2"/>
    </row>
    <row r="891" spans="2:7" ht="15.75" customHeight="1" x14ac:dyDescent="0.25">
      <c r="B891" s="2"/>
      <c r="C891" s="2"/>
      <c r="D891" s="2"/>
      <c r="E891" s="2"/>
      <c r="F891" s="2"/>
      <c r="G891" s="2"/>
    </row>
    <row r="892" spans="2:7" ht="15.75" customHeight="1" x14ac:dyDescent="0.25">
      <c r="B892" s="2"/>
      <c r="C892" s="2"/>
      <c r="D892" s="2"/>
      <c r="E892" s="2"/>
      <c r="F892" s="2"/>
      <c r="G892" s="2"/>
    </row>
    <row r="893" spans="2:7" ht="15.75" customHeight="1" x14ac:dyDescent="0.25">
      <c r="B893" s="2"/>
      <c r="C893" s="2"/>
      <c r="D893" s="2"/>
      <c r="E893" s="2"/>
      <c r="F893" s="2"/>
      <c r="G893" s="2"/>
    </row>
    <row r="894" spans="2:7" ht="15.75" customHeight="1" x14ac:dyDescent="0.25">
      <c r="B894" s="2"/>
      <c r="C894" s="2"/>
      <c r="D894" s="2"/>
      <c r="E894" s="2"/>
      <c r="F894" s="2"/>
      <c r="G894" s="2"/>
    </row>
    <row r="895" spans="2:7" ht="15.75" customHeight="1" x14ac:dyDescent="0.25">
      <c r="B895" s="2"/>
      <c r="C895" s="2"/>
      <c r="D895" s="2"/>
      <c r="E895" s="2"/>
      <c r="F895" s="2"/>
      <c r="G895" s="2"/>
    </row>
    <row r="896" spans="2:7" ht="15.75" customHeight="1" x14ac:dyDescent="0.25">
      <c r="B896" s="2"/>
      <c r="C896" s="2"/>
      <c r="D896" s="2"/>
      <c r="E896" s="2"/>
      <c r="F896" s="2"/>
      <c r="G896" s="2"/>
    </row>
    <row r="897" spans="2:7" ht="15.75" customHeight="1" x14ac:dyDescent="0.25">
      <c r="B897" s="2"/>
      <c r="C897" s="2"/>
      <c r="D897" s="2"/>
      <c r="E897" s="2"/>
      <c r="F897" s="2"/>
      <c r="G897" s="2"/>
    </row>
    <row r="898" spans="2:7" ht="15.75" customHeight="1" x14ac:dyDescent="0.25">
      <c r="B898" s="2"/>
      <c r="C898" s="2"/>
      <c r="D898" s="2"/>
      <c r="E898" s="2"/>
      <c r="F898" s="2"/>
      <c r="G898" s="2"/>
    </row>
    <row r="899" spans="2:7" ht="15.75" customHeight="1" x14ac:dyDescent="0.25">
      <c r="B899" s="2"/>
      <c r="C899" s="2"/>
      <c r="D899" s="2"/>
      <c r="E899" s="2"/>
      <c r="F899" s="2"/>
      <c r="G899" s="2"/>
    </row>
    <row r="900" spans="2:7" ht="15.75" customHeight="1" x14ac:dyDescent="0.25">
      <c r="B900" s="2"/>
      <c r="C900" s="2"/>
      <c r="D900" s="2"/>
      <c r="E900" s="2"/>
      <c r="F900" s="2"/>
      <c r="G900" s="2"/>
    </row>
    <row r="901" spans="2:7" ht="15.75" customHeight="1" x14ac:dyDescent="0.25">
      <c r="B901" s="2"/>
      <c r="C901" s="2"/>
      <c r="D901" s="2"/>
      <c r="E901" s="2"/>
      <c r="F901" s="2"/>
      <c r="G901" s="2"/>
    </row>
    <row r="902" spans="2:7" ht="15.75" customHeight="1" x14ac:dyDescent="0.25">
      <c r="B902" s="2"/>
      <c r="C902" s="2"/>
      <c r="D902" s="2"/>
      <c r="E902" s="2"/>
      <c r="F902" s="2"/>
      <c r="G902" s="2"/>
    </row>
    <row r="903" spans="2:7" ht="15.75" customHeight="1" x14ac:dyDescent="0.25">
      <c r="B903" s="2"/>
      <c r="C903" s="2"/>
      <c r="D903" s="2"/>
      <c r="E903" s="2"/>
      <c r="F903" s="2"/>
      <c r="G903" s="2"/>
    </row>
    <row r="904" spans="2:7" ht="15.75" customHeight="1" x14ac:dyDescent="0.25">
      <c r="B904" s="2"/>
      <c r="C904" s="2"/>
      <c r="D904" s="2"/>
      <c r="E904" s="2"/>
      <c r="F904" s="2"/>
      <c r="G904" s="2"/>
    </row>
    <row r="905" spans="2:7" ht="15.75" customHeight="1" x14ac:dyDescent="0.25">
      <c r="B905" s="2"/>
      <c r="C905" s="2"/>
      <c r="D905" s="2"/>
      <c r="E905" s="2"/>
      <c r="F905" s="2"/>
      <c r="G905" s="2"/>
    </row>
    <row r="906" spans="2:7" ht="15.75" customHeight="1" x14ac:dyDescent="0.25">
      <c r="B906" s="2"/>
      <c r="C906" s="2"/>
      <c r="D906" s="2"/>
      <c r="E906" s="2"/>
      <c r="F906" s="2"/>
      <c r="G906" s="2"/>
    </row>
    <row r="907" spans="2:7" ht="15.75" customHeight="1" x14ac:dyDescent="0.25">
      <c r="B907" s="2"/>
      <c r="C907" s="2"/>
      <c r="D907" s="2"/>
      <c r="E907" s="2"/>
      <c r="F907" s="2"/>
      <c r="G907" s="2"/>
    </row>
    <row r="908" spans="2:7" ht="15.75" customHeight="1" x14ac:dyDescent="0.25">
      <c r="B908" s="2"/>
      <c r="C908" s="2"/>
      <c r="D908" s="2"/>
      <c r="E908" s="2"/>
      <c r="F908" s="2"/>
      <c r="G908" s="2"/>
    </row>
    <row r="909" spans="2:7" ht="15.75" customHeight="1" x14ac:dyDescent="0.25">
      <c r="B909" s="2"/>
      <c r="C909" s="2"/>
      <c r="D909" s="2"/>
      <c r="E909" s="2"/>
      <c r="F909" s="2"/>
      <c r="G909" s="2"/>
    </row>
    <row r="910" spans="2:7" ht="15.75" customHeight="1" x14ac:dyDescent="0.25">
      <c r="B910" s="2"/>
      <c r="C910" s="2"/>
      <c r="D910" s="2"/>
      <c r="E910" s="2"/>
      <c r="F910" s="2"/>
      <c r="G910" s="2"/>
    </row>
    <row r="911" spans="2:7" ht="15.75" customHeight="1" x14ac:dyDescent="0.25">
      <c r="B911" s="2"/>
      <c r="C911" s="2"/>
      <c r="D911" s="2"/>
      <c r="E911" s="2"/>
      <c r="F911" s="2"/>
      <c r="G911" s="2"/>
    </row>
    <row r="912" spans="2:7" ht="15.75" customHeight="1" x14ac:dyDescent="0.25">
      <c r="B912" s="2"/>
      <c r="C912" s="2"/>
      <c r="D912" s="2"/>
      <c r="E912" s="2"/>
      <c r="F912" s="2"/>
      <c r="G912" s="2"/>
    </row>
    <row r="913" spans="2:7" ht="15.75" customHeight="1" x14ac:dyDescent="0.25">
      <c r="B913" s="2"/>
      <c r="C913" s="2"/>
      <c r="D913" s="2"/>
      <c r="E913" s="2"/>
      <c r="F913" s="2"/>
      <c r="G913" s="2"/>
    </row>
    <row r="914" spans="2:7" ht="15.75" customHeight="1" x14ac:dyDescent="0.25">
      <c r="B914" s="2"/>
      <c r="C914" s="2"/>
      <c r="D914" s="2"/>
      <c r="E914" s="2"/>
      <c r="F914" s="2"/>
      <c r="G914" s="2"/>
    </row>
    <row r="915" spans="2:7" ht="15.75" customHeight="1" x14ac:dyDescent="0.25">
      <c r="B915" s="2"/>
      <c r="C915" s="2"/>
      <c r="D915" s="2"/>
      <c r="E915" s="2"/>
      <c r="F915" s="2"/>
      <c r="G915" s="2"/>
    </row>
    <row r="916" spans="2:7" ht="15.75" customHeight="1" x14ac:dyDescent="0.25">
      <c r="B916" s="2"/>
      <c r="C916" s="2"/>
      <c r="D916" s="2"/>
      <c r="E916" s="2"/>
      <c r="F916" s="2"/>
      <c r="G916" s="2"/>
    </row>
    <row r="917" spans="2:7" ht="15.75" customHeight="1" x14ac:dyDescent="0.25">
      <c r="B917" s="2"/>
      <c r="C917" s="2"/>
      <c r="D917" s="2"/>
      <c r="E917" s="2"/>
      <c r="F917" s="2"/>
      <c r="G917" s="2"/>
    </row>
    <row r="918" spans="2:7" ht="15.75" customHeight="1" x14ac:dyDescent="0.25">
      <c r="B918" s="2"/>
      <c r="C918" s="2"/>
      <c r="D918" s="2"/>
      <c r="E918" s="2"/>
      <c r="F918" s="2"/>
      <c r="G918" s="2"/>
    </row>
    <row r="919" spans="2:7" ht="15.75" customHeight="1" x14ac:dyDescent="0.25">
      <c r="B919" s="2"/>
      <c r="C919" s="2"/>
      <c r="D919" s="2"/>
      <c r="E919" s="2"/>
      <c r="F919" s="2"/>
      <c r="G919" s="2"/>
    </row>
    <row r="920" spans="2:7" ht="15.75" customHeight="1" x14ac:dyDescent="0.25">
      <c r="B920" s="2"/>
      <c r="C920" s="2"/>
      <c r="D920" s="2"/>
      <c r="E920" s="2"/>
      <c r="F920" s="2"/>
      <c r="G920" s="2"/>
    </row>
    <row r="921" spans="2:7" ht="15.75" customHeight="1" x14ac:dyDescent="0.25">
      <c r="B921" s="2"/>
      <c r="C921" s="2"/>
      <c r="D921" s="2"/>
      <c r="E921" s="2"/>
      <c r="F921" s="2"/>
      <c r="G921" s="2"/>
    </row>
    <row r="922" spans="2:7" ht="15.75" customHeight="1" x14ac:dyDescent="0.25">
      <c r="B922" s="2"/>
      <c r="C922" s="2"/>
      <c r="D922" s="2"/>
      <c r="E922" s="2"/>
      <c r="F922" s="2"/>
      <c r="G922" s="2"/>
    </row>
    <row r="923" spans="2:7" ht="15.75" customHeight="1" x14ac:dyDescent="0.25">
      <c r="B923" s="2"/>
      <c r="C923" s="2"/>
      <c r="D923" s="2"/>
      <c r="E923" s="2"/>
      <c r="F923" s="2"/>
      <c r="G923" s="2"/>
    </row>
    <row r="924" spans="2:7" ht="15.75" customHeight="1" x14ac:dyDescent="0.25">
      <c r="B924" s="2"/>
      <c r="C924" s="2"/>
      <c r="D924" s="2"/>
      <c r="E924" s="2"/>
      <c r="F924" s="2"/>
      <c r="G924" s="2"/>
    </row>
    <row r="925" spans="2:7" ht="15.75" customHeight="1" x14ac:dyDescent="0.25">
      <c r="B925" s="2"/>
      <c r="C925" s="2"/>
      <c r="D925" s="2"/>
      <c r="E925" s="2"/>
      <c r="F925" s="2"/>
      <c r="G925" s="2"/>
    </row>
    <row r="926" spans="2:7" ht="15.75" customHeight="1" x14ac:dyDescent="0.25">
      <c r="B926" s="2"/>
      <c r="C926" s="2"/>
      <c r="D926" s="2"/>
      <c r="E926" s="2"/>
      <c r="F926" s="2"/>
      <c r="G926" s="2"/>
    </row>
    <row r="927" spans="2:7" ht="15.75" customHeight="1" x14ac:dyDescent="0.25">
      <c r="B927" s="2"/>
      <c r="C927" s="2"/>
      <c r="D927" s="2"/>
      <c r="E927" s="2"/>
      <c r="F927" s="2"/>
      <c r="G927" s="2"/>
    </row>
    <row r="928" spans="2:7" ht="15.75" customHeight="1" x14ac:dyDescent="0.25">
      <c r="B928" s="2"/>
      <c r="C928" s="2"/>
      <c r="D928" s="2"/>
      <c r="E928" s="2"/>
      <c r="F928" s="2"/>
      <c r="G928" s="2"/>
    </row>
    <row r="929" spans="2:7" ht="15.75" customHeight="1" x14ac:dyDescent="0.25">
      <c r="B929" s="2"/>
      <c r="C929" s="2"/>
      <c r="D929" s="2"/>
      <c r="E929" s="2"/>
      <c r="F929" s="2"/>
      <c r="G929" s="2"/>
    </row>
    <row r="930" spans="2:7" ht="15.75" customHeight="1" x14ac:dyDescent="0.25">
      <c r="B930" s="2"/>
      <c r="C930" s="2"/>
      <c r="D930" s="2"/>
      <c r="E930" s="2"/>
      <c r="F930" s="2"/>
      <c r="G930" s="2"/>
    </row>
    <row r="931" spans="2:7" ht="15.75" customHeight="1" x14ac:dyDescent="0.25">
      <c r="B931" s="2"/>
      <c r="C931" s="2"/>
      <c r="D931" s="2"/>
      <c r="E931" s="2"/>
      <c r="F931" s="2"/>
      <c r="G931" s="2"/>
    </row>
    <row r="932" spans="2:7" ht="15.75" customHeight="1" x14ac:dyDescent="0.25">
      <c r="B932" s="2"/>
      <c r="C932" s="2"/>
      <c r="D932" s="2"/>
      <c r="E932" s="2"/>
      <c r="F932" s="2"/>
      <c r="G932" s="2"/>
    </row>
    <row r="933" spans="2:7" ht="15.75" customHeight="1" x14ac:dyDescent="0.25">
      <c r="B933" s="2"/>
      <c r="C933" s="2"/>
      <c r="D933" s="2"/>
      <c r="E933" s="2"/>
      <c r="F933" s="2"/>
      <c r="G933" s="2"/>
    </row>
    <row r="934" spans="2:7" ht="15.75" customHeight="1" x14ac:dyDescent="0.25">
      <c r="B934" s="2"/>
      <c r="C934" s="2"/>
      <c r="D934" s="2"/>
      <c r="E934" s="2"/>
      <c r="F934" s="2"/>
      <c r="G934" s="2"/>
    </row>
    <row r="935" spans="2:7" ht="15.75" customHeight="1" x14ac:dyDescent="0.25">
      <c r="B935" s="2"/>
      <c r="C935" s="2"/>
      <c r="D935" s="2"/>
      <c r="E935" s="2"/>
      <c r="F935" s="2"/>
      <c r="G935" s="2"/>
    </row>
    <row r="936" spans="2:7" ht="15.75" customHeight="1" x14ac:dyDescent="0.25">
      <c r="B936" s="2"/>
      <c r="C936" s="2"/>
      <c r="D936" s="2"/>
      <c r="E936" s="2"/>
      <c r="F936" s="2"/>
      <c r="G936" s="2"/>
    </row>
    <row r="937" spans="2:7" ht="15.75" customHeight="1" x14ac:dyDescent="0.25">
      <c r="B937" s="2"/>
      <c r="C937" s="2"/>
      <c r="D937" s="2"/>
      <c r="E937" s="2"/>
      <c r="F937" s="2"/>
      <c r="G937" s="2"/>
    </row>
    <row r="938" spans="2:7" ht="15.75" customHeight="1" x14ac:dyDescent="0.25">
      <c r="B938" s="2"/>
      <c r="C938" s="2"/>
      <c r="D938" s="2"/>
      <c r="E938" s="2"/>
      <c r="F938" s="2"/>
      <c r="G938" s="2"/>
    </row>
    <row r="939" spans="2:7" ht="15.75" customHeight="1" x14ac:dyDescent="0.25">
      <c r="B939" s="2"/>
      <c r="C939" s="2"/>
      <c r="D939" s="2"/>
      <c r="E939" s="2"/>
      <c r="F939" s="2"/>
      <c r="G939" s="2"/>
    </row>
    <row r="940" spans="2:7" ht="15.75" customHeight="1" x14ac:dyDescent="0.25">
      <c r="B940" s="2"/>
      <c r="C940" s="2"/>
      <c r="D940" s="2"/>
      <c r="E940" s="2"/>
      <c r="F940" s="2"/>
      <c r="G940" s="2"/>
    </row>
    <row r="941" spans="2:7" ht="15.75" customHeight="1" x14ac:dyDescent="0.25">
      <c r="B941" s="2"/>
      <c r="C941" s="2"/>
      <c r="D941" s="2"/>
      <c r="E941" s="2"/>
      <c r="F941" s="2"/>
      <c r="G941" s="2"/>
    </row>
    <row r="942" spans="2:7" ht="15.75" customHeight="1" x14ac:dyDescent="0.25">
      <c r="B942" s="2"/>
      <c r="C942" s="2"/>
      <c r="D942" s="2"/>
      <c r="E942" s="2"/>
      <c r="F942" s="2"/>
      <c r="G942" s="2"/>
    </row>
    <row r="943" spans="2:7" ht="15.75" customHeight="1" x14ac:dyDescent="0.25">
      <c r="B943" s="2"/>
      <c r="C943" s="2"/>
      <c r="D943" s="2"/>
      <c r="E943" s="2"/>
      <c r="F943" s="2"/>
      <c r="G943" s="2"/>
    </row>
    <row r="944" spans="2:7" ht="15.75" customHeight="1" x14ac:dyDescent="0.25">
      <c r="B944" s="2"/>
      <c r="C944" s="2"/>
      <c r="D944" s="2"/>
      <c r="E944" s="2"/>
      <c r="F944" s="2"/>
      <c r="G944" s="2"/>
    </row>
    <row r="945" spans="2:7" ht="15.75" customHeight="1" x14ac:dyDescent="0.25">
      <c r="B945" s="2"/>
      <c r="C945" s="2"/>
      <c r="D945" s="2"/>
      <c r="E945" s="2"/>
      <c r="F945" s="2"/>
      <c r="G945" s="2"/>
    </row>
    <row r="946" spans="2:7" ht="15.75" customHeight="1" x14ac:dyDescent="0.25">
      <c r="B946" s="2"/>
      <c r="C946" s="2"/>
      <c r="D946" s="2"/>
      <c r="E946" s="2"/>
      <c r="F946" s="2"/>
      <c r="G946" s="2"/>
    </row>
    <row r="947" spans="2:7" ht="15.75" customHeight="1" x14ac:dyDescent="0.25">
      <c r="B947" s="2"/>
      <c r="C947" s="2"/>
      <c r="D947" s="2"/>
      <c r="E947" s="2"/>
      <c r="F947" s="2"/>
      <c r="G947" s="2"/>
    </row>
    <row r="948" spans="2:7" ht="15.75" customHeight="1" x14ac:dyDescent="0.25">
      <c r="B948" s="2"/>
      <c r="C948" s="2"/>
      <c r="D948" s="2"/>
      <c r="E948" s="2"/>
      <c r="F948" s="2"/>
      <c r="G948" s="2"/>
    </row>
    <row r="949" spans="2:7" ht="15.75" customHeight="1" x14ac:dyDescent="0.25">
      <c r="B949" s="2"/>
      <c r="C949" s="2"/>
      <c r="D949" s="2"/>
      <c r="E949" s="2"/>
      <c r="F949" s="2"/>
      <c r="G949" s="2"/>
    </row>
    <row r="950" spans="2:7" ht="15.75" customHeight="1" x14ac:dyDescent="0.25">
      <c r="B950" s="2"/>
      <c r="C950" s="2"/>
      <c r="D950" s="2"/>
      <c r="E950" s="2"/>
      <c r="F950" s="2"/>
      <c r="G950" s="2"/>
    </row>
    <row r="951" spans="2:7" ht="15.75" customHeight="1" x14ac:dyDescent="0.25">
      <c r="B951" s="2"/>
      <c r="C951" s="2"/>
      <c r="D951" s="2"/>
      <c r="E951" s="2"/>
      <c r="F951" s="2"/>
      <c r="G951" s="2"/>
    </row>
    <row r="952" spans="2:7" ht="15.75" customHeight="1" x14ac:dyDescent="0.25">
      <c r="B952" s="2"/>
      <c r="C952" s="2"/>
      <c r="D952" s="2"/>
      <c r="E952" s="2"/>
      <c r="F952" s="2"/>
      <c r="G952" s="2"/>
    </row>
    <row r="953" spans="2:7" ht="15.75" customHeight="1" x14ac:dyDescent="0.25">
      <c r="B953" s="2"/>
      <c r="C953" s="2"/>
      <c r="D953" s="2"/>
      <c r="E953" s="2"/>
      <c r="F953" s="2"/>
      <c r="G953" s="2"/>
    </row>
    <row r="954" spans="2:7" ht="15.75" customHeight="1" x14ac:dyDescent="0.25">
      <c r="B954" s="2"/>
      <c r="C954" s="2"/>
      <c r="D954" s="2"/>
      <c r="E954" s="2"/>
      <c r="F954" s="2"/>
      <c r="G954" s="2"/>
    </row>
    <row r="955" spans="2:7" ht="15.75" customHeight="1" x14ac:dyDescent="0.25">
      <c r="B955" s="2"/>
      <c r="C955" s="2"/>
      <c r="D955" s="2"/>
      <c r="E955" s="2"/>
      <c r="F955" s="2"/>
      <c r="G955" s="2"/>
    </row>
    <row r="956" spans="2:7" ht="15.75" customHeight="1" x14ac:dyDescent="0.25">
      <c r="B956" s="2"/>
      <c r="C956" s="2"/>
      <c r="D956" s="2"/>
      <c r="E956" s="2"/>
      <c r="F956" s="2"/>
      <c r="G956" s="2"/>
    </row>
    <row r="957" spans="2:7" ht="15.75" customHeight="1" x14ac:dyDescent="0.25">
      <c r="B957" s="2"/>
      <c r="C957" s="2"/>
      <c r="D957" s="2"/>
      <c r="E957" s="2"/>
      <c r="F957" s="2"/>
      <c r="G957" s="2"/>
    </row>
    <row r="958" spans="2:7" ht="15.75" customHeight="1" x14ac:dyDescent="0.25">
      <c r="B958" s="2"/>
      <c r="C958" s="2"/>
      <c r="D958" s="2"/>
      <c r="E958" s="2"/>
      <c r="F958" s="2"/>
      <c r="G958" s="2"/>
    </row>
    <row r="959" spans="2:7" ht="15.75" customHeight="1" x14ac:dyDescent="0.25">
      <c r="B959" s="2"/>
      <c r="C959" s="2"/>
      <c r="D959" s="2"/>
      <c r="E959" s="2"/>
      <c r="F959" s="2"/>
      <c r="G959" s="2"/>
    </row>
    <row r="960" spans="2:7" ht="15.75" customHeight="1" x14ac:dyDescent="0.25">
      <c r="B960" s="2"/>
      <c r="C960" s="2"/>
      <c r="D960" s="2"/>
      <c r="E960" s="2"/>
      <c r="F960" s="2"/>
      <c r="G960" s="2"/>
    </row>
    <row r="961" spans="2:7" ht="15.75" customHeight="1" x14ac:dyDescent="0.25">
      <c r="B961" s="2"/>
      <c r="C961" s="2"/>
      <c r="D961" s="2"/>
      <c r="E961" s="2"/>
      <c r="F961" s="2"/>
      <c r="G961" s="2"/>
    </row>
    <row r="962" spans="2:7" ht="15.75" customHeight="1" x14ac:dyDescent="0.25">
      <c r="B962" s="2"/>
      <c r="C962" s="2"/>
      <c r="D962" s="2"/>
      <c r="E962" s="2"/>
      <c r="F962" s="2"/>
      <c r="G962" s="2"/>
    </row>
    <row r="963" spans="2:7" ht="15.75" customHeight="1" x14ac:dyDescent="0.25">
      <c r="B963" s="2"/>
      <c r="C963" s="2"/>
      <c r="D963" s="2"/>
      <c r="E963" s="2"/>
      <c r="F963" s="2"/>
      <c r="G963" s="2"/>
    </row>
    <row r="964" spans="2:7" ht="15.75" customHeight="1" x14ac:dyDescent="0.25">
      <c r="B964" s="2"/>
      <c r="C964" s="2"/>
      <c r="D964" s="2"/>
      <c r="E964" s="2"/>
      <c r="F964" s="2"/>
      <c r="G964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N990"/>
  <sheetViews>
    <sheetView zoomScaleNormal="100" workbookViewId="0">
      <selection activeCell="E10" sqref="E10"/>
    </sheetView>
  </sheetViews>
  <sheetFormatPr baseColWidth="10" defaultColWidth="14.42578125" defaultRowHeight="15" customHeight="1" x14ac:dyDescent="0.25"/>
  <cols>
    <col min="1" max="1" width="35.42578125" customWidth="1"/>
    <col min="2" max="2" width="29.42578125" customWidth="1"/>
    <col min="3" max="4" width="26.140625" customWidth="1"/>
    <col min="5" max="5" width="27.85546875" customWidth="1"/>
    <col min="6" max="6" width="28.28515625" customWidth="1"/>
    <col min="7" max="13" width="25.7109375" customWidth="1"/>
    <col min="14" max="14" width="17.42578125" customWidth="1"/>
    <col min="15" max="26" width="10.7109375" customWidth="1"/>
  </cols>
  <sheetData>
    <row r="1" spans="1:14" x14ac:dyDescent="0.25">
      <c r="A1" s="11" t="s">
        <v>243</v>
      </c>
      <c r="B1" s="11">
        <v>2024</v>
      </c>
      <c r="C1" s="11">
        <v>2025</v>
      </c>
      <c r="D1" s="11">
        <v>2026</v>
      </c>
      <c r="E1" s="11">
        <v>2027</v>
      </c>
      <c r="F1" s="49">
        <v>2028</v>
      </c>
      <c r="G1" s="46"/>
      <c r="H1" s="45"/>
    </row>
    <row r="2" spans="1:14" x14ac:dyDescent="0.25">
      <c r="A2" s="7" t="s">
        <v>244</v>
      </c>
      <c r="B2" s="44">
        <f>'SEGMENTACION DE MERCADO   '!C17</f>
        <v>110838.10089599999</v>
      </c>
      <c r="C2" s="44">
        <f>B2*(1+$C$9)</f>
        <v>116380.00594079999</v>
      </c>
      <c r="D2" s="44">
        <f>C2*(1+$C$9)</f>
        <v>122199.00623784</v>
      </c>
      <c r="E2" s="44">
        <f>D2*(1+$C$9)</f>
        <v>128308.95654973201</v>
      </c>
      <c r="F2" s="44">
        <f t="shared" ref="F2" si="0">E2*(1+$C$9)</f>
        <v>134724.40437721863</v>
      </c>
      <c r="G2" s="47"/>
      <c r="H2" s="45"/>
    </row>
    <row r="3" spans="1:14" x14ac:dyDescent="0.25">
      <c r="A3" s="7" t="s">
        <v>245</v>
      </c>
      <c r="B3" s="51">
        <v>3600</v>
      </c>
      <c r="C3" s="51">
        <f>B3*(1+$C$10)</f>
        <v>3801.6000000000004</v>
      </c>
      <c r="D3" s="51">
        <f t="shared" ref="D3:F3" si="1">C3*(1+$C$10)</f>
        <v>4014.4896000000008</v>
      </c>
      <c r="E3" s="51">
        <f t="shared" si="1"/>
        <v>4239.3010176000007</v>
      </c>
      <c r="F3" s="51">
        <f t="shared" si="1"/>
        <v>4476.7018745856012</v>
      </c>
      <c r="G3" s="47"/>
      <c r="H3" s="45"/>
    </row>
    <row r="4" spans="1:14" x14ac:dyDescent="0.25">
      <c r="A4" s="11" t="s">
        <v>246</v>
      </c>
      <c r="B4" s="204">
        <f>B2*B3</f>
        <v>399017163.22559994</v>
      </c>
      <c r="C4" s="204">
        <f t="shared" ref="C4:F4" si="2">C2*C3</f>
        <v>442430230.58454531</v>
      </c>
      <c r="D4" s="204">
        <f t="shared" si="2"/>
        <v>490566639.67214394</v>
      </c>
      <c r="E4" s="204">
        <f t="shared" si="2"/>
        <v>543940290.06847322</v>
      </c>
      <c r="F4" s="204">
        <f t="shared" si="2"/>
        <v>603120993.62792325</v>
      </c>
      <c r="G4" s="48"/>
      <c r="H4" s="45"/>
    </row>
    <row r="5" spans="1:14" ht="15" customHeight="1" x14ac:dyDescent="0.25">
      <c r="F5" s="45"/>
      <c r="G5" s="45"/>
    </row>
    <row r="6" spans="1:14" ht="15" customHeight="1" x14ac:dyDescent="0.25">
      <c r="A6" s="42" t="s">
        <v>247</v>
      </c>
      <c r="B6" s="43"/>
      <c r="C6" s="13">
        <v>0.05</v>
      </c>
      <c r="D6" s="14" t="s">
        <v>248</v>
      </c>
    </row>
    <row r="7" spans="1:14" ht="14.45" customHeight="1" x14ac:dyDescent="0.25">
      <c r="A7" s="42" t="s">
        <v>249</v>
      </c>
      <c r="B7" s="43"/>
      <c r="C7" s="13">
        <v>0.25</v>
      </c>
      <c r="D7" s="50" t="s">
        <v>250</v>
      </c>
      <c r="F7" s="2"/>
      <c r="G7" s="2"/>
      <c r="H7" s="2"/>
      <c r="I7" s="2"/>
      <c r="J7" s="2"/>
      <c r="K7" s="2"/>
      <c r="L7" s="2"/>
      <c r="M7" s="2"/>
      <c r="N7" s="2"/>
    </row>
    <row r="8" spans="1:14" ht="14.45" customHeight="1" x14ac:dyDescent="0.25">
      <c r="F8" s="2"/>
      <c r="G8" s="2"/>
      <c r="H8" s="2"/>
      <c r="I8" s="2"/>
      <c r="J8" s="2"/>
      <c r="K8" s="2"/>
      <c r="L8" s="2"/>
      <c r="M8" s="2"/>
      <c r="N8" s="2"/>
    </row>
    <row r="9" spans="1:14" ht="14.45" customHeight="1" x14ac:dyDescent="0.25">
      <c r="A9" s="556" t="s">
        <v>251</v>
      </c>
      <c r="B9" s="553"/>
      <c r="C9" s="10">
        <v>0.05</v>
      </c>
      <c r="F9" s="2"/>
      <c r="G9" s="2"/>
      <c r="H9" s="2"/>
      <c r="I9" s="2"/>
      <c r="J9" s="2"/>
      <c r="K9" s="2"/>
      <c r="L9" s="2"/>
      <c r="M9" s="2"/>
      <c r="N9" s="2"/>
    </row>
    <row r="10" spans="1:14" ht="15" customHeight="1" x14ac:dyDescent="0.25">
      <c r="A10" s="556" t="s">
        <v>252</v>
      </c>
      <c r="B10" s="553"/>
      <c r="C10" s="10">
        <v>5.6000000000000001E-2</v>
      </c>
    </row>
    <row r="12" spans="1:14" ht="15.75" customHeight="1" x14ac:dyDescent="0.25"/>
    <row r="13" spans="1:14" ht="15.75" customHeight="1" x14ac:dyDescent="0.3">
      <c r="A13" s="141"/>
    </row>
    <row r="14" spans="1:14" ht="15.75" customHeight="1" x14ac:dyDescent="0.25"/>
    <row r="15" spans="1:14" ht="15.75" customHeight="1" x14ac:dyDescent="0.35">
      <c r="A15" s="16" t="s">
        <v>253</v>
      </c>
      <c r="B15" s="17">
        <f>B4*1.2</f>
        <v>478820595.87071991</v>
      </c>
      <c r="C15" s="17">
        <f t="shared" ref="C15:F15" si="3">C4*1.2</f>
        <v>530916276.70145434</v>
      </c>
      <c r="D15" s="17">
        <f t="shared" si="3"/>
        <v>588679967.60657275</v>
      </c>
      <c r="E15" s="17">
        <f t="shared" si="3"/>
        <v>652728348.08216786</v>
      </c>
      <c r="F15" s="17">
        <f t="shared" si="3"/>
        <v>723745192.35350788</v>
      </c>
      <c r="G15" s="178">
        <v>2</v>
      </c>
    </row>
    <row r="16" spans="1:14" ht="15.75" customHeight="1" x14ac:dyDescent="0.25"/>
    <row r="17" spans="1:7" ht="15.75" customHeight="1" x14ac:dyDescent="0.35">
      <c r="A17" s="18" t="s">
        <v>254</v>
      </c>
      <c r="B17" s="19">
        <f>0.7*B4</f>
        <v>279312014.25791997</v>
      </c>
      <c r="C17" s="19">
        <f t="shared" ref="C17:F17" si="4">0.7*C4</f>
        <v>309701161.40918171</v>
      </c>
      <c r="D17" s="19">
        <f t="shared" si="4"/>
        <v>343396647.77050072</v>
      </c>
      <c r="E17" s="19">
        <f t="shared" si="4"/>
        <v>380758203.04793125</v>
      </c>
      <c r="F17" s="19">
        <f t="shared" si="4"/>
        <v>422184695.53954625</v>
      </c>
      <c r="G17" s="178">
        <v>3</v>
      </c>
    </row>
    <row r="18" spans="1:7" ht="15.75" customHeight="1" x14ac:dyDescent="0.25"/>
    <row r="19" spans="1:7" ht="15.75" customHeight="1" x14ac:dyDescent="0.25"/>
    <row r="20" spans="1:7" ht="15.75" customHeight="1" x14ac:dyDescent="0.25"/>
    <row r="21" spans="1:7" ht="15.75" customHeight="1" x14ac:dyDescent="0.25"/>
    <row r="22" spans="1:7" ht="15.75" customHeight="1" x14ac:dyDescent="0.25"/>
    <row r="23" spans="1:7" ht="15.75" customHeight="1" x14ac:dyDescent="0.25"/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2">
    <mergeCell ref="A9:B9"/>
    <mergeCell ref="A10:B10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Z1003"/>
  <sheetViews>
    <sheetView zoomScale="74" zoomScaleNormal="74" workbookViewId="0">
      <selection activeCell="I7" sqref="I7"/>
    </sheetView>
  </sheetViews>
  <sheetFormatPr baseColWidth="10" defaultColWidth="14.42578125" defaultRowHeight="15" customHeight="1" x14ac:dyDescent="0.25"/>
  <cols>
    <col min="1" max="1" width="55.28515625" customWidth="1"/>
    <col min="2" max="7" width="28.42578125" customWidth="1"/>
    <col min="8" max="26" width="10.7109375" customWidth="1"/>
  </cols>
  <sheetData>
    <row r="1" spans="1:7" ht="21" x14ac:dyDescent="0.35">
      <c r="A1" s="498" t="s">
        <v>62</v>
      </c>
      <c r="B1" s="500" t="s">
        <v>49</v>
      </c>
      <c r="C1" s="501"/>
      <c r="D1" s="501"/>
      <c r="E1" s="501"/>
      <c r="F1" s="501"/>
      <c r="G1" s="502"/>
    </row>
    <row r="2" spans="1:7" ht="21.75" thickBot="1" x14ac:dyDescent="0.4">
      <c r="A2" s="499"/>
      <c r="B2" s="293">
        <v>0</v>
      </c>
      <c r="C2" s="184">
        <v>1</v>
      </c>
      <c r="D2" s="184">
        <v>2</v>
      </c>
      <c r="E2" s="184">
        <v>3</v>
      </c>
      <c r="F2" s="184">
        <v>4</v>
      </c>
      <c r="G2" s="245">
        <v>5</v>
      </c>
    </row>
    <row r="3" spans="1:7" x14ac:dyDescent="0.25">
      <c r="A3" s="294" t="s">
        <v>63</v>
      </c>
      <c r="B3" s="283">
        <v>0</v>
      </c>
      <c r="C3" s="283">
        <f>C4</f>
        <v>399017163.22559994</v>
      </c>
      <c r="D3" s="283">
        <f>D4</f>
        <v>442430230.58454531</v>
      </c>
      <c r="E3" s="283">
        <f t="shared" ref="E3:G3" si="0">E4</f>
        <v>490566639.67214394</v>
      </c>
      <c r="F3" s="283">
        <f t="shared" si="0"/>
        <v>543940290.06847322</v>
      </c>
      <c r="G3" s="284">
        <f t="shared" si="0"/>
        <v>603120993.62792325</v>
      </c>
    </row>
    <row r="4" spans="1:7" x14ac:dyDescent="0.25">
      <c r="A4" s="280" t="s">
        <v>64</v>
      </c>
      <c r="B4" s="191">
        <v>0</v>
      </c>
      <c r="C4" s="191">
        <f>'3 - INGRESOS'!B4</f>
        <v>399017163.22559994</v>
      </c>
      <c r="D4" s="191">
        <f>'3 - INGRESOS'!C4</f>
        <v>442430230.58454531</v>
      </c>
      <c r="E4" s="191">
        <f>'3 - INGRESOS'!D4</f>
        <v>490566639.67214394</v>
      </c>
      <c r="F4" s="191">
        <f>'3 - INGRESOS'!E4</f>
        <v>543940290.06847322</v>
      </c>
      <c r="G4" s="279">
        <f>'3 - INGRESOS'!F4</f>
        <v>603120993.62792325</v>
      </c>
    </row>
    <row r="5" spans="1:7" x14ac:dyDescent="0.25">
      <c r="A5" s="280" t="s">
        <v>65</v>
      </c>
      <c r="B5" s="407"/>
      <c r="C5" s="408">
        <f>+'2 - COSTOS &amp; GASTOS'!B4</f>
        <v>90536474.228031993</v>
      </c>
      <c r="D5" s="408">
        <f>+'2 - COSTOS &amp; GASTOS'!C4</f>
        <v>100386842.62404187</v>
      </c>
      <c r="E5" s="408">
        <f>+'2 - COSTOS &amp; GASTOS'!D4</f>
        <v>111308931.10153763</v>
      </c>
      <c r="F5" s="408">
        <f>+'2 - COSTOS &amp; GASTOS'!E4</f>
        <v>123419342.80538495</v>
      </c>
      <c r="G5" s="408">
        <f>+'2 - COSTOS &amp; GASTOS'!F4</f>
        <v>136847367.30261087</v>
      </c>
    </row>
    <row r="6" spans="1:7" ht="15.75" x14ac:dyDescent="0.25">
      <c r="A6" s="285" t="s">
        <v>66</v>
      </c>
      <c r="B6" s="283">
        <f>+B3-B5</f>
        <v>0</v>
      </c>
      <c r="C6" s="283">
        <f t="shared" ref="C6:G6" si="1">+C3-C5</f>
        <v>308480688.99756795</v>
      </c>
      <c r="D6" s="283">
        <f t="shared" si="1"/>
        <v>342043387.96050346</v>
      </c>
      <c r="E6" s="283">
        <f t="shared" si="1"/>
        <v>379257708.57060629</v>
      </c>
      <c r="F6" s="283">
        <f t="shared" si="1"/>
        <v>420520947.26308829</v>
      </c>
      <c r="G6" s="284">
        <f t="shared" si="1"/>
        <v>466273626.32531238</v>
      </c>
    </row>
    <row r="7" spans="1:7" x14ac:dyDescent="0.25">
      <c r="A7" s="280"/>
      <c r="B7" s="407"/>
      <c r="C7" s="407"/>
      <c r="D7" s="407"/>
      <c r="E7" s="407"/>
      <c r="F7" s="407"/>
      <c r="G7" s="409"/>
    </row>
    <row r="8" spans="1:7" x14ac:dyDescent="0.25">
      <c r="A8" s="410" t="s">
        <v>67</v>
      </c>
      <c r="B8" s="283">
        <f t="shared" ref="B8:G8" si="2">SUM(B9:B15)</f>
        <v>0</v>
      </c>
      <c r="C8" s="283">
        <f t="shared" si="2"/>
        <v>119405423.40121333</v>
      </c>
      <c r="D8" s="283">
        <f t="shared" si="2"/>
        <v>112725555.92582916</v>
      </c>
      <c r="E8" s="283">
        <f t="shared" si="2"/>
        <v>122492333.70083146</v>
      </c>
      <c r="F8" s="283">
        <f t="shared" si="2"/>
        <v>135525281.87285164</v>
      </c>
      <c r="G8" s="284">
        <f t="shared" si="2"/>
        <v>146196689.97118297</v>
      </c>
    </row>
    <row r="9" spans="1:7" x14ac:dyDescent="0.25">
      <c r="A9" s="280" t="s">
        <v>68</v>
      </c>
      <c r="B9" s="193"/>
      <c r="C9" s="191">
        <f>+'2 - COSTOS &amp; GASTOS'!B16+'2 - COSTOS &amp; GASTOS'!B17+'2 - COSTOS &amp; GASTOS'!B18</f>
        <v>44550890.067879997</v>
      </c>
      <c r="D9" s="191">
        <f>+'2 - COSTOS &amp; GASTOS'!C16+'2 - COSTOS &amp; GASTOS'!C17+'2 - COSTOS &amp; GASTOS'!C18</f>
        <v>47580350.592495836</v>
      </c>
      <c r="E9" s="191">
        <f>+'2 - COSTOS &amp; GASTOS'!D16+'2 - COSTOS &amp; GASTOS'!D17+'2 - COSTOS &amp; GASTOS'!D18</f>
        <v>50102109.173898116</v>
      </c>
      <c r="F9" s="191">
        <f>+'2 - COSTOS &amp; GASTOS'!E16+'2 - COSTOS &amp; GASTOS'!E17+'2 - COSTOS &amp; GASTOS'!E18</f>
        <v>52156295.650027946</v>
      </c>
      <c r="G9" s="279">
        <f>+'2 - COSTOS &amp; GASTOS'!F16+'2 - COSTOS &amp; GASTOS'!F17+'2 - COSTOS &amp; GASTOS'!F18</f>
        <v>54294703.771679088</v>
      </c>
    </row>
    <row r="10" spans="1:7" x14ac:dyDescent="0.25">
      <c r="A10" s="280" t="s">
        <v>69</v>
      </c>
      <c r="B10" s="193"/>
      <c r="C10" s="191">
        <f>+'2 - COSTOS &amp; GASTOS'!B19</f>
        <v>33600000</v>
      </c>
      <c r="D10" s="191">
        <f>+'2 - COSTOS &amp; GASTOS'!C19</f>
        <v>37255680</v>
      </c>
      <c r="E10" s="191">
        <f>+'2 - COSTOS &amp; GASTOS'!D19</f>
        <v>41309097.984000005</v>
      </c>
      <c r="F10" s="191">
        <f>+'2 - COSTOS &amp; GASTOS'!E19</f>
        <v>45803527.844659209</v>
      </c>
      <c r="G10" s="279">
        <f>+'2 - COSTOS &amp; GASTOS'!F19</f>
        <v>50786951.674158134</v>
      </c>
    </row>
    <row r="11" spans="1:7" x14ac:dyDescent="0.25">
      <c r="A11" s="280" t="s">
        <v>70</v>
      </c>
      <c r="B11" s="193"/>
      <c r="C11" s="191">
        <f>+'2 - COSTOS &amp; GASTOS'!B20</f>
        <v>3840000</v>
      </c>
      <c r="D11" s="191">
        <f>+'2 - COSTOS &amp; GASTOS'!C20</f>
        <v>4257792</v>
      </c>
      <c r="E11" s="191">
        <f>+'2 - COSTOS &amp; GASTOS'!D20</f>
        <v>4721039.7696000012</v>
      </c>
      <c r="F11" s="191">
        <f>+'2 - COSTOS &amp; GASTOS'!E20</f>
        <v>5234688.8965324815</v>
      </c>
      <c r="G11" s="279">
        <f>+'2 - COSTOS &amp; GASTOS'!F20</f>
        <v>5804223.0484752161</v>
      </c>
    </row>
    <row r="12" spans="1:7" x14ac:dyDescent="0.25">
      <c r="A12" s="280" t="s">
        <v>71</v>
      </c>
      <c r="B12" s="193"/>
      <c r="C12" s="191">
        <f>+'2 - COSTOS &amp; GASTOS'!B22</f>
        <v>6000000</v>
      </c>
      <c r="D12" s="191">
        <f>+'2 - COSTOS &amp; GASTOS'!C22</f>
        <v>6652800</v>
      </c>
      <c r="E12" s="191">
        <f>+'2 - COSTOS &amp; GASTOS'!D22</f>
        <v>7376624.6400000006</v>
      </c>
      <c r="F12" s="191">
        <f>+'2 - COSTOS &amp; GASTOS'!E22</f>
        <v>8179201.4008320021</v>
      </c>
      <c r="G12" s="279">
        <f>+'2 - COSTOS &amp; GASTOS'!F22</f>
        <v>9069098.5132425241</v>
      </c>
    </row>
    <row r="13" spans="1:7" x14ac:dyDescent="0.25">
      <c r="A13" s="280" t="s">
        <v>72</v>
      </c>
      <c r="B13" s="193"/>
      <c r="C13" s="191">
        <f>+'2 - COSTOS &amp; GASTOS'!B21</f>
        <v>4014533.333333334</v>
      </c>
      <c r="D13" s="191">
        <f>+'2 - COSTOS &amp; GASTOS'!C21</f>
        <v>5629333.333333334</v>
      </c>
      <c r="E13" s="191">
        <f>+'2 - COSTOS &amp; GASTOS'!D21</f>
        <v>6709333.333333333</v>
      </c>
      <c r="F13" s="191">
        <f>+'2 - COSTOS &amp; GASTOS'!E21</f>
        <v>8576000</v>
      </c>
      <c r="G13" s="279">
        <f>+'2 - COSTOS &amp; GASTOS'!F21</f>
        <v>10576000</v>
      </c>
    </row>
    <row r="14" spans="1:7" x14ac:dyDescent="0.25">
      <c r="A14" s="280" t="s">
        <v>73</v>
      </c>
      <c r="B14" s="193"/>
      <c r="C14" s="191">
        <f>+'Diferido '!B16+'Diferido '!C16</f>
        <v>25200000</v>
      </c>
      <c r="D14" s="191">
        <f>+'Diferido '!D16</f>
        <v>9000000</v>
      </c>
      <c r="E14" s="191">
        <f>+'Diferido '!E16</f>
        <v>9800000</v>
      </c>
      <c r="F14" s="191">
        <f>+'Diferido '!F16</f>
        <v>13000000</v>
      </c>
      <c r="G14" s="191">
        <f>+'Diferido '!G16</f>
        <v>13000000</v>
      </c>
    </row>
    <row r="15" spans="1:7" x14ac:dyDescent="0.25">
      <c r="A15" s="280" t="s">
        <v>74</v>
      </c>
      <c r="B15" s="193"/>
      <c r="C15" s="191">
        <f>+NOMINA!B21</f>
        <v>2200000</v>
      </c>
      <c r="D15" s="191">
        <f>+NOMINA!B34</f>
        <v>2349600</v>
      </c>
      <c r="E15" s="191">
        <f>+NOMINA!B47</f>
        <v>2474128.7999999998</v>
      </c>
      <c r="F15" s="191">
        <f>+NOMINA!B60</f>
        <v>2575568.0807999996</v>
      </c>
      <c r="G15" s="279">
        <f>+NOMINA!B73</f>
        <v>2665712.9636279996</v>
      </c>
    </row>
    <row r="16" spans="1:7" ht="15.75" x14ac:dyDescent="0.25">
      <c r="A16" s="285" t="s">
        <v>75</v>
      </c>
      <c r="B16" s="286">
        <f t="shared" ref="B16:G16" si="3">+B6-B8</f>
        <v>0</v>
      </c>
      <c r="C16" s="286">
        <f t="shared" si="3"/>
        <v>189075265.5963546</v>
      </c>
      <c r="D16" s="286">
        <f t="shared" si="3"/>
        <v>229317832.03467429</v>
      </c>
      <c r="E16" s="286">
        <f t="shared" si="3"/>
        <v>256765374.86977482</v>
      </c>
      <c r="F16" s="286">
        <f t="shared" si="3"/>
        <v>284995665.39023662</v>
      </c>
      <c r="G16" s="290">
        <f t="shared" si="3"/>
        <v>320076936.35412943</v>
      </c>
    </row>
    <row r="17" spans="1:26" x14ac:dyDescent="0.25">
      <c r="A17" s="280"/>
      <c r="B17" s="193"/>
      <c r="C17" s="191"/>
      <c r="D17" s="191"/>
      <c r="E17" s="191"/>
      <c r="F17" s="191"/>
      <c r="G17" s="279"/>
    </row>
    <row r="18" spans="1:26" ht="15.95" customHeight="1" x14ac:dyDescent="0.25">
      <c r="A18" s="410" t="s">
        <v>76</v>
      </c>
      <c r="B18" s="287">
        <f t="shared" ref="B18:G18" si="4">B19</f>
        <v>0</v>
      </c>
      <c r="C18" s="287">
        <f t="shared" si="4"/>
        <v>3289254.3315180414</v>
      </c>
      <c r="D18" s="287">
        <f t="shared" si="4"/>
        <v>2565014.8456792063</v>
      </c>
      <c r="E18" s="287">
        <f t="shared" si="4"/>
        <v>1840775.3598403721</v>
      </c>
      <c r="F18" s="287">
        <f t="shared" si="4"/>
        <v>1116535.874001537</v>
      </c>
      <c r="G18" s="288">
        <f t="shared" si="4"/>
        <v>392296.38816270215</v>
      </c>
    </row>
    <row r="19" spans="1:26" x14ac:dyDescent="0.25">
      <c r="A19" s="280" t="s">
        <v>77</v>
      </c>
      <c r="B19" s="194">
        <v>0</v>
      </c>
      <c r="C19" s="194">
        <f>+'2 - COSTOS &amp; GASTOS'!B24</f>
        <v>3289254.3315180414</v>
      </c>
      <c r="D19" s="194">
        <f>+'2 - COSTOS &amp; GASTOS'!C24</f>
        <v>2565014.8456792063</v>
      </c>
      <c r="E19" s="194">
        <f>+'2 - COSTOS &amp; GASTOS'!D24</f>
        <v>1840775.3598403721</v>
      </c>
      <c r="F19" s="194">
        <f>+'2 - COSTOS &amp; GASTOS'!E24</f>
        <v>1116535.874001537</v>
      </c>
      <c r="G19" s="281">
        <f>+'2 - COSTOS &amp; GASTOS'!F24</f>
        <v>392296.38816270215</v>
      </c>
    </row>
    <row r="20" spans="1:26" ht="15.75" x14ac:dyDescent="0.25">
      <c r="A20" s="285" t="s">
        <v>78</v>
      </c>
      <c r="B20" s="287">
        <f>+B16-B18</f>
        <v>0</v>
      </c>
      <c r="C20" s="287">
        <f>+C16-C18</f>
        <v>185786011.26483655</v>
      </c>
      <c r="D20" s="287">
        <f t="shared" ref="D20:G20" si="5">+D16-D18</f>
        <v>226752817.18899509</v>
      </c>
      <c r="E20" s="287">
        <f t="shared" si="5"/>
        <v>254924599.50993446</v>
      </c>
      <c r="F20" s="287">
        <f t="shared" si="5"/>
        <v>283879129.51623505</v>
      </c>
      <c r="G20" s="288">
        <f t="shared" si="5"/>
        <v>319684639.96596676</v>
      </c>
    </row>
    <row r="21" spans="1:26" x14ac:dyDescent="0.25">
      <c r="A21" s="280" t="s">
        <v>79</v>
      </c>
      <c r="B21" s="191"/>
      <c r="C21" s="191">
        <f>0.3*C20</f>
        <v>55735803.379450962</v>
      </c>
      <c r="D21" s="408">
        <f>0.3*D20</f>
        <v>68025845.156698525</v>
      </c>
      <c r="E21" s="191">
        <f>0.3*E20</f>
        <v>76477379.852980331</v>
      </c>
      <c r="F21" s="191">
        <f>0.3*F20</f>
        <v>85163738.854870513</v>
      </c>
      <c r="G21" s="279">
        <f>0.3*G20</f>
        <v>95905391.989790022</v>
      </c>
    </row>
    <row r="22" spans="1:26" ht="15.75" x14ac:dyDescent="0.25">
      <c r="A22" s="285" t="s">
        <v>80</v>
      </c>
      <c r="B22" s="287">
        <f>+B20-B21</f>
        <v>0</v>
      </c>
      <c r="C22" s="287">
        <f>+C20-C21</f>
        <v>130050207.88538559</v>
      </c>
      <c r="D22" s="287">
        <f t="shared" ref="D22:G22" si="6">+D20-D21</f>
        <v>158726972.03229657</v>
      </c>
      <c r="E22" s="287">
        <f t="shared" si="6"/>
        <v>178447219.65695411</v>
      </c>
      <c r="F22" s="287">
        <f t="shared" si="6"/>
        <v>198715390.66136456</v>
      </c>
      <c r="G22" s="288">
        <f t="shared" si="6"/>
        <v>223779247.97617674</v>
      </c>
    </row>
    <row r="23" spans="1:26" x14ac:dyDescent="0.25">
      <c r="A23" s="280" t="s">
        <v>81</v>
      </c>
      <c r="B23" s="194"/>
      <c r="C23" s="194">
        <f>0.1*C22</f>
        <v>13005020.78853856</v>
      </c>
      <c r="D23" s="194">
        <f>0.1*D22</f>
        <v>15872697.203229658</v>
      </c>
      <c r="E23" s="194">
        <f>0.1*E22</f>
        <v>17844721.965695411</v>
      </c>
      <c r="F23" s="194">
        <f>0.1*F22</f>
        <v>19871539.066136457</v>
      </c>
      <c r="G23" s="281">
        <f>0.1*G22</f>
        <v>22377924.797617674</v>
      </c>
    </row>
    <row r="24" spans="1:26" ht="21.75" thickBot="1" x14ac:dyDescent="0.4">
      <c r="A24" s="291" t="s">
        <v>82</v>
      </c>
      <c r="B24" s="289">
        <f>+B22-B23</f>
        <v>0</v>
      </c>
      <c r="C24" s="289">
        <f>+C22-C23</f>
        <v>117045187.09684703</v>
      </c>
      <c r="D24" s="289">
        <f t="shared" ref="D24:G24" si="7">+D22-D23</f>
        <v>142854274.8290669</v>
      </c>
      <c r="E24" s="289">
        <f t="shared" si="7"/>
        <v>160602497.6912587</v>
      </c>
      <c r="F24" s="289">
        <f t="shared" si="7"/>
        <v>178843851.59522811</v>
      </c>
      <c r="G24" s="292">
        <f t="shared" si="7"/>
        <v>201401323.17855906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6" spans="1:26" ht="15.75" customHeight="1" x14ac:dyDescent="0.25">
      <c r="C26" s="180"/>
      <c r="D26" s="180"/>
      <c r="E26" s="180"/>
      <c r="F26" s="180"/>
      <c r="G26" s="180"/>
    </row>
    <row r="27" spans="1:26" ht="15.75" customHeight="1" x14ac:dyDescent="0.25">
      <c r="C27" s="179"/>
      <c r="D27" s="179"/>
      <c r="E27" s="179"/>
      <c r="F27" s="179"/>
      <c r="G27" s="179"/>
    </row>
    <row r="28" spans="1:26" ht="15.75" customHeight="1" x14ac:dyDescent="0.25">
      <c r="C28" s="179"/>
      <c r="D28" s="179"/>
      <c r="E28" s="179"/>
      <c r="F28" s="179"/>
      <c r="G28" s="179"/>
    </row>
    <row r="29" spans="1:26" ht="15.75" customHeight="1" x14ac:dyDescent="0.25">
      <c r="C29" s="179"/>
      <c r="D29" s="179"/>
      <c r="E29" s="179"/>
      <c r="F29" s="179"/>
      <c r="G29" s="179"/>
    </row>
    <row r="30" spans="1:26" ht="15.75" customHeight="1" x14ac:dyDescent="0.25">
      <c r="C30" s="179"/>
    </row>
    <row r="31" spans="1:26" ht="15.75" customHeight="1" x14ac:dyDescent="0.25">
      <c r="C31" s="179"/>
    </row>
    <row r="32" spans="1:26" ht="15.75" customHeight="1" x14ac:dyDescent="0.25">
      <c r="C32" s="179"/>
    </row>
    <row r="33" spans="3:3" ht="15.75" customHeight="1" x14ac:dyDescent="0.25">
      <c r="C33" s="179"/>
    </row>
    <row r="34" spans="3:3" ht="15.75" customHeight="1" x14ac:dyDescent="0.25"/>
    <row r="35" spans="3:3" ht="15.75" customHeight="1" x14ac:dyDescent="0.25"/>
    <row r="36" spans="3:3" ht="15.75" customHeight="1" x14ac:dyDescent="0.25"/>
    <row r="37" spans="3:3" ht="15.75" customHeight="1" x14ac:dyDescent="0.25"/>
    <row r="38" spans="3:3" ht="15.75" customHeight="1" x14ac:dyDescent="0.25"/>
    <row r="39" spans="3:3" ht="15.75" customHeight="1" x14ac:dyDescent="0.25"/>
    <row r="40" spans="3:3" ht="15.75" customHeight="1" x14ac:dyDescent="0.25"/>
    <row r="41" spans="3:3" ht="15.75" customHeight="1" x14ac:dyDescent="0.25"/>
    <row r="42" spans="3:3" ht="15.75" customHeight="1" x14ac:dyDescent="0.25"/>
    <row r="43" spans="3:3" ht="15.75" customHeight="1" x14ac:dyDescent="0.25"/>
    <row r="44" spans="3:3" ht="15.75" customHeight="1" x14ac:dyDescent="0.25"/>
    <row r="45" spans="3:3" ht="15.75" customHeight="1" x14ac:dyDescent="0.25"/>
    <row r="46" spans="3:3" ht="15.75" customHeight="1" x14ac:dyDescent="0.25"/>
    <row r="47" spans="3:3" ht="15.75" customHeight="1" x14ac:dyDescent="0.25"/>
    <row r="48" spans="3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2">
    <mergeCell ref="A1:A2"/>
    <mergeCell ref="B1:G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BB74-BF9D-47B7-B231-062D9A54195B}">
  <sheetPr>
    <tabColor rgb="FFFF0000"/>
  </sheetPr>
  <dimension ref="A1:Z993"/>
  <sheetViews>
    <sheetView topLeftCell="B1" zoomScale="74" zoomScaleNormal="74" workbookViewId="0">
      <selection activeCell="C16" sqref="C16"/>
    </sheetView>
  </sheetViews>
  <sheetFormatPr baseColWidth="10" defaultColWidth="14.42578125" defaultRowHeight="15" customHeight="1" x14ac:dyDescent="0.25"/>
  <cols>
    <col min="1" max="1" width="55.28515625" customWidth="1"/>
    <col min="2" max="7" width="28.42578125" customWidth="1"/>
    <col min="8" max="26" width="10.7109375" customWidth="1"/>
  </cols>
  <sheetData>
    <row r="1" spans="1:26" ht="21" x14ac:dyDescent="0.35">
      <c r="A1" s="549" t="s">
        <v>62</v>
      </c>
      <c r="B1" s="551" t="s">
        <v>49</v>
      </c>
      <c r="C1" s="552"/>
      <c r="D1" s="552"/>
      <c r="E1" s="552"/>
      <c r="F1" s="552"/>
      <c r="G1" s="553"/>
    </row>
    <row r="2" spans="1:26" ht="21" x14ac:dyDescent="0.35">
      <c r="A2" s="550"/>
      <c r="B2" s="146">
        <v>0</v>
      </c>
      <c r="C2" s="146">
        <v>1</v>
      </c>
      <c r="D2" s="146">
        <v>2</v>
      </c>
      <c r="E2" s="146">
        <v>3</v>
      </c>
      <c r="F2" s="146">
        <v>4</v>
      </c>
      <c r="G2" s="146">
        <v>5</v>
      </c>
    </row>
    <row r="3" spans="1:26" x14ac:dyDescent="0.25">
      <c r="A3" s="142" t="s">
        <v>63</v>
      </c>
      <c r="B3" s="145">
        <v>0</v>
      </c>
      <c r="C3" s="145">
        <f>C4</f>
        <v>478820595.87071991</v>
      </c>
      <c r="D3" s="145">
        <f>D4</f>
        <v>530916276.70145434</v>
      </c>
      <c r="E3" s="145">
        <f>E4</f>
        <v>588679967.60657275</v>
      </c>
      <c r="F3" s="145">
        <f>F4</f>
        <v>652728348.08216786</v>
      </c>
      <c r="G3" s="145">
        <f>G4</f>
        <v>723745192.35350788</v>
      </c>
      <c r="H3" s="45"/>
    </row>
    <row r="4" spans="1:26" x14ac:dyDescent="0.25">
      <c r="A4" s="7" t="s">
        <v>220</v>
      </c>
      <c r="B4" s="147">
        <v>0</v>
      </c>
      <c r="C4" s="6">
        <f>'3 - INGRESOS'!B15</f>
        <v>478820595.87071991</v>
      </c>
      <c r="D4" s="6">
        <f>'3 - INGRESOS'!C15</f>
        <v>530916276.70145434</v>
      </c>
      <c r="E4" s="6">
        <f>'3 - INGRESOS'!D15</f>
        <v>588679967.60657275</v>
      </c>
      <c r="F4" s="6">
        <f>'3 - INGRESOS'!E15</f>
        <v>652728348.08216786</v>
      </c>
      <c r="G4" s="6">
        <f>'3 - INGRESOS'!F15</f>
        <v>723745192.35350788</v>
      </c>
    </row>
    <row r="5" spans="1:26" x14ac:dyDescent="0.25">
      <c r="A5" s="142" t="s">
        <v>221</v>
      </c>
      <c r="B5" s="145">
        <f t="shared" ref="B5:G5" si="0">B6+B7</f>
        <v>0</v>
      </c>
      <c r="C5" s="145">
        <f t="shared" si="0"/>
        <v>209941897.62924534</v>
      </c>
      <c r="D5" s="145">
        <f t="shared" si="0"/>
        <v>213112398.54987103</v>
      </c>
      <c r="E5" s="145">
        <f t="shared" si="0"/>
        <v>233801264.80236909</v>
      </c>
      <c r="F5" s="145">
        <f t="shared" si="0"/>
        <v>258944624.6782366</v>
      </c>
      <c r="G5" s="145">
        <f t="shared" si="0"/>
        <v>283044057.27379382</v>
      </c>
    </row>
    <row r="6" spans="1:26" x14ac:dyDescent="0.25">
      <c r="A6" s="7"/>
      <c r="B6" s="310"/>
      <c r="C6" s="6"/>
      <c r="D6" s="6"/>
      <c r="E6" s="6"/>
      <c r="F6" s="6"/>
      <c r="G6" s="6"/>
    </row>
    <row r="7" spans="1:26" x14ac:dyDescent="0.25">
      <c r="A7" s="122" t="s">
        <v>222</v>
      </c>
      <c r="B7" s="37"/>
      <c r="C7" s="404">
        <f>+'4 - ESTADO DE RESULTADOS  FINAL'!C5+'4 - ESTADO DE RESULTADOS  FINAL'!C8</f>
        <v>209941897.62924534</v>
      </c>
      <c r="D7" s="404">
        <f>+'4 - ESTADO DE RESULTADOS  FINAL'!D5+'4 - ESTADO DE RESULTADOS  FINAL'!D8</f>
        <v>213112398.54987103</v>
      </c>
      <c r="E7" s="404">
        <f>+'4 - ESTADO DE RESULTADOS  FINAL'!E5+'4 - ESTADO DE RESULTADOS  FINAL'!E8</f>
        <v>233801264.80236909</v>
      </c>
      <c r="F7" s="404">
        <f>+'4 - ESTADO DE RESULTADOS  FINAL'!F5+'4 - ESTADO DE RESULTADOS  FINAL'!F8</f>
        <v>258944624.6782366</v>
      </c>
      <c r="G7" s="404">
        <f>+'4 - ESTADO DE RESULTADOS  FINAL'!G5+'4 - ESTADO DE RESULTADOS  FINAL'!G8</f>
        <v>283044057.27379382</v>
      </c>
    </row>
    <row r="8" spans="1:26" x14ac:dyDescent="0.25">
      <c r="A8" s="142" t="s">
        <v>223</v>
      </c>
      <c r="B8" s="145">
        <v>0</v>
      </c>
      <c r="C8" s="144">
        <f>C9</f>
        <v>3289254.3315180414</v>
      </c>
      <c r="D8" s="144">
        <f>D9</f>
        <v>2565014.8456792063</v>
      </c>
      <c r="E8" s="144">
        <f>E9</f>
        <v>1840775.3598403721</v>
      </c>
      <c r="F8" s="144">
        <f>F9</f>
        <v>1116535.874001537</v>
      </c>
      <c r="G8" s="144">
        <f>G9</f>
        <v>392296.38816270215</v>
      </c>
    </row>
    <row r="9" spans="1:26" ht="14.1" customHeight="1" x14ac:dyDescent="0.25">
      <c r="A9" s="7" t="s">
        <v>224</v>
      </c>
      <c r="B9" s="21">
        <v>0</v>
      </c>
      <c r="C9" s="21">
        <f>+'4 - ESTADO DE RESULTADOS  FINAL'!C19</f>
        <v>3289254.3315180414</v>
      </c>
      <c r="D9" s="21">
        <f>+'4 - ESTADO DE RESULTADOS  FINAL'!D19</f>
        <v>2565014.8456792063</v>
      </c>
      <c r="E9" s="21">
        <f>+'4 - ESTADO DE RESULTADOS  FINAL'!E19</f>
        <v>1840775.3598403721</v>
      </c>
      <c r="F9" s="21">
        <f>+'4 - ESTADO DE RESULTADOS  FINAL'!F19</f>
        <v>1116535.874001537</v>
      </c>
      <c r="G9" s="21">
        <f>+'4 - ESTADO DE RESULTADOS  FINAL'!G19</f>
        <v>392296.38816270215</v>
      </c>
    </row>
    <row r="10" spans="1:26" x14ac:dyDescent="0.25">
      <c r="A10" s="12" t="s">
        <v>78</v>
      </c>
      <c r="B10" s="143">
        <f>B4-B6</f>
        <v>0</v>
      </c>
      <c r="C10" s="20">
        <f>C4-C5-C8</f>
        <v>265589443.90995651</v>
      </c>
      <c r="D10" s="20">
        <f>D4-D5-D8</f>
        <v>315238863.30590409</v>
      </c>
      <c r="E10" s="20">
        <f>E4-E5-E8</f>
        <v>353037927.44436324</v>
      </c>
      <c r="F10" s="20">
        <f>F4-F5-F8</f>
        <v>392667187.5299297</v>
      </c>
      <c r="G10" s="20">
        <f>G4-G5-G8</f>
        <v>440308838.69155139</v>
      </c>
    </row>
    <row r="11" spans="1:26" x14ac:dyDescent="0.25">
      <c r="A11" s="7" t="s">
        <v>79</v>
      </c>
      <c r="B11" s="6"/>
      <c r="C11" s="6">
        <f>0.3*C10</f>
        <v>79676833.172986954</v>
      </c>
      <c r="D11" s="6">
        <f>0.3*D10</f>
        <v>94571658.991771221</v>
      </c>
      <c r="E11" s="6">
        <f>0.3*E10</f>
        <v>105911378.23330897</v>
      </c>
      <c r="F11" s="6">
        <f>0.3*F10</f>
        <v>117800156.2589789</v>
      </c>
      <c r="G11" s="6">
        <f>0.3*G10</f>
        <v>132092651.60746542</v>
      </c>
    </row>
    <row r="12" spans="1:26" x14ac:dyDescent="0.25">
      <c r="A12" s="12" t="s">
        <v>80</v>
      </c>
      <c r="B12" s="20">
        <f t="shared" ref="B12:G12" si="1">B10-B11</f>
        <v>0</v>
      </c>
      <c r="C12" s="20">
        <f t="shared" si="1"/>
        <v>185912610.73696956</v>
      </c>
      <c r="D12" s="20">
        <f t="shared" si="1"/>
        <v>220667204.31413287</v>
      </c>
      <c r="E12" s="20">
        <f t="shared" si="1"/>
        <v>247126549.21105427</v>
      </c>
      <c r="F12" s="20">
        <f t="shared" si="1"/>
        <v>274867031.27095079</v>
      </c>
      <c r="G12" s="20">
        <f t="shared" si="1"/>
        <v>308216187.08408594</v>
      </c>
    </row>
    <row r="13" spans="1:26" x14ac:dyDescent="0.25">
      <c r="A13" s="7" t="s">
        <v>81</v>
      </c>
      <c r="B13" s="21"/>
      <c r="C13" s="21">
        <f>0.1*C12</f>
        <v>18591261.073696956</v>
      </c>
      <c r="D13" s="21">
        <f>0.1*D12</f>
        <v>22066720.431413289</v>
      </c>
      <c r="E13" s="21">
        <f>0.1*E12</f>
        <v>24712654.92110543</v>
      </c>
      <c r="F13" s="21">
        <f>0.1*F12</f>
        <v>27486703.127095081</v>
      </c>
      <c r="G13" s="21">
        <f>0.1*G12</f>
        <v>30821618.708408594</v>
      </c>
    </row>
    <row r="14" spans="1:26" ht="21" x14ac:dyDescent="0.35">
      <c r="A14" s="8" t="s">
        <v>225</v>
      </c>
      <c r="B14" s="22">
        <f>B12</f>
        <v>0</v>
      </c>
      <c r="C14" s="22">
        <f>C12-C13</f>
        <v>167321349.66327262</v>
      </c>
      <c r="D14" s="22">
        <f>D12-D13</f>
        <v>198600483.88271958</v>
      </c>
      <c r="E14" s="22">
        <f>E12-E13</f>
        <v>222413894.28994882</v>
      </c>
      <c r="F14" s="22">
        <f>F12-F13</f>
        <v>247380328.14385572</v>
      </c>
      <c r="G14" s="22">
        <f>G12-G13</f>
        <v>277394568.37567735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2">
    <mergeCell ref="A1:A2"/>
    <mergeCell ref="B1:G1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8923-F052-4058-86D0-D331FFCBCA9E}">
  <sheetPr>
    <tabColor rgb="FFFF0000"/>
  </sheetPr>
  <dimension ref="A1:Z993"/>
  <sheetViews>
    <sheetView topLeftCell="B1" zoomScale="74" zoomScaleNormal="74" workbookViewId="0">
      <selection activeCell="H20" sqref="H20"/>
    </sheetView>
  </sheetViews>
  <sheetFormatPr baseColWidth="10" defaultColWidth="14.42578125" defaultRowHeight="15" customHeight="1" x14ac:dyDescent="0.25"/>
  <cols>
    <col min="1" max="1" width="55.28515625" customWidth="1"/>
    <col min="2" max="7" width="28.42578125" customWidth="1"/>
    <col min="8" max="26" width="10.7109375" customWidth="1"/>
  </cols>
  <sheetData>
    <row r="1" spans="1:26" ht="21" x14ac:dyDescent="0.35">
      <c r="A1" s="549" t="s">
        <v>62</v>
      </c>
      <c r="B1" s="551" t="s">
        <v>49</v>
      </c>
      <c r="C1" s="552"/>
      <c r="D1" s="552"/>
      <c r="E1" s="552"/>
      <c r="F1" s="552"/>
      <c r="G1" s="553"/>
    </row>
    <row r="2" spans="1:26" ht="21" x14ac:dyDescent="0.35">
      <c r="A2" s="550"/>
      <c r="B2" s="146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</row>
    <row r="3" spans="1:26" x14ac:dyDescent="0.25">
      <c r="A3" s="142" t="s">
        <v>63</v>
      </c>
      <c r="B3" s="148">
        <v>0</v>
      </c>
      <c r="C3" s="148">
        <f>C4</f>
        <v>279312014.25791997</v>
      </c>
      <c r="D3" s="148">
        <f>D4</f>
        <v>309701161.40918171</v>
      </c>
      <c r="E3" s="148">
        <f>E4</f>
        <v>343396647.77050072</v>
      </c>
      <c r="F3" s="148">
        <f>F4</f>
        <v>380758203.04793125</v>
      </c>
      <c r="G3" s="148">
        <f>G4</f>
        <v>422184695.53954625</v>
      </c>
    </row>
    <row r="4" spans="1:26" x14ac:dyDescent="0.25">
      <c r="A4" s="7" t="s">
        <v>220</v>
      </c>
      <c r="B4" s="147">
        <v>0</v>
      </c>
      <c r="C4" s="6">
        <f>'3 - INGRESOS'!B17</f>
        <v>279312014.25791997</v>
      </c>
      <c r="D4" s="6">
        <f>'3 - INGRESOS'!C17</f>
        <v>309701161.40918171</v>
      </c>
      <c r="E4" s="6">
        <f>'3 - INGRESOS'!D17</f>
        <v>343396647.77050072</v>
      </c>
      <c r="F4" s="6">
        <f>'3 - INGRESOS'!E17</f>
        <v>380758203.04793125</v>
      </c>
      <c r="G4" s="6">
        <f>'3 - INGRESOS'!F17</f>
        <v>422184695.53954625</v>
      </c>
    </row>
    <row r="5" spans="1:26" ht="15" customHeight="1" x14ac:dyDescent="0.25">
      <c r="A5" s="142" t="s">
        <v>221</v>
      </c>
      <c r="B5" s="145">
        <f t="shared" ref="B5:G5" si="0">B6+B7</f>
        <v>0</v>
      </c>
      <c r="C5" s="145">
        <f t="shared" si="0"/>
        <v>209941897.62924534</v>
      </c>
      <c r="D5" s="145">
        <f t="shared" si="0"/>
        <v>213112398.54987103</v>
      </c>
      <c r="E5" s="145">
        <f t="shared" si="0"/>
        <v>233801264.80236909</v>
      </c>
      <c r="F5" s="145">
        <f t="shared" si="0"/>
        <v>258944624.6782366</v>
      </c>
      <c r="G5" s="145">
        <f t="shared" si="0"/>
        <v>283044057.27379382</v>
      </c>
    </row>
    <row r="6" spans="1:26" x14ac:dyDescent="0.25">
      <c r="A6" s="7"/>
      <c r="B6" s="310"/>
      <c r="C6" s="6"/>
      <c r="D6" s="6"/>
      <c r="E6" s="6"/>
      <c r="F6" s="6"/>
      <c r="G6" s="6"/>
    </row>
    <row r="7" spans="1:26" x14ac:dyDescent="0.25">
      <c r="A7" s="122" t="s">
        <v>222</v>
      </c>
      <c r="B7" s="37"/>
      <c r="C7" s="404">
        <f>+'4 - ESTADO DE RESULTADOS (OP.)'!C7</f>
        <v>209941897.62924534</v>
      </c>
      <c r="D7" s="404">
        <f>+'4 - ESTADO DE RESULTADOS (OP.)'!D7</f>
        <v>213112398.54987103</v>
      </c>
      <c r="E7" s="404">
        <f>+'4 - ESTADO DE RESULTADOS (OP.)'!E7</f>
        <v>233801264.80236909</v>
      </c>
      <c r="F7" s="404">
        <f>+'4 - ESTADO DE RESULTADOS (OP.)'!F7</f>
        <v>258944624.6782366</v>
      </c>
      <c r="G7" s="404">
        <f>+'4 - ESTADO DE RESULTADOS (OP.)'!G7</f>
        <v>283044057.27379382</v>
      </c>
    </row>
    <row r="8" spans="1:26" x14ac:dyDescent="0.25">
      <c r="A8" s="142" t="s">
        <v>223</v>
      </c>
      <c r="B8" s="145">
        <v>0</v>
      </c>
      <c r="C8" s="144">
        <f>C9</f>
        <v>3289254.3315180414</v>
      </c>
      <c r="D8" s="144">
        <f>D9</f>
        <v>2565014.8456792063</v>
      </c>
      <c r="E8" s="144">
        <f>E9</f>
        <v>1840775.3598403721</v>
      </c>
      <c r="F8" s="144">
        <f>F9</f>
        <v>1116535.874001537</v>
      </c>
      <c r="G8" s="144">
        <f>G9</f>
        <v>392296.38816270215</v>
      </c>
    </row>
    <row r="9" spans="1:26" x14ac:dyDescent="0.25">
      <c r="A9" s="7" t="s">
        <v>224</v>
      </c>
      <c r="B9" s="21">
        <v>0</v>
      </c>
      <c r="C9" s="21">
        <f>+'4 - ESTADO DE RESULTADOS (OP.)'!C9</f>
        <v>3289254.3315180414</v>
      </c>
      <c r="D9" s="21">
        <f>+'4 - ESTADO DE RESULTADOS (OP.)'!D9</f>
        <v>2565014.8456792063</v>
      </c>
      <c r="E9" s="21">
        <f>+'4 - ESTADO DE RESULTADOS (OP.)'!E9</f>
        <v>1840775.3598403721</v>
      </c>
      <c r="F9" s="21">
        <f>+'4 - ESTADO DE RESULTADOS (OP.)'!F9</f>
        <v>1116535.874001537</v>
      </c>
      <c r="G9" s="21">
        <f>+'4 - ESTADO DE RESULTADOS (OP.)'!G9</f>
        <v>392296.38816270215</v>
      </c>
    </row>
    <row r="10" spans="1:26" x14ac:dyDescent="0.25">
      <c r="A10" s="12" t="s">
        <v>78</v>
      </c>
      <c r="B10" s="143">
        <f>B4-B6</f>
        <v>0</v>
      </c>
      <c r="C10" s="20">
        <f>C4-C5-C8</f>
        <v>66080862.297156587</v>
      </c>
      <c r="D10" s="20">
        <f>D4-D5-D8</f>
        <v>94023748.013631478</v>
      </c>
      <c r="E10" s="20">
        <f>E4-E5-E8</f>
        <v>107754607.60829125</v>
      </c>
      <c r="F10" s="20">
        <f>F4-F5-F8</f>
        <v>120697042.49569312</v>
      </c>
      <c r="G10" s="20">
        <f>G4-G5-G8</f>
        <v>138748341.87758973</v>
      </c>
    </row>
    <row r="11" spans="1:26" x14ac:dyDescent="0.25">
      <c r="A11" s="7" t="s">
        <v>79</v>
      </c>
      <c r="B11" s="6"/>
      <c r="C11" s="6">
        <f>0.3*C10</f>
        <v>19824258.689146977</v>
      </c>
      <c r="D11" s="6">
        <f>0.3*D10</f>
        <v>28207124.404089443</v>
      </c>
      <c r="E11" s="6">
        <f>0.3*E10</f>
        <v>32326382.282487374</v>
      </c>
      <c r="F11" s="6">
        <f>0.3*F10</f>
        <v>36209112.748707935</v>
      </c>
      <c r="G11" s="6">
        <f>0.3*G10</f>
        <v>41624502.563276917</v>
      </c>
    </row>
    <row r="12" spans="1:26" x14ac:dyDescent="0.25">
      <c r="A12" s="12" t="s">
        <v>80</v>
      </c>
      <c r="B12" s="20">
        <f t="shared" ref="B12:G12" si="1">B10-B11</f>
        <v>0</v>
      </c>
      <c r="C12" s="20">
        <f t="shared" si="1"/>
        <v>46256603.608009607</v>
      </c>
      <c r="D12" s="20">
        <f t="shared" si="1"/>
        <v>65816623.609542035</v>
      </c>
      <c r="E12" s="20">
        <f t="shared" si="1"/>
        <v>75428225.325803876</v>
      </c>
      <c r="F12" s="20">
        <f t="shared" si="1"/>
        <v>84487929.746985182</v>
      </c>
      <c r="G12" s="20">
        <f t="shared" si="1"/>
        <v>97123839.314312816</v>
      </c>
    </row>
    <row r="13" spans="1:26" x14ac:dyDescent="0.25">
      <c r="A13" s="7" t="s">
        <v>81</v>
      </c>
      <c r="B13" s="21"/>
      <c r="C13" s="21">
        <f>0.1*C12</f>
        <v>4625660.360800961</v>
      </c>
      <c r="D13" s="21">
        <f>0.1*D12</f>
        <v>6581662.3609542036</v>
      </c>
      <c r="E13" s="21">
        <f>0.1*E12</f>
        <v>7542822.5325803878</v>
      </c>
      <c r="F13" s="21">
        <f>0.1*F12</f>
        <v>8448792.9746985193</v>
      </c>
      <c r="G13" s="21">
        <f>0.1*G12</f>
        <v>9712383.9314312823</v>
      </c>
    </row>
    <row r="14" spans="1:26" ht="15.75" customHeight="1" x14ac:dyDescent="0.35">
      <c r="A14" s="8" t="s">
        <v>225</v>
      </c>
      <c r="B14" s="22">
        <f>B12</f>
        <v>0</v>
      </c>
      <c r="C14" s="22">
        <f>C12-C13</f>
        <v>41630943.247208647</v>
      </c>
      <c r="D14" s="22">
        <f>D12-D13</f>
        <v>59234961.248587832</v>
      </c>
      <c r="E14" s="22">
        <f>E12-E13</f>
        <v>67885402.793223485</v>
      </c>
      <c r="F14" s="22">
        <f>F12-F13</f>
        <v>76039136.772286668</v>
      </c>
      <c r="G14" s="22">
        <f>G12-G13</f>
        <v>87411455.382881537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2">
    <mergeCell ref="A1:A2"/>
    <mergeCell ref="B1:G1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8E80-AF8E-4780-8777-6ABB1FB8AB66}">
  <sheetPr>
    <tabColor rgb="FF00B050"/>
  </sheetPr>
  <dimension ref="A1:S30"/>
  <sheetViews>
    <sheetView topLeftCell="A11" zoomScale="85" zoomScaleNormal="85" workbookViewId="0">
      <selection activeCell="N19" sqref="N19"/>
    </sheetView>
  </sheetViews>
  <sheetFormatPr baseColWidth="10" defaultColWidth="10.85546875" defaultRowHeight="15" x14ac:dyDescent="0.25"/>
  <cols>
    <col min="1" max="1" width="37.42578125" style="338" bestFit="1" customWidth="1"/>
    <col min="2" max="2" width="22.140625" style="338" bestFit="1" customWidth="1"/>
    <col min="3" max="3" width="23.5703125" style="338" bestFit="1" customWidth="1"/>
    <col min="4" max="7" width="23.42578125" style="338" customWidth="1"/>
    <col min="8" max="8" width="16.42578125" style="338" hidden="1" customWidth="1"/>
    <col min="9" max="9" width="15.28515625" style="338" hidden="1" customWidth="1"/>
    <col min="10" max="12" width="14.28515625" style="338" hidden="1" customWidth="1"/>
    <col min="13" max="13" width="13.42578125" style="338" bestFit="1" customWidth="1"/>
    <col min="14" max="14" width="15" style="338" bestFit="1" customWidth="1"/>
    <col min="15" max="15" width="13.5703125" style="338" customWidth="1"/>
    <col min="16" max="16" width="12.140625" style="338" customWidth="1"/>
    <col min="17" max="17" width="14.140625" style="338" customWidth="1"/>
    <col min="18" max="18" width="15.5703125" style="338" customWidth="1"/>
    <col min="19" max="19" width="36.28515625" style="338" bestFit="1" customWidth="1"/>
    <col min="20" max="16384" width="10.85546875" style="338"/>
  </cols>
  <sheetData>
    <row r="1" spans="1:19" ht="21" x14ac:dyDescent="0.35">
      <c r="A1" s="547"/>
      <c r="B1" s="548" t="s">
        <v>49</v>
      </c>
      <c r="C1" s="548"/>
      <c r="D1" s="548"/>
      <c r="E1" s="548"/>
      <c r="F1" s="548"/>
      <c r="G1" s="548"/>
    </row>
    <row r="2" spans="1:19" ht="21" x14ac:dyDescent="0.35">
      <c r="A2" s="547"/>
      <c r="B2" s="339">
        <v>0</v>
      </c>
      <c r="C2" s="339">
        <v>1</v>
      </c>
      <c r="D2" s="339">
        <v>2</v>
      </c>
      <c r="E2" s="339">
        <v>3</v>
      </c>
      <c r="F2" s="339">
        <v>4</v>
      </c>
      <c r="G2" s="339">
        <v>5</v>
      </c>
      <c r="N2" s="340" t="s">
        <v>97</v>
      </c>
      <c r="O2" s="340" t="s">
        <v>98</v>
      </c>
      <c r="P2" s="340" t="s">
        <v>99</v>
      </c>
      <c r="Q2" s="340" t="s">
        <v>100</v>
      </c>
      <c r="R2" s="340" t="s">
        <v>101</v>
      </c>
    </row>
    <row r="3" spans="1:19" x14ac:dyDescent="0.25">
      <c r="A3" s="341" t="s">
        <v>83</v>
      </c>
      <c r="B3" s="342"/>
      <c r="C3" s="342"/>
      <c r="D3" s="342"/>
      <c r="E3" s="342"/>
      <c r="F3" s="342"/>
      <c r="G3" s="342"/>
      <c r="N3" s="343"/>
      <c r="O3" s="343"/>
      <c r="P3" s="343"/>
      <c r="Q3" s="343"/>
      <c r="R3" s="343"/>
      <c r="S3" s="344"/>
    </row>
    <row r="4" spans="1:19" x14ac:dyDescent="0.25">
      <c r="A4" s="479" t="s">
        <v>84</v>
      </c>
      <c r="B4" s="480">
        <f>+'BALANCE GENERAL PAPEL DE W'!B4</f>
        <v>7417689</v>
      </c>
      <c r="C4" s="480">
        <f>+'BALANCE GENERAL PAPEL DE W'!C4</f>
        <v>180361963.6660499</v>
      </c>
      <c r="D4" s="480">
        <f>+'BALANCE GENERAL PAPEL DE W'!D4</f>
        <v>342043387.96050346</v>
      </c>
      <c r="E4" s="480">
        <f>+'BALANCE GENERAL PAPEL DE W'!E4</f>
        <v>490566639.67214394</v>
      </c>
      <c r="F4" s="480">
        <f>+'BALANCE GENERAL PAPEL DE W'!F4</f>
        <v>543940290.06847322</v>
      </c>
      <c r="G4" s="480">
        <f>+'BALANCE GENERAL PAPEL DE W'!G4</f>
        <v>603120993.62792325</v>
      </c>
      <c r="N4" s="345">
        <v>29670760</v>
      </c>
      <c r="O4" s="345">
        <v>31688371.68</v>
      </c>
      <c r="P4" s="345">
        <v>33367855.379039995</v>
      </c>
      <c r="Q4" s="345">
        <v>34735937.44958064</v>
      </c>
      <c r="R4" s="345">
        <v>36160110.885013446</v>
      </c>
      <c r="S4" s="481" t="s">
        <v>103</v>
      </c>
    </row>
    <row r="5" spans="1:19" x14ac:dyDescent="0.25">
      <c r="A5" s="479" t="s">
        <v>85</v>
      </c>
      <c r="B5" s="480">
        <f>+'BALANCE GENERAL PAPEL DE W'!B5</f>
        <v>15000000</v>
      </c>
      <c r="C5" s="480">
        <f>+'BALANCE GENERAL PAPEL DE W'!C5</f>
        <v>0</v>
      </c>
      <c r="D5" s="480">
        <f>+'BALANCE GENERAL PAPEL DE W'!D5</f>
        <v>56440517.940370694</v>
      </c>
      <c r="E5" s="480">
        <f>+'BALANCE GENERAL PAPEL DE W'!E5</f>
        <v>155490599.74525613</v>
      </c>
      <c r="F5" s="480">
        <f>+'BALANCE GENERAL PAPEL DE W'!F5</f>
        <v>391836994.96602356</v>
      </c>
      <c r="G5" s="480">
        <f>+'BALANCE GENERAL PAPEL DE W'!G5</f>
        <v>668520709.03353727</v>
      </c>
      <c r="N5" s="346"/>
      <c r="O5" s="346"/>
      <c r="P5" s="346"/>
      <c r="Q5" s="346"/>
      <c r="R5" s="346"/>
      <c r="S5" s="482"/>
    </row>
    <row r="6" spans="1:19" s="347" customFormat="1" ht="16.5" customHeight="1" x14ac:dyDescent="0.25">
      <c r="A6" s="479" t="s">
        <v>86</v>
      </c>
      <c r="B6" s="480">
        <f>+'BALANCE GENERAL PAPEL DE W'!B6</f>
        <v>7000000</v>
      </c>
      <c r="C6" s="480">
        <f>+'BALANCE GENERAL PAPEL DE W'!C6</f>
        <v>7000000</v>
      </c>
      <c r="D6" s="480">
        <f>+'BALANCE GENERAL PAPEL DE W'!D6</f>
        <v>7000000</v>
      </c>
      <c r="E6" s="480">
        <f>+'BALANCE GENERAL PAPEL DE W'!E6</f>
        <v>7000000</v>
      </c>
      <c r="F6" s="480">
        <f>+'BALANCE GENERAL PAPEL DE W'!F6</f>
        <v>7000000</v>
      </c>
      <c r="G6" s="480">
        <f>+'BALANCE GENERAL PAPEL DE W'!G6</f>
        <v>7000000</v>
      </c>
      <c r="H6" s="347" t="s">
        <v>87</v>
      </c>
      <c r="N6" s="348"/>
      <c r="O6" s="348"/>
      <c r="P6" s="348"/>
      <c r="Q6" s="348"/>
      <c r="R6" s="348"/>
      <c r="S6" s="483"/>
    </row>
    <row r="7" spans="1:19" ht="16.5" customHeight="1" x14ac:dyDescent="0.25">
      <c r="A7" s="479" t="s">
        <v>88</v>
      </c>
      <c r="B7" s="480">
        <f>+'BALANCE GENERAL PAPEL DE W'!B7</f>
        <v>20200000</v>
      </c>
      <c r="C7" s="480">
        <f>+'BALANCE GENERAL PAPEL DE W'!C7</f>
        <v>0</v>
      </c>
      <c r="D7" s="480">
        <f>+'BALANCE GENERAL PAPEL DE W'!D7</f>
        <v>0</v>
      </c>
      <c r="E7" s="480">
        <f>+'BALANCE GENERAL PAPEL DE W'!E7</f>
        <v>0</v>
      </c>
      <c r="F7" s="480">
        <f>+'BALANCE GENERAL PAPEL DE W'!F7</f>
        <v>0</v>
      </c>
      <c r="G7" s="480">
        <f>+'BALANCE GENERAL PAPEL DE W'!G7</f>
        <v>0</v>
      </c>
      <c r="H7" s="338" t="s">
        <v>89</v>
      </c>
      <c r="M7" s="347"/>
      <c r="N7" s="348">
        <v>7820400</v>
      </c>
      <c r="O7" s="348">
        <v>8352187.1999999993</v>
      </c>
      <c r="P7" s="348">
        <v>8794853.1216000002</v>
      </c>
      <c r="Q7" s="348">
        <v>9155442.0995856002</v>
      </c>
      <c r="R7" s="348">
        <v>9530815.2256686091</v>
      </c>
      <c r="S7" s="483" t="s">
        <v>106</v>
      </c>
    </row>
    <row r="8" spans="1:19" x14ac:dyDescent="0.25">
      <c r="A8" s="360" t="s">
        <v>90</v>
      </c>
      <c r="B8" s="484">
        <f>+'BALANCE GENERAL PAPEL DE W'!B8</f>
        <v>49617689</v>
      </c>
      <c r="C8" s="484">
        <f>+'BALANCE GENERAL PAPEL DE W'!C8</f>
        <v>187361963.6660499</v>
      </c>
      <c r="D8" s="484">
        <f>+'BALANCE GENERAL PAPEL DE W'!D8</f>
        <v>405483905.90087414</v>
      </c>
      <c r="E8" s="484">
        <f>+'BALANCE GENERAL PAPEL DE W'!E8</f>
        <v>653057239.41740012</v>
      </c>
      <c r="F8" s="484">
        <f>+'BALANCE GENERAL PAPEL DE W'!F8</f>
        <v>942777285.03449678</v>
      </c>
      <c r="G8" s="484">
        <f>+'BALANCE GENERAL PAPEL DE W'!G8</f>
        <v>1278641702.6614604</v>
      </c>
      <c r="N8" s="349">
        <v>45640000</v>
      </c>
      <c r="O8" s="349">
        <v>50515872</v>
      </c>
      <c r="P8" s="349">
        <v>55880891.193600006</v>
      </c>
      <c r="Q8" s="349">
        <v>61792986.222823694</v>
      </c>
      <c r="R8" s="349">
        <v>68325986.199503869</v>
      </c>
      <c r="S8" s="485" t="s">
        <v>107</v>
      </c>
    </row>
    <row r="9" spans="1:19" x14ac:dyDescent="0.25">
      <c r="A9" s="479"/>
      <c r="B9" s="480">
        <f>+'BALANCE GENERAL PAPEL DE W'!B9</f>
        <v>0</v>
      </c>
      <c r="C9" s="480">
        <f>+'BALANCE GENERAL PAPEL DE W'!C9</f>
        <v>0</v>
      </c>
      <c r="D9" s="480">
        <f>+'BALANCE GENERAL PAPEL DE W'!D9</f>
        <v>0</v>
      </c>
      <c r="E9" s="480">
        <f>+'BALANCE GENERAL PAPEL DE W'!E9</f>
        <v>0</v>
      </c>
      <c r="F9" s="480">
        <f>+'BALANCE GENERAL PAPEL DE W'!F9</f>
        <v>0</v>
      </c>
      <c r="G9" s="480">
        <f>+'BALANCE GENERAL PAPEL DE W'!G9</f>
        <v>0</v>
      </c>
      <c r="M9" s="390"/>
      <c r="N9" s="349">
        <v>25200000</v>
      </c>
      <c r="O9" s="349">
        <f>+'1 - INVERSIONES'!D24</f>
        <v>9000000</v>
      </c>
      <c r="P9" s="349">
        <f>+'1 - INVERSIONES'!E24</f>
        <v>9800000</v>
      </c>
      <c r="Q9" s="349">
        <f>+'1 - INVERSIONES'!F24</f>
        <v>13000000</v>
      </c>
      <c r="R9" s="349">
        <f>+'1 - INVERSIONES'!G24</f>
        <v>13000000</v>
      </c>
      <c r="S9" s="485" t="s">
        <v>108</v>
      </c>
    </row>
    <row r="10" spans="1:19" x14ac:dyDescent="0.25">
      <c r="A10" s="188" t="s">
        <v>91</v>
      </c>
      <c r="B10" s="480">
        <f>+'BALANCE GENERAL PAPEL DE W'!B10</f>
        <v>22616000</v>
      </c>
      <c r="C10" s="480">
        <f>+'BALANCE GENERAL PAPEL DE W'!C10</f>
        <v>28916000</v>
      </c>
      <c r="D10" s="480">
        <f>+'BALANCE GENERAL PAPEL DE W'!D10</f>
        <v>47716000</v>
      </c>
      <c r="E10" s="480">
        <f>+'BALANCE GENERAL PAPEL DE W'!E10</f>
        <v>66716000</v>
      </c>
      <c r="F10" s="480">
        <f>+'BALANCE GENERAL PAPEL DE W'!F10</f>
        <v>74716000</v>
      </c>
      <c r="G10" s="480">
        <f>+'BALANCE GENERAL PAPEL DE W'!G10</f>
        <v>74716000</v>
      </c>
      <c r="N10" s="349">
        <v>7000000</v>
      </c>
      <c r="O10" s="349">
        <v>0</v>
      </c>
      <c r="P10" s="349">
        <v>0</v>
      </c>
      <c r="Q10" s="349">
        <v>0</v>
      </c>
      <c r="R10" s="349">
        <v>0</v>
      </c>
      <c r="S10" s="485" t="s">
        <v>109</v>
      </c>
    </row>
    <row r="11" spans="1:19" x14ac:dyDescent="0.25">
      <c r="A11" s="188" t="s">
        <v>92</v>
      </c>
      <c r="B11" s="480">
        <f>+'BALANCE GENERAL PAPEL DE W'!B11</f>
        <v>0</v>
      </c>
      <c r="C11" s="480">
        <f>+'BALANCE GENERAL PAPEL DE W'!C11</f>
        <v>4014533.333333334</v>
      </c>
      <c r="D11" s="480">
        <f>+'BALANCE GENERAL PAPEL DE W'!D11</f>
        <v>9643866.6666666679</v>
      </c>
      <c r="E11" s="480">
        <f>+'BALANCE GENERAL PAPEL DE W'!E11</f>
        <v>16353200</v>
      </c>
      <c r="F11" s="480">
        <f>+'BALANCE GENERAL PAPEL DE W'!F11</f>
        <v>24929200</v>
      </c>
      <c r="G11" s="480">
        <f>+'BALANCE GENERAL PAPEL DE W'!G11</f>
        <v>35505200</v>
      </c>
      <c r="N11" s="349">
        <v>6289254.3315180419</v>
      </c>
      <c r="O11" s="349">
        <v>5565014.8456792068</v>
      </c>
      <c r="P11" s="349">
        <v>4840775.3598403716</v>
      </c>
      <c r="Q11" s="349">
        <v>4116535.8740015374</v>
      </c>
      <c r="R11" s="349">
        <v>3392296.3881627023</v>
      </c>
      <c r="S11" s="485" t="s">
        <v>110</v>
      </c>
    </row>
    <row r="12" spans="1:19" x14ac:dyDescent="0.25">
      <c r="A12" s="197" t="s">
        <v>93</v>
      </c>
      <c r="B12" s="342">
        <f>+B10-B11</f>
        <v>22616000</v>
      </c>
      <c r="C12" s="342">
        <f t="shared" ref="C12:G12" si="0">+C10-C11</f>
        <v>24901466.666666664</v>
      </c>
      <c r="D12" s="342">
        <f>+D10-D11</f>
        <v>38072133.333333328</v>
      </c>
      <c r="E12" s="342">
        <f t="shared" si="0"/>
        <v>50362800</v>
      </c>
      <c r="F12" s="342">
        <f t="shared" si="0"/>
        <v>49786800</v>
      </c>
      <c r="G12" s="342">
        <f t="shared" si="0"/>
        <v>39210800</v>
      </c>
      <c r="N12" s="350">
        <v>6300000</v>
      </c>
      <c r="O12" s="350">
        <v>18800000</v>
      </c>
      <c r="P12" s="350">
        <v>19000000</v>
      </c>
      <c r="Q12" s="350">
        <v>8000000</v>
      </c>
      <c r="R12" s="350">
        <v>0</v>
      </c>
      <c r="S12" s="479" t="s">
        <v>111</v>
      </c>
    </row>
    <row r="13" spans="1:19" x14ac:dyDescent="0.25">
      <c r="A13" s="197" t="s">
        <v>94</v>
      </c>
      <c r="B13" s="351">
        <f>+B8+B12</f>
        <v>72233689</v>
      </c>
      <c r="C13" s="351">
        <f t="shared" ref="C13:G13" si="1">+C8+C12</f>
        <v>212263430.33271655</v>
      </c>
      <c r="D13" s="351">
        <f>+D8+D12</f>
        <v>443556039.23420745</v>
      </c>
      <c r="E13" s="351">
        <f t="shared" si="1"/>
        <v>703420039.41740012</v>
      </c>
      <c r="F13" s="351">
        <f t="shared" si="1"/>
        <v>992564085.03449678</v>
      </c>
      <c r="G13" s="351">
        <f t="shared" si="1"/>
        <v>1317852502.6614604</v>
      </c>
      <c r="N13" s="350">
        <v>198311</v>
      </c>
      <c r="O13" s="350">
        <v>0</v>
      </c>
      <c r="P13" s="350">
        <v>0</v>
      </c>
      <c r="Q13" s="350">
        <v>0</v>
      </c>
      <c r="R13" s="350">
        <v>0</v>
      </c>
      <c r="S13" s="479" t="s">
        <v>112</v>
      </c>
    </row>
    <row r="14" spans="1:19" x14ac:dyDescent="0.25">
      <c r="A14" s="189"/>
      <c r="B14" s="408"/>
      <c r="C14" s="408"/>
      <c r="D14" s="408"/>
      <c r="E14" s="408"/>
      <c r="F14" s="408"/>
      <c r="G14" s="408"/>
      <c r="N14" s="349"/>
      <c r="O14" s="344"/>
      <c r="P14" s="344"/>
      <c r="Q14" s="344"/>
      <c r="R14" s="344"/>
      <c r="S14" s="344"/>
    </row>
    <row r="15" spans="1:19" ht="15" customHeight="1" x14ac:dyDescent="0.25">
      <c r="A15" s="341" t="s">
        <v>96</v>
      </c>
      <c r="B15" s="342"/>
      <c r="C15" s="342"/>
      <c r="D15" s="342"/>
      <c r="E15" s="342"/>
      <c r="F15" s="342"/>
      <c r="G15" s="342"/>
    </row>
    <row r="16" spans="1:19" ht="15" customHeight="1" x14ac:dyDescent="0.25">
      <c r="A16" s="479" t="s">
        <v>102</v>
      </c>
      <c r="B16" s="408">
        <f>+'BALANCE GENERAL PAPEL DE W'!B16</f>
        <v>15000000</v>
      </c>
      <c r="C16" s="408">
        <f>+CREDITO!E15</f>
        <v>12000000</v>
      </c>
      <c r="D16" s="408">
        <f>+CREDITO!E27</f>
        <v>9000000</v>
      </c>
      <c r="E16" s="408">
        <f>+CREDITO!E39</f>
        <v>6000000</v>
      </c>
      <c r="F16" s="408">
        <f>+CREDITO!E51</f>
        <v>3000000</v>
      </c>
      <c r="G16" s="408">
        <f>+CREDITO!F63</f>
        <v>0</v>
      </c>
      <c r="H16" s="343">
        <f>+B16+CREDITO!C64</f>
        <v>24203876.799201857</v>
      </c>
      <c r="I16" s="343"/>
      <c r="J16" s="343"/>
      <c r="K16" s="343"/>
      <c r="L16" s="343"/>
    </row>
    <row r="17" spans="1:14" x14ac:dyDescent="0.25">
      <c r="A17" s="479" t="s">
        <v>218</v>
      </c>
      <c r="B17" s="408">
        <f>+'BALANCE GENERAL PAPEL DE W'!B18</f>
        <v>0</v>
      </c>
      <c r="C17" s="408">
        <f>+NOMINA!T15</f>
        <v>7059730.06788</v>
      </c>
      <c r="D17" s="408">
        <f>+NOMINA!T28+C17</f>
        <v>14599521.780375838</v>
      </c>
      <c r="E17" s="408">
        <f>+NOMINA!T41+D17</f>
        <v>22538922.453633957</v>
      </c>
      <c r="F17" s="408">
        <f>+NOMINA!T54+E17</f>
        <v>30803838.554495659</v>
      </c>
      <c r="G17" s="408">
        <f>+NOMINA!T67+F17</f>
        <v>39407616.215492696</v>
      </c>
      <c r="H17" s="352">
        <f>SUM(C17:G17)</f>
        <v>114409629.07187815</v>
      </c>
      <c r="I17" s="353">
        <f>+'2 - COSTOS &amp; GASTOS'!G18</f>
        <v>39407616.215492696</v>
      </c>
      <c r="J17" s="352">
        <f>+H17-I17</f>
        <v>75002012.856385455</v>
      </c>
      <c r="K17" s="353"/>
      <c r="L17" s="353"/>
    </row>
    <row r="18" spans="1:14" ht="14.1" customHeight="1" x14ac:dyDescent="0.25">
      <c r="A18" s="479" t="s">
        <v>219</v>
      </c>
      <c r="B18" s="408">
        <f>+'BALANCE GENERAL PAPEL DE W'!B22+'BALANCE GENERAL PAPEL DE W'!B23+'BALANCE GENERAL PAPEL DE W'!B26</f>
        <v>49816000</v>
      </c>
      <c r="C18" s="408"/>
      <c r="D18" s="408"/>
      <c r="E18" s="408"/>
      <c r="F18" s="408"/>
      <c r="G18" s="408"/>
      <c r="H18" s="344"/>
      <c r="I18" s="344"/>
      <c r="J18" s="344"/>
      <c r="K18" s="344"/>
      <c r="L18" s="344"/>
      <c r="N18" s="390">
        <f>+B10-B16</f>
        <v>7616000</v>
      </c>
    </row>
    <row r="19" spans="1:14" x14ac:dyDescent="0.25">
      <c r="A19" s="479" t="s">
        <v>114</v>
      </c>
      <c r="B19" s="408"/>
      <c r="C19" s="408">
        <f>+'4 - ESTADO DE RESULTADOS  FINAL'!C21</f>
        <v>55735803.379450962</v>
      </c>
      <c r="D19" s="408">
        <f>+'4 - ESTADO DE RESULTADOS  FINAL'!D21+C19</f>
        <v>123761648.53614949</v>
      </c>
      <c r="E19" s="408">
        <f>+'4 - ESTADO DE RESULTADOS  FINAL'!E21+D19</f>
        <v>200239028.38912982</v>
      </c>
      <c r="F19" s="408">
        <f>+'4 - ESTADO DE RESULTADOS  FINAL'!F21+E19</f>
        <v>285402767.24400032</v>
      </c>
      <c r="G19" s="408">
        <f>+'4 - ESTADO DE RESULTADOS  FINAL'!G21+F19</f>
        <v>381308159.23379034</v>
      </c>
      <c r="H19" s="344"/>
      <c r="I19" s="344"/>
      <c r="J19" s="344"/>
      <c r="K19" s="344"/>
      <c r="L19" s="344"/>
      <c r="N19" s="390">
        <f>+B4</f>
        <v>7417689</v>
      </c>
    </row>
    <row r="20" spans="1:14" x14ac:dyDescent="0.25">
      <c r="A20" s="197" t="s">
        <v>115</v>
      </c>
      <c r="B20" s="351">
        <f t="shared" ref="B20:G20" si="2">SUM(B16:B19)</f>
        <v>64816000</v>
      </c>
      <c r="C20" s="351">
        <f t="shared" si="2"/>
        <v>74795533.447330967</v>
      </c>
      <c r="D20" s="351">
        <f t="shared" si="2"/>
        <v>147361170.31652534</v>
      </c>
      <c r="E20" s="351">
        <f t="shared" si="2"/>
        <v>228777950.84276378</v>
      </c>
      <c r="F20" s="351">
        <f t="shared" si="2"/>
        <v>319206605.79849601</v>
      </c>
      <c r="G20" s="351">
        <f t="shared" si="2"/>
        <v>420715775.449283</v>
      </c>
      <c r="M20" s="350"/>
      <c r="N20" s="390">
        <f>+N18-N19</f>
        <v>198311</v>
      </c>
    </row>
    <row r="21" spans="1:14" x14ac:dyDescent="0.25">
      <c r="A21" s="479"/>
      <c r="B21" s="354"/>
      <c r="C21" s="408"/>
      <c r="D21" s="408"/>
      <c r="E21" s="408"/>
      <c r="F21" s="408"/>
      <c r="G21" s="408"/>
    </row>
    <row r="22" spans="1:14" x14ac:dyDescent="0.25">
      <c r="A22" s="341" t="s">
        <v>116</v>
      </c>
      <c r="B22" s="342"/>
      <c r="C22" s="342"/>
      <c r="D22" s="342"/>
      <c r="E22" s="342"/>
      <c r="F22" s="342"/>
      <c r="G22" s="342"/>
    </row>
    <row r="23" spans="1:14" s="347" customFormat="1" x14ac:dyDescent="0.25">
      <c r="A23" s="479" t="s">
        <v>117</v>
      </c>
      <c r="B23" s="486">
        <f>+B4</f>
        <v>7417689</v>
      </c>
      <c r="C23" s="486">
        <f>+B23</f>
        <v>7417689</v>
      </c>
      <c r="D23" s="486">
        <f t="shared" ref="D23:G23" si="3">+C23</f>
        <v>7417689</v>
      </c>
      <c r="E23" s="486">
        <f t="shared" si="3"/>
        <v>7417689</v>
      </c>
      <c r="F23" s="486">
        <f t="shared" si="3"/>
        <v>7417689</v>
      </c>
      <c r="G23" s="486">
        <f t="shared" si="3"/>
        <v>7417689</v>
      </c>
      <c r="H23" s="338"/>
      <c r="I23" s="338"/>
      <c r="J23" s="338"/>
      <c r="K23" s="338"/>
      <c r="L23" s="338"/>
      <c r="M23" s="338"/>
    </row>
    <row r="24" spans="1:14" x14ac:dyDescent="0.25">
      <c r="A24" s="188" t="s">
        <v>118</v>
      </c>
      <c r="B24" s="356">
        <f>+'4 - ESTADO DE RESULTADOS  FINAL'!B24</f>
        <v>0</v>
      </c>
      <c r="C24" s="356">
        <f>+'4 - ESTADO DE RESULTADOS  FINAL'!C24</f>
        <v>117045187.09684703</v>
      </c>
      <c r="D24" s="356">
        <f>+'4 - ESTADO DE RESULTADOS  FINAL'!D24</f>
        <v>142854274.8290669</v>
      </c>
      <c r="E24" s="356">
        <f>+'4 - ESTADO DE RESULTADOS  FINAL'!E24</f>
        <v>160602497.6912587</v>
      </c>
      <c r="F24" s="356">
        <f>+'4 - ESTADO DE RESULTADOS  FINAL'!F24</f>
        <v>178843851.59522811</v>
      </c>
      <c r="G24" s="356">
        <f>+'4 - ESTADO DE RESULTADOS  FINAL'!G24</f>
        <v>201401323.17855906</v>
      </c>
    </row>
    <row r="25" spans="1:14" x14ac:dyDescent="0.25">
      <c r="A25" s="188" t="s">
        <v>119</v>
      </c>
      <c r="B25" s="356">
        <v>0</v>
      </c>
      <c r="C25" s="356">
        <f>+'4 - ESTADO DE RESULTADOS  FINAL'!C23</f>
        <v>13005020.78853856</v>
      </c>
      <c r="D25" s="356">
        <f>+'4 - ESTADO DE RESULTADOS  FINAL'!C23+'4 - ESTADO DE RESULTADOS  FINAL'!D23</f>
        <v>28877717.991768219</v>
      </c>
      <c r="E25" s="356">
        <f>+'4 - ESTADO DE RESULTADOS  FINAL'!E23+D25</f>
        <v>46722439.95746363</v>
      </c>
      <c r="F25" s="356">
        <f>+'4 - ESTADO DE RESULTADOS  FINAL'!F23+E25</f>
        <v>66593979.023600087</v>
      </c>
      <c r="G25" s="356">
        <f>+'4 - ESTADO DE RESULTADOS  FINAL'!G23+F25</f>
        <v>88971903.82121776</v>
      </c>
    </row>
    <row r="26" spans="1:14" x14ac:dyDescent="0.25">
      <c r="A26" s="188" t="s">
        <v>120</v>
      </c>
      <c r="B26" s="356">
        <v>0</v>
      </c>
      <c r="C26" s="356">
        <f>+B24+B26</f>
        <v>0</v>
      </c>
      <c r="D26" s="356">
        <f>+C24+C26</f>
        <v>117045187.09684703</v>
      </c>
      <c r="E26" s="356">
        <f>+D24+D26</f>
        <v>259899461.92591393</v>
      </c>
      <c r="F26" s="356">
        <f>+E24+E26</f>
        <v>420501959.6171726</v>
      </c>
      <c r="G26" s="356">
        <f>+F24+F26</f>
        <v>599345811.21240067</v>
      </c>
    </row>
    <row r="27" spans="1:14" ht="21" customHeight="1" x14ac:dyDescent="0.25">
      <c r="A27" s="197" t="s">
        <v>121</v>
      </c>
      <c r="B27" s="357">
        <f>SUM(B23:B26)</f>
        <v>7417689</v>
      </c>
      <c r="C27" s="357">
        <f t="shared" ref="C27:G27" si="4">SUM(C23:C26)</f>
        <v>137467896.88538557</v>
      </c>
      <c r="D27" s="357">
        <f t="shared" si="4"/>
        <v>296194868.91768217</v>
      </c>
      <c r="E27" s="357">
        <f t="shared" si="4"/>
        <v>474642088.57463622</v>
      </c>
      <c r="F27" s="357">
        <f t="shared" si="4"/>
        <v>673357479.23600078</v>
      </c>
      <c r="G27" s="357">
        <f t="shared" si="4"/>
        <v>897136727.21217752</v>
      </c>
    </row>
    <row r="28" spans="1:14" ht="21" customHeight="1" x14ac:dyDescent="0.25">
      <c r="A28" s="197" t="s">
        <v>122</v>
      </c>
      <c r="B28" s="358">
        <f>+B20+B27</f>
        <v>72233689</v>
      </c>
      <c r="C28" s="358">
        <f t="shared" ref="C28:G28" si="5">+C20+C27</f>
        <v>212263430.33271652</v>
      </c>
      <c r="D28" s="358">
        <f t="shared" si="5"/>
        <v>443556039.23420751</v>
      </c>
      <c r="E28" s="358">
        <f t="shared" si="5"/>
        <v>703420039.4174</v>
      </c>
      <c r="F28" s="358">
        <f t="shared" si="5"/>
        <v>992564085.03449678</v>
      </c>
      <c r="G28" s="358">
        <f t="shared" si="5"/>
        <v>1317852502.6614604</v>
      </c>
    </row>
    <row r="29" spans="1:14" x14ac:dyDescent="0.25">
      <c r="B29" s="365">
        <f t="shared" ref="B29:G29" si="6">+B13-B28</f>
        <v>0</v>
      </c>
      <c r="C29" s="365">
        <f t="shared" si="6"/>
        <v>0</v>
      </c>
      <c r="D29" s="365">
        <f t="shared" si="6"/>
        <v>0</v>
      </c>
      <c r="E29" s="365">
        <f t="shared" si="6"/>
        <v>0</v>
      </c>
      <c r="F29" s="365">
        <f t="shared" si="6"/>
        <v>0</v>
      </c>
      <c r="G29" s="365">
        <f t="shared" si="6"/>
        <v>0</v>
      </c>
    </row>
    <row r="30" spans="1:14" x14ac:dyDescent="0.25">
      <c r="B30" s="359"/>
    </row>
  </sheetData>
  <mergeCells count="2">
    <mergeCell ref="A1:A2"/>
    <mergeCell ref="B1:G1"/>
  </mergeCell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G1000"/>
  <sheetViews>
    <sheetView zoomScale="80" zoomScaleNormal="80" workbookViewId="0">
      <selection activeCell="A10" sqref="A10:A11"/>
    </sheetView>
  </sheetViews>
  <sheetFormatPr baseColWidth="10" defaultColWidth="14.42578125" defaultRowHeight="15" customHeight="1" x14ac:dyDescent="0.25"/>
  <cols>
    <col min="1" max="1" width="48" customWidth="1"/>
    <col min="2" max="2" width="25.7109375" customWidth="1"/>
    <col min="3" max="3" width="28.5703125" customWidth="1"/>
    <col min="4" max="4" width="41" customWidth="1"/>
    <col min="5" max="7" width="25.7109375" customWidth="1"/>
    <col min="8" max="8" width="10.7109375" customWidth="1"/>
    <col min="9" max="9" width="20" customWidth="1"/>
    <col min="10" max="10" width="15.28515625" customWidth="1"/>
    <col min="11" max="26" width="10.7109375" customWidth="1"/>
  </cols>
  <sheetData>
    <row r="1" spans="1:7" ht="21" x14ac:dyDescent="0.35">
      <c r="A1" s="549" t="s">
        <v>255</v>
      </c>
      <c r="B1" s="551" t="s">
        <v>49</v>
      </c>
      <c r="C1" s="552"/>
      <c r="D1" s="552"/>
      <c r="E1" s="552"/>
      <c r="F1" s="552"/>
      <c r="G1" s="553"/>
    </row>
    <row r="2" spans="1:7" ht="21" x14ac:dyDescent="0.35">
      <c r="A2" s="550"/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</row>
    <row r="4" spans="1:7" x14ac:dyDescent="0.25">
      <c r="A4" s="5" t="s">
        <v>256</v>
      </c>
      <c r="B4" s="21">
        <f>'1 - INVERSIONES'!B39</f>
        <v>57233689</v>
      </c>
      <c r="C4" s="21">
        <f>'1 - INVERSIONES'!C39</f>
        <v>11300000</v>
      </c>
      <c r="D4" s="21">
        <f>'1 - INVERSIONES'!D39</f>
        <v>27800000</v>
      </c>
      <c r="E4" s="21">
        <f>'1 - INVERSIONES'!E39</f>
        <v>28800000</v>
      </c>
      <c r="F4" s="21">
        <f>'1 - INVERSIONES'!F39</f>
        <v>21000000</v>
      </c>
      <c r="G4" s="21">
        <f>'1 - INVERSIONES'!G39</f>
        <v>13000000</v>
      </c>
    </row>
    <row r="5" spans="1:7" ht="15" customHeight="1" x14ac:dyDescent="0.25">
      <c r="B5" s="21">
        <f>'4 - ESTADO DE RESULTADOS  FINAL'!B24</f>
        <v>0</v>
      </c>
    </row>
    <row r="6" spans="1:7" x14ac:dyDescent="0.25">
      <c r="A6" s="5" t="s">
        <v>257</v>
      </c>
      <c r="C6" s="21">
        <f>'4 - ESTADO DE RESULTADOS  FINAL'!C24</f>
        <v>117045187.09684703</v>
      </c>
      <c r="D6" s="21">
        <f>'4 - ESTADO DE RESULTADOS  FINAL'!D24</f>
        <v>142854274.8290669</v>
      </c>
      <c r="E6" s="21">
        <f>'4 - ESTADO DE RESULTADOS  FINAL'!E24</f>
        <v>160602497.6912587</v>
      </c>
      <c r="F6" s="21">
        <f>'4 - ESTADO DE RESULTADOS  FINAL'!F24</f>
        <v>178843851.59522811</v>
      </c>
      <c r="G6" s="21">
        <f>'4 - ESTADO DE RESULTADOS  FINAL'!G24</f>
        <v>201401323.17855906</v>
      </c>
    </row>
    <row r="8" spans="1:7" ht="21" x14ac:dyDescent="0.35">
      <c r="A8" s="8" t="s">
        <v>258</v>
      </c>
      <c r="B8" s="22">
        <f>B5-B4</f>
        <v>-57233689</v>
      </c>
      <c r="C8" s="22">
        <f>C6-C4</f>
        <v>105745187.09684703</v>
      </c>
      <c r="D8" s="22">
        <f>D6-D4</f>
        <v>115054274.8290669</v>
      </c>
      <c r="E8" s="22">
        <f>E6-E4</f>
        <v>131802497.6912587</v>
      </c>
      <c r="F8" s="22">
        <f>F6-F4</f>
        <v>157843851.59522811</v>
      </c>
      <c r="G8" s="22">
        <f>G6-G4</f>
        <v>188401323.17855906</v>
      </c>
    </row>
    <row r="10" spans="1:7" ht="21" x14ac:dyDescent="0.35">
      <c r="A10" s="549" t="s">
        <v>123</v>
      </c>
      <c r="B10" s="551" t="s">
        <v>49</v>
      </c>
      <c r="C10" s="552"/>
      <c r="D10" s="552"/>
      <c r="E10" s="552"/>
      <c r="F10" s="552"/>
      <c r="G10" s="553"/>
    </row>
    <row r="11" spans="1:7" ht="21" x14ac:dyDescent="0.35">
      <c r="A11" s="550"/>
      <c r="B11" s="1">
        <v>0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</row>
    <row r="13" spans="1:7" x14ac:dyDescent="0.25">
      <c r="A13" s="5" t="s">
        <v>256</v>
      </c>
      <c r="B13" s="21">
        <f>'1 - INVERSIONES'!B39</f>
        <v>57233689</v>
      </c>
      <c r="C13" s="21">
        <f>'1 - INVERSIONES'!C39</f>
        <v>11300000</v>
      </c>
      <c r="D13" s="21">
        <f>'1 - INVERSIONES'!D39</f>
        <v>27800000</v>
      </c>
      <c r="E13" s="21">
        <f>'1 - INVERSIONES'!E39</f>
        <v>28800000</v>
      </c>
      <c r="F13" s="21">
        <f>'1 - INVERSIONES'!F39</f>
        <v>21000000</v>
      </c>
      <c r="G13" s="21">
        <f>'1 - INVERSIONES'!G39</f>
        <v>13000000</v>
      </c>
    </row>
    <row r="15" spans="1:7" x14ac:dyDescent="0.25">
      <c r="A15" s="5" t="s">
        <v>257</v>
      </c>
      <c r="B15" s="21">
        <f>'4 - ESTADO DE RESULTADOS (OP.)'!B14</f>
        <v>0</v>
      </c>
      <c r="C15" s="21">
        <f>'4 - ESTADO DE RESULTADOS (OP.)'!C14</f>
        <v>167321349.66327262</v>
      </c>
      <c r="D15" s="21">
        <f>'4 - ESTADO DE RESULTADOS (OP.)'!D14</f>
        <v>198600483.88271958</v>
      </c>
      <c r="E15" s="21">
        <f>'4 - ESTADO DE RESULTADOS (OP.)'!E14</f>
        <v>222413894.28994882</v>
      </c>
      <c r="F15" s="21">
        <f>'4 - ESTADO DE RESULTADOS (OP.)'!F14</f>
        <v>247380328.14385572</v>
      </c>
      <c r="G15" s="21">
        <f>'4 - ESTADO DE RESULTADOS (OP.)'!G14</f>
        <v>277394568.37567735</v>
      </c>
    </row>
    <row r="17" spans="1:7" ht="21" x14ac:dyDescent="0.35">
      <c r="A17" s="16" t="s">
        <v>259</v>
      </c>
      <c r="B17" s="23">
        <f t="shared" ref="B17:G17" si="0">B15-B13</f>
        <v>-57233689</v>
      </c>
      <c r="C17" s="23">
        <f t="shared" si="0"/>
        <v>156021349.66327262</v>
      </c>
      <c r="D17" s="23">
        <f t="shared" si="0"/>
        <v>170800483.88271958</v>
      </c>
      <c r="E17" s="23">
        <f t="shared" si="0"/>
        <v>193613894.28994882</v>
      </c>
      <c r="F17" s="23">
        <f t="shared" si="0"/>
        <v>226380328.14385572</v>
      </c>
      <c r="G17" s="23">
        <f t="shared" si="0"/>
        <v>264394568.37567735</v>
      </c>
    </row>
    <row r="19" spans="1:7" ht="21" x14ac:dyDescent="0.35">
      <c r="A19" s="549" t="s">
        <v>123</v>
      </c>
      <c r="B19" s="551" t="s">
        <v>49</v>
      </c>
      <c r="C19" s="552"/>
      <c r="D19" s="552"/>
      <c r="E19" s="552"/>
      <c r="F19" s="552"/>
      <c r="G19" s="553"/>
    </row>
    <row r="20" spans="1:7" ht="21" x14ac:dyDescent="0.35">
      <c r="A20" s="550"/>
      <c r="B20" s="1">
        <v>0</v>
      </c>
      <c r="C20" s="1">
        <v>1</v>
      </c>
      <c r="D20" s="1">
        <v>2</v>
      </c>
      <c r="E20" s="1">
        <v>3</v>
      </c>
      <c r="F20" s="1">
        <v>4</v>
      </c>
      <c r="G20" s="1">
        <v>5</v>
      </c>
    </row>
    <row r="21" spans="1:7" ht="15.75" customHeight="1" x14ac:dyDescent="0.25"/>
    <row r="22" spans="1:7" ht="15.75" customHeight="1" x14ac:dyDescent="0.25">
      <c r="A22" s="5" t="s">
        <v>256</v>
      </c>
      <c r="B22" s="21">
        <f>'1 - INVERSIONES'!B39</f>
        <v>57233689</v>
      </c>
      <c r="C22" s="21">
        <f>'1 - INVERSIONES'!C39</f>
        <v>11300000</v>
      </c>
      <c r="D22" s="21">
        <f>'1 - INVERSIONES'!D39</f>
        <v>27800000</v>
      </c>
      <c r="E22" s="21">
        <f>'1 - INVERSIONES'!E39</f>
        <v>28800000</v>
      </c>
      <c r="F22" s="21">
        <f>'1 - INVERSIONES'!F39</f>
        <v>21000000</v>
      </c>
      <c r="G22" s="21">
        <f>'1 - INVERSIONES'!G39</f>
        <v>13000000</v>
      </c>
    </row>
    <row r="23" spans="1:7" ht="15.75" customHeight="1" x14ac:dyDescent="0.25"/>
    <row r="24" spans="1:7" ht="15.75" customHeight="1" x14ac:dyDescent="0.25">
      <c r="A24" s="5" t="s">
        <v>257</v>
      </c>
      <c r="B24" s="21">
        <f>'4 - ESTADO DE RESULTADOS (PS)'!B14</f>
        <v>0</v>
      </c>
      <c r="C24" s="21">
        <f>'4 - ESTADO DE RESULTADOS (PS)'!C14</f>
        <v>41630943.247208647</v>
      </c>
      <c r="D24" s="21">
        <f>'4 - ESTADO DE RESULTADOS (PS)'!D14</f>
        <v>59234961.248587832</v>
      </c>
      <c r="E24" s="21">
        <f>'4 - ESTADO DE RESULTADOS (PS)'!E14</f>
        <v>67885402.793223485</v>
      </c>
      <c r="F24" s="21">
        <f>'4 - ESTADO DE RESULTADOS (PS)'!F14</f>
        <v>76039136.772286668</v>
      </c>
      <c r="G24" s="21">
        <f>'4 - ESTADO DE RESULTADOS (PS)'!G14</f>
        <v>87411455.382881537</v>
      </c>
    </row>
    <row r="25" spans="1:7" ht="15.75" customHeight="1" x14ac:dyDescent="0.25"/>
    <row r="26" spans="1:7" ht="15.75" customHeight="1" x14ac:dyDescent="0.35">
      <c r="A26" s="24" t="s">
        <v>260</v>
      </c>
      <c r="B26" s="25">
        <f t="shared" ref="B26:G26" si="1">B24-B22</f>
        <v>-57233689</v>
      </c>
      <c r="C26" s="25">
        <f t="shared" si="1"/>
        <v>30330943.247208647</v>
      </c>
      <c r="D26" s="25">
        <f t="shared" si="1"/>
        <v>31434961.248587832</v>
      </c>
      <c r="E26" s="25">
        <f t="shared" si="1"/>
        <v>39085402.793223485</v>
      </c>
      <c r="F26" s="25">
        <f t="shared" si="1"/>
        <v>55039136.772286668</v>
      </c>
      <c r="G26" s="25">
        <f t="shared" si="1"/>
        <v>74411455.382881537</v>
      </c>
    </row>
    <row r="27" spans="1:7" ht="15.75" customHeight="1" x14ac:dyDescent="0.25"/>
    <row r="28" spans="1:7" ht="26.25" customHeight="1" x14ac:dyDescent="0.35">
      <c r="A28" s="26" t="s">
        <v>261</v>
      </c>
      <c r="B28" s="26" t="s">
        <v>262</v>
      </c>
      <c r="C28" s="26" t="s">
        <v>263</v>
      </c>
      <c r="D28" s="26" t="s">
        <v>264</v>
      </c>
      <c r="E28" s="26" t="s">
        <v>265</v>
      </c>
      <c r="F28" s="26" t="s">
        <v>266</v>
      </c>
    </row>
    <row r="29" spans="1:7" ht="24" customHeight="1" x14ac:dyDescent="0.4">
      <c r="A29" s="27" t="s">
        <v>267</v>
      </c>
      <c r="B29" s="28">
        <f>IRR(B8:G8,B36)</f>
        <v>1.9465565962038553</v>
      </c>
      <c r="C29" s="150">
        <f>NPV(F29,B8:G8)+B8</f>
        <v>238576055.06386554</v>
      </c>
      <c r="D29" s="29">
        <f>ABS(C29/$B$8)</f>
        <v>4.1684549647649929</v>
      </c>
      <c r="E29" s="30">
        <f>PMT(0.2,5,C29)*-1</f>
        <v>79774990.504262254</v>
      </c>
      <c r="F29" s="557">
        <f>WACC!E6</f>
        <v>0.1875</v>
      </c>
    </row>
    <row r="30" spans="1:7" ht="23.25" customHeight="1" x14ac:dyDescent="0.4">
      <c r="A30" s="33" t="s">
        <v>268</v>
      </c>
      <c r="B30" s="28">
        <f>IRR(B17:G17,B36)</f>
        <v>2.8283650023072253</v>
      </c>
      <c r="C30" s="150">
        <f>NPV(F29,B17:G17)+B17</f>
        <v>394726817.76662332</v>
      </c>
      <c r="D30" s="29">
        <f>ABS(C30/B17)</f>
        <v>6.8967565198640841</v>
      </c>
      <c r="E30" s="30">
        <f>PMT(0.2,5,C30)*-1</f>
        <v>131988636.20525749</v>
      </c>
      <c r="F30" s="558"/>
    </row>
    <row r="31" spans="1:7" ht="24" customHeight="1" x14ac:dyDescent="0.4">
      <c r="A31" s="34" t="s">
        <v>269</v>
      </c>
      <c r="B31" s="28">
        <f>IRR(B26:G26,B36)</f>
        <v>0.58927406516871539</v>
      </c>
      <c r="C31" s="150">
        <f>NPV(F29,B26:G26)+B26</f>
        <v>4349911.0097287297</v>
      </c>
      <c r="D31" s="29">
        <f>ABS(C31/B26)</f>
        <v>7.6002632116352484E-2</v>
      </c>
      <c r="E31" s="30">
        <f>PMT(0.2,5,C31)*-1</f>
        <v>1454521.952769323</v>
      </c>
      <c r="F31" s="559"/>
    </row>
    <row r="32" spans="1:7" ht="15.75" customHeight="1" x14ac:dyDescent="0.25"/>
    <row r="33" spans="1:2" ht="15.75" customHeight="1" x14ac:dyDescent="0.35">
      <c r="A33" s="15" t="s">
        <v>270</v>
      </c>
      <c r="B33" s="15" t="s">
        <v>271</v>
      </c>
    </row>
    <row r="34" spans="1:2" ht="16.5" customHeight="1" x14ac:dyDescent="0.35">
      <c r="A34" s="31" t="s">
        <v>272</v>
      </c>
      <c r="B34" s="149">
        <v>5.6000000000000001E-2</v>
      </c>
    </row>
    <row r="35" spans="1:2" ht="15.75" customHeight="1" x14ac:dyDescent="0.35">
      <c r="A35" s="31" t="s">
        <v>273</v>
      </c>
      <c r="B35" s="32">
        <v>0.05</v>
      </c>
    </row>
    <row r="36" spans="1:2" ht="15.75" customHeight="1" x14ac:dyDescent="0.35">
      <c r="A36" s="35" t="s">
        <v>274</v>
      </c>
      <c r="B36" s="36">
        <v>0.25</v>
      </c>
    </row>
    <row r="37" spans="1:2" ht="15.75" customHeight="1" x14ac:dyDescent="0.35">
      <c r="A37" s="31" t="s">
        <v>275</v>
      </c>
      <c r="B37" s="32">
        <v>0.05</v>
      </c>
    </row>
    <row r="38" spans="1:2" ht="15.75" customHeight="1" x14ac:dyDescent="0.25"/>
    <row r="39" spans="1:2" ht="15.75" customHeight="1" x14ac:dyDescent="0.25"/>
    <row r="40" spans="1:2" ht="15.75" customHeight="1" x14ac:dyDescent="0.25"/>
    <row r="41" spans="1:2" ht="15.75" customHeight="1" x14ac:dyDescent="0.25"/>
    <row r="42" spans="1:2" ht="15.75" customHeight="1" x14ac:dyDescent="0.25"/>
    <row r="43" spans="1:2" ht="15.75" customHeight="1" x14ac:dyDescent="0.25"/>
    <row r="44" spans="1:2" ht="15.75" customHeight="1" x14ac:dyDescent="0.25"/>
    <row r="45" spans="1:2" ht="15.75" customHeight="1" x14ac:dyDescent="0.25"/>
    <row r="46" spans="1:2" ht="15.75" customHeight="1" x14ac:dyDescent="0.25"/>
    <row r="47" spans="1:2" ht="15.75" customHeight="1" x14ac:dyDescent="0.25"/>
    <row r="48" spans="1: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F29:F31"/>
    <mergeCell ref="A1:A2"/>
    <mergeCell ref="B1:G1"/>
    <mergeCell ref="A10:A11"/>
    <mergeCell ref="B10:G10"/>
    <mergeCell ref="A19:A20"/>
    <mergeCell ref="B19:G19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8A68-E0CD-4B0C-BC6D-EF4FB02DFAA9}">
  <sheetPr>
    <tabColor theme="7" tint="0.79998168889431442"/>
  </sheetPr>
  <dimension ref="A1:F7"/>
  <sheetViews>
    <sheetView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18.85546875" customWidth="1"/>
    <col min="2" max="2" width="16" bestFit="1" customWidth="1"/>
    <col min="3" max="3" width="24.7109375" bestFit="1" customWidth="1"/>
    <col min="4" max="4" width="25.140625" bestFit="1" customWidth="1"/>
    <col min="5" max="5" width="11.5703125" customWidth="1"/>
  </cols>
  <sheetData>
    <row r="1" spans="1:6" ht="21" customHeight="1" x14ac:dyDescent="0.25">
      <c r="A1" s="560" t="s">
        <v>266</v>
      </c>
      <c r="B1" s="560" t="s">
        <v>276</v>
      </c>
      <c r="C1" s="560" t="s">
        <v>277</v>
      </c>
      <c r="D1" s="560" t="s">
        <v>278</v>
      </c>
      <c r="E1" s="561" t="s">
        <v>266</v>
      </c>
      <c r="F1" s="45"/>
    </row>
    <row r="2" spans="1:6" ht="21" customHeight="1" x14ac:dyDescent="0.25">
      <c r="A2" s="560"/>
      <c r="B2" s="560"/>
      <c r="C2" s="560"/>
      <c r="D2" s="560"/>
      <c r="E2" s="561"/>
      <c r="F2" s="45"/>
    </row>
    <row r="3" spans="1:6" ht="21" customHeight="1" x14ac:dyDescent="0.25">
      <c r="A3" s="560"/>
      <c r="B3" s="560"/>
      <c r="C3" s="560"/>
      <c r="D3" s="560"/>
      <c r="E3" s="561"/>
      <c r="F3" s="45"/>
    </row>
    <row r="4" spans="1:6" x14ac:dyDescent="0.25">
      <c r="A4" s="37" t="s">
        <v>279</v>
      </c>
      <c r="B4" s="52">
        <v>45000000</v>
      </c>
      <c r="C4" s="151">
        <f>B4/$B$6</f>
        <v>0.75</v>
      </c>
      <c r="D4" s="152">
        <v>0.16</v>
      </c>
      <c r="E4" s="153">
        <f>C4*D4</f>
        <v>0.12</v>
      </c>
      <c r="F4" s="45"/>
    </row>
    <row r="5" spans="1:6" x14ac:dyDescent="0.25">
      <c r="A5" s="37" t="s">
        <v>280</v>
      </c>
      <c r="B5" s="52">
        <v>15000000</v>
      </c>
      <c r="C5" s="151">
        <f>B5/$B$6</f>
        <v>0.25</v>
      </c>
      <c r="D5" s="152">
        <v>0.27</v>
      </c>
      <c r="E5" s="153">
        <f>C5*D5</f>
        <v>6.7500000000000004E-2</v>
      </c>
      <c r="F5" s="45"/>
    </row>
    <row r="6" spans="1:6" ht="18.75" x14ac:dyDescent="0.3">
      <c r="A6" s="37" t="s">
        <v>32</v>
      </c>
      <c r="B6" s="52">
        <f>SUM(B4:B5)</f>
        <v>60000000</v>
      </c>
      <c r="C6" s="151">
        <f>B6/$B$6</f>
        <v>1</v>
      </c>
      <c r="D6" s="154"/>
      <c r="E6" s="155">
        <f>SUM(E4:E5)</f>
        <v>0.1875</v>
      </c>
      <c r="F6" s="45"/>
    </row>
    <row r="7" spans="1:6" x14ac:dyDescent="0.25">
      <c r="A7" s="45"/>
      <c r="B7" s="45"/>
      <c r="C7" s="45"/>
      <c r="D7" s="45"/>
      <c r="E7" s="45"/>
    </row>
  </sheetData>
  <mergeCells count="5"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773E6-D291-403F-8D1C-5F409A254AC5}">
  <sheetPr>
    <tabColor theme="7" tint="0.79998168889431442"/>
  </sheetPr>
  <dimension ref="A1:K64"/>
  <sheetViews>
    <sheetView workbookViewId="0">
      <selection activeCell="B4" sqref="B4:B15"/>
    </sheetView>
  </sheetViews>
  <sheetFormatPr baseColWidth="10" defaultColWidth="9.140625" defaultRowHeight="15" x14ac:dyDescent="0.25"/>
  <cols>
    <col min="2" max="2" width="16.7109375" customWidth="1"/>
    <col min="3" max="3" width="15.140625" customWidth="1"/>
    <col min="4" max="4" width="16.28515625" customWidth="1"/>
    <col min="5" max="5" width="16.7109375" customWidth="1"/>
    <col min="6" max="6" width="13.85546875" bestFit="1" customWidth="1"/>
    <col min="7" max="7" width="13.85546875" customWidth="1"/>
    <col min="8" max="8" width="12.5703125" bestFit="1" customWidth="1"/>
    <col min="9" max="9" width="18.5703125" customWidth="1"/>
  </cols>
  <sheetData>
    <row r="1" spans="1:11" ht="21" x14ac:dyDescent="0.35">
      <c r="A1" s="488" t="s">
        <v>40</v>
      </c>
      <c r="B1" s="489"/>
      <c r="C1" s="489"/>
      <c r="D1" s="489"/>
      <c r="E1" s="490"/>
      <c r="F1" s="45"/>
      <c r="G1" s="45"/>
      <c r="H1" s="494" t="s">
        <v>41</v>
      </c>
      <c r="I1" s="495"/>
    </row>
    <row r="2" spans="1:11" x14ac:dyDescent="0.25">
      <c r="A2" s="170" t="s">
        <v>42</v>
      </c>
      <c r="B2" s="171" t="s">
        <v>43</v>
      </c>
      <c r="C2" s="171" t="s">
        <v>41</v>
      </c>
      <c r="D2" s="171" t="s">
        <v>44</v>
      </c>
      <c r="E2" s="172" t="s">
        <v>45</v>
      </c>
      <c r="F2" s="45"/>
      <c r="G2" s="45"/>
      <c r="H2" s="496"/>
      <c r="I2" s="497"/>
      <c r="J2" s="45" t="s">
        <v>46</v>
      </c>
      <c r="K2" s="178" t="s">
        <v>47</v>
      </c>
    </row>
    <row r="3" spans="1:11" x14ac:dyDescent="0.25">
      <c r="A3" s="173">
        <v>0</v>
      </c>
      <c r="B3" s="37"/>
      <c r="C3" s="37"/>
      <c r="D3" s="37"/>
      <c r="E3" s="174">
        <v>15000000</v>
      </c>
      <c r="F3" s="45"/>
      <c r="G3" s="45"/>
      <c r="H3" s="492">
        <v>0.27</v>
      </c>
      <c r="I3" s="493"/>
      <c r="J3" s="182">
        <v>0.27</v>
      </c>
      <c r="K3" s="183">
        <f>(1+H3)^(1/12)-1</f>
        <v>2.0117763495523189E-2</v>
      </c>
    </row>
    <row r="4" spans="1:11" ht="15" customHeight="1" x14ac:dyDescent="0.25">
      <c r="A4" s="257">
        <v>1</v>
      </c>
      <c r="B4" s="258">
        <f>+D4+C4</f>
        <v>551766.45243284781</v>
      </c>
      <c r="C4" s="258">
        <f>E3*$K$3</f>
        <v>301766.45243284781</v>
      </c>
      <c r="D4" s="258">
        <f>$E$3/60</f>
        <v>250000</v>
      </c>
      <c r="E4" s="259">
        <f>E3-D4</f>
        <v>14750000</v>
      </c>
      <c r="F4" s="266"/>
      <c r="G4" s="266"/>
      <c r="H4" s="491" t="s">
        <v>48</v>
      </c>
      <c r="I4" s="491"/>
      <c r="J4" s="45"/>
    </row>
    <row r="5" spans="1:11" ht="15" customHeight="1" x14ac:dyDescent="0.25">
      <c r="A5" s="257">
        <v>2</v>
      </c>
      <c r="B5" s="258">
        <f t="shared" ref="B5:B63" si="0">+D5+C5</f>
        <v>546737.01155896706</v>
      </c>
      <c r="C5" s="258">
        <f>E4*$K$3</f>
        <v>296737.01155896706</v>
      </c>
      <c r="D5" s="258">
        <f t="shared" ref="D5:D41" si="1">$E$3/60</f>
        <v>250000</v>
      </c>
      <c r="E5" s="259">
        <f>E4-D5</f>
        <v>14500000</v>
      </c>
      <c r="F5" s="266"/>
      <c r="G5" s="266"/>
      <c r="H5" s="491"/>
      <c r="I5" s="491"/>
      <c r="J5" s="45"/>
    </row>
    <row r="6" spans="1:11" ht="15" customHeight="1" x14ac:dyDescent="0.25">
      <c r="A6" s="257">
        <v>3</v>
      </c>
      <c r="B6" s="258">
        <f t="shared" si="0"/>
        <v>541707.57068508631</v>
      </c>
      <c r="C6" s="258">
        <f>E5*$K$3</f>
        <v>291707.57068508625</v>
      </c>
      <c r="D6" s="258">
        <f t="shared" si="1"/>
        <v>250000</v>
      </c>
      <c r="E6" s="259">
        <f>E5-D6</f>
        <v>14250000</v>
      </c>
      <c r="F6" s="266"/>
      <c r="G6" s="266"/>
      <c r="H6" s="491"/>
      <c r="I6" s="491"/>
      <c r="J6" s="45"/>
    </row>
    <row r="7" spans="1:11" ht="16.5" customHeight="1" x14ac:dyDescent="0.25">
      <c r="A7" s="257">
        <v>4</v>
      </c>
      <c r="B7" s="258">
        <f t="shared" si="0"/>
        <v>536678.12981120544</v>
      </c>
      <c r="C7" s="258">
        <f t="shared" ref="C7:C63" si="2">E6*$K$3</f>
        <v>286678.12981120544</v>
      </c>
      <c r="D7" s="258">
        <f t="shared" si="1"/>
        <v>250000</v>
      </c>
      <c r="E7" s="259">
        <f>E6-D7</f>
        <v>14000000</v>
      </c>
      <c r="F7" s="266"/>
      <c r="G7" s="266"/>
      <c r="J7" s="45"/>
    </row>
    <row r="8" spans="1:11" ht="15" customHeight="1" x14ac:dyDescent="0.25">
      <c r="A8" s="257">
        <v>5</v>
      </c>
      <c r="B8" s="258">
        <f t="shared" si="0"/>
        <v>531648.68893732456</v>
      </c>
      <c r="C8" s="258">
        <f t="shared" si="2"/>
        <v>281648.68893732462</v>
      </c>
      <c r="D8" s="258">
        <f t="shared" si="1"/>
        <v>250000</v>
      </c>
      <c r="E8" s="259">
        <f t="shared" ref="E8:E63" si="3">E7-D8</f>
        <v>13750000</v>
      </c>
      <c r="F8" s="266"/>
      <c r="G8" s="266"/>
      <c r="J8" s="45"/>
    </row>
    <row r="9" spans="1:11" ht="15" customHeight="1" x14ac:dyDescent="0.25">
      <c r="A9" s="257">
        <v>6</v>
      </c>
      <c r="B9" s="258">
        <f t="shared" si="0"/>
        <v>526619.24806344393</v>
      </c>
      <c r="C9" s="258">
        <f t="shared" si="2"/>
        <v>276619.24806344387</v>
      </c>
      <c r="D9" s="258">
        <f t="shared" si="1"/>
        <v>250000</v>
      </c>
      <c r="E9" s="259">
        <f t="shared" si="3"/>
        <v>13500000</v>
      </c>
      <c r="F9" s="266"/>
      <c r="G9" s="266"/>
      <c r="J9" s="45"/>
    </row>
    <row r="10" spans="1:11" x14ac:dyDescent="0.25">
      <c r="A10" s="257">
        <v>7</v>
      </c>
      <c r="B10" s="258">
        <f t="shared" si="0"/>
        <v>521589.80718956306</v>
      </c>
      <c r="C10" s="258">
        <f t="shared" si="2"/>
        <v>271589.80718956306</v>
      </c>
      <c r="D10" s="258">
        <f t="shared" si="1"/>
        <v>250000</v>
      </c>
      <c r="E10" s="259">
        <f t="shared" si="3"/>
        <v>13250000</v>
      </c>
      <c r="F10" s="266"/>
      <c r="G10" s="266"/>
      <c r="H10" s="45"/>
      <c r="I10" s="45">
        <f>60/12</f>
        <v>5</v>
      </c>
    </row>
    <row r="11" spans="1:11" x14ac:dyDescent="0.25">
      <c r="A11" s="257">
        <v>8</v>
      </c>
      <c r="B11" s="258">
        <f t="shared" si="0"/>
        <v>516560.36631568224</v>
      </c>
      <c r="C11" s="258">
        <f t="shared" si="2"/>
        <v>266560.36631568224</v>
      </c>
      <c r="D11" s="258">
        <f t="shared" si="1"/>
        <v>250000</v>
      </c>
      <c r="E11" s="259">
        <f t="shared" si="3"/>
        <v>13000000</v>
      </c>
      <c r="F11" s="266"/>
      <c r="G11" s="266"/>
    </row>
    <row r="12" spans="1:11" x14ac:dyDescent="0.25">
      <c r="A12" s="257">
        <v>9</v>
      </c>
      <c r="B12" s="258">
        <f t="shared" si="0"/>
        <v>511530.92544180143</v>
      </c>
      <c r="C12" s="258">
        <f t="shared" si="2"/>
        <v>261530.92544180146</v>
      </c>
      <c r="D12" s="258">
        <f t="shared" si="1"/>
        <v>250000</v>
      </c>
      <c r="E12" s="259">
        <f t="shared" si="3"/>
        <v>12750000</v>
      </c>
      <c r="F12" s="266"/>
      <c r="G12" s="266"/>
    </row>
    <row r="13" spans="1:11" x14ac:dyDescent="0.25">
      <c r="A13" s="257">
        <v>10</v>
      </c>
      <c r="B13" s="258">
        <f t="shared" si="0"/>
        <v>506501.48456792068</v>
      </c>
      <c r="C13" s="258">
        <f t="shared" si="2"/>
        <v>256501.48456792065</v>
      </c>
      <c r="D13" s="258">
        <f t="shared" si="1"/>
        <v>250000</v>
      </c>
      <c r="E13" s="259">
        <f t="shared" si="3"/>
        <v>12500000</v>
      </c>
      <c r="F13" s="266"/>
      <c r="G13" s="266"/>
    </row>
    <row r="14" spans="1:11" x14ac:dyDescent="0.25">
      <c r="A14" s="257">
        <v>11</v>
      </c>
      <c r="B14" s="258">
        <f t="shared" si="0"/>
        <v>501472.04369403986</v>
      </c>
      <c r="C14" s="258">
        <f t="shared" si="2"/>
        <v>251472.04369403986</v>
      </c>
      <c r="D14" s="258">
        <f t="shared" si="1"/>
        <v>250000</v>
      </c>
      <c r="E14" s="259">
        <f t="shared" si="3"/>
        <v>12250000</v>
      </c>
      <c r="F14" s="266"/>
      <c r="G14" s="266"/>
    </row>
    <row r="15" spans="1:11" x14ac:dyDescent="0.25">
      <c r="A15" s="257">
        <v>12</v>
      </c>
      <c r="B15" s="258">
        <f t="shared" si="0"/>
        <v>496442.60282015905</v>
      </c>
      <c r="C15" s="258">
        <f t="shared" si="2"/>
        <v>246442.60282015905</v>
      </c>
      <c r="D15" s="258">
        <f t="shared" si="1"/>
        <v>250000</v>
      </c>
      <c r="E15" s="259">
        <f t="shared" si="3"/>
        <v>12000000</v>
      </c>
      <c r="F15" s="266"/>
      <c r="G15" s="266"/>
    </row>
    <row r="16" spans="1:11" x14ac:dyDescent="0.25">
      <c r="A16" s="260">
        <v>13</v>
      </c>
      <c r="B16" s="261">
        <f>+D16+C16</f>
        <v>491413.1619462783</v>
      </c>
      <c r="C16" s="261">
        <f t="shared" si="2"/>
        <v>241413.16194627827</v>
      </c>
      <c r="D16" s="261">
        <f t="shared" si="1"/>
        <v>250000</v>
      </c>
      <c r="E16" s="262">
        <f t="shared" si="3"/>
        <v>11750000</v>
      </c>
      <c r="F16" s="266"/>
      <c r="G16" s="266"/>
    </row>
    <row r="17" spans="1:10" x14ac:dyDescent="0.25">
      <c r="A17" s="260">
        <v>14</v>
      </c>
      <c r="B17" s="261">
        <f t="shared" si="0"/>
        <v>486383.72107239743</v>
      </c>
      <c r="C17" s="261">
        <f t="shared" si="2"/>
        <v>236383.72107239746</v>
      </c>
      <c r="D17" s="261">
        <f t="shared" si="1"/>
        <v>250000</v>
      </c>
      <c r="E17" s="262">
        <f t="shared" si="3"/>
        <v>11500000</v>
      </c>
      <c r="F17" s="266"/>
      <c r="G17" s="266"/>
    </row>
    <row r="18" spans="1:10" x14ac:dyDescent="0.25">
      <c r="A18" s="260">
        <v>15</v>
      </c>
      <c r="B18" s="261">
        <f t="shared" si="0"/>
        <v>481354.28019851667</v>
      </c>
      <c r="C18" s="261">
        <f t="shared" si="2"/>
        <v>231354.28019851667</v>
      </c>
      <c r="D18" s="261">
        <f t="shared" si="1"/>
        <v>250000</v>
      </c>
      <c r="E18" s="262">
        <f t="shared" si="3"/>
        <v>11250000</v>
      </c>
      <c r="F18" s="266"/>
      <c r="G18" s="266"/>
      <c r="H18" s="179"/>
      <c r="I18" s="179"/>
      <c r="J18" s="179"/>
    </row>
    <row r="19" spans="1:10" x14ac:dyDescent="0.25">
      <c r="A19" s="260">
        <v>16</v>
      </c>
      <c r="B19" s="261">
        <f t="shared" si="0"/>
        <v>476324.83932463586</v>
      </c>
      <c r="C19" s="261">
        <f t="shared" si="2"/>
        <v>226324.83932463586</v>
      </c>
      <c r="D19" s="261">
        <f t="shared" si="1"/>
        <v>250000</v>
      </c>
      <c r="E19" s="262">
        <f t="shared" si="3"/>
        <v>11000000</v>
      </c>
      <c r="F19" s="266"/>
      <c r="G19" s="266"/>
    </row>
    <row r="20" spans="1:10" x14ac:dyDescent="0.25">
      <c r="A20" s="260">
        <v>17</v>
      </c>
      <c r="B20" s="261">
        <f t="shared" si="0"/>
        <v>471295.39845075505</v>
      </c>
      <c r="C20" s="261">
        <f t="shared" si="2"/>
        <v>221295.39845075508</v>
      </c>
      <c r="D20" s="261">
        <f t="shared" si="1"/>
        <v>250000</v>
      </c>
      <c r="E20" s="262">
        <f t="shared" si="3"/>
        <v>10750000</v>
      </c>
      <c r="F20" s="266"/>
      <c r="G20" s="266"/>
    </row>
    <row r="21" spans="1:10" x14ac:dyDescent="0.25">
      <c r="A21" s="260">
        <v>18</v>
      </c>
      <c r="B21" s="261">
        <f t="shared" si="0"/>
        <v>466265.95757687429</v>
      </c>
      <c r="C21" s="261">
        <f t="shared" si="2"/>
        <v>216265.95757687427</v>
      </c>
      <c r="D21" s="261">
        <f t="shared" si="1"/>
        <v>250000</v>
      </c>
      <c r="E21" s="262">
        <f t="shared" si="3"/>
        <v>10500000</v>
      </c>
      <c r="F21" s="266"/>
      <c r="G21" s="266"/>
    </row>
    <row r="22" spans="1:10" x14ac:dyDescent="0.25">
      <c r="A22" s="260">
        <v>19</v>
      </c>
      <c r="B22" s="261">
        <f t="shared" si="0"/>
        <v>461236.51670299348</v>
      </c>
      <c r="C22" s="261">
        <f t="shared" si="2"/>
        <v>211236.51670299348</v>
      </c>
      <c r="D22" s="261">
        <f t="shared" si="1"/>
        <v>250000</v>
      </c>
      <c r="E22" s="262">
        <f t="shared" si="3"/>
        <v>10250000</v>
      </c>
      <c r="F22" s="266"/>
      <c r="G22" s="266"/>
    </row>
    <row r="23" spans="1:10" x14ac:dyDescent="0.25">
      <c r="A23" s="260">
        <v>20</v>
      </c>
      <c r="B23" s="261">
        <f t="shared" si="0"/>
        <v>456207.07582911267</v>
      </c>
      <c r="C23" s="261">
        <f t="shared" si="2"/>
        <v>206207.0758291127</v>
      </c>
      <c r="D23" s="261">
        <f t="shared" si="1"/>
        <v>250000</v>
      </c>
      <c r="E23" s="262">
        <f t="shared" si="3"/>
        <v>10000000</v>
      </c>
      <c r="F23" s="266"/>
      <c r="G23" s="266"/>
    </row>
    <row r="24" spans="1:10" x14ac:dyDescent="0.25">
      <c r="A24" s="260">
        <v>21</v>
      </c>
      <c r="B24" s="261">
        <f t="shared" si="0"/>
        <v>451177.63495523192</v>
      </c>
      <c r="C24" s="261">
        <f t="shared" si="2"/>
        <v>201177.63495523189</v>
      </c>
      <c r="D24" s="261">
        <f t="shared" si="1"/>
        <v>250000</v>
      </c>
      <c r="E24" s="262">
        <f t="shared" si="3"/>
        <v>9750000</v>
      </c>
      <c r="F24" s="266"/>
      <c r="G24" s="266"/>
    </row>
    <row r="25" spans="1:10" x14ac:dyDescent="0.25">
      <c r="A25" s="260">
        <v>22</v>
      </c>
      <c r="B25" s="261">
        <f t="shared" si="0"/>
        <v>446148.1940813511</v>
      </c>
      <c r="C25" s="261">
        <f t="shared" si="2"/>
        <v>196148.1940813511</v>
      </c>
      <c r="D25" s="261">
        <f t="shared" si="1"/>
        <v>250000</v>
      </c>
      <c r="E25" s="262">
        <f t="shared" si="3"/>
        <v>9500000</v>
      </c>
      <c r="F25" s="266"/>
      <c r="G25" s="266"/>
    </row>
    <row r="26" spans="1:10" x14ac:dyDescent="0.25">
      <c r="A26" s="260">
        <v>23</v>
      </c>
      <c r="B26" s="261">
        <f t="shared" si="0"/>
        <v>441118.75320747029</v>
      </c>
      <c r="C26" s="261">
        <f t="shared" si="2"/>
        <v>191118.75320747029</v>
      </c>
      <c r="D26" s="261">
        <f t="shared" si="1"/>
        <v>250000</v>
      </c>
      <c r="E26" s="262">
        <f t="shared" si="3"/>
        <v>9250000</v>
      </c>
      <c r="F26" s="266"/>
      <c r="G26" s="266"/>
    </row>
    <row r="27" spans="1:10" x14ac:dyDescent="0.25">
      <c r="A27" s="260">
        <v>24</v>
      </c>
      <c r="B27" s="261">
        <f t="shared" si="0"/>
        <v>436089.31233358954</v>
      </c>
      <c r="C27" s="261">
        <f t="shared" si="2"/>
        <v>186089.31233358951</v>
      </c>
      <c r="D27" s="261">
        <f t="shared" si="1"/>
        <v>250000</v>
      </c>
      <c r="E27" s="262">
        <f t="shared" si="3"/>
        <v>9000000</v>
      </c>
      <c r="F27" s="266"/>
      <c r="G27" s="266"/>
    </row>
    <row r="28" spans="1:10" x14ac:dyDescent="0.25">
      <c r="A28" s="270">
        <v>25</v>
      </c>
      <c r="B28" s="271">
        <f t="shared" si="0"/>
        <v>431059.87145970867</v>
      </c>
      <c r="C28" s="271">
        <f t="shared" si="2"/>
        <v>181059.87145970869</v>
      </c>
      <c r="D28" s="271">
        <f t="shared" si="1"/>
        <v>250000</v>
      </c>
      <c r="E28" s="272">
        <f t="shared" si="3"/>
        <v>8750000</v>
      </c>
      <c r="F28" s="266"/>
      <c r="G28" s="266"/>
    </row>
    <row r="29" spans="1:10" x14ac:dyDescent="0.25">
      <c r="A29" s="270">
        <v>26</v>
      </c>
      <c r="B29" s="271">
        <f t="shared" si="0"/>
        <v>426030.43058582791</v>
      </c>
      <c r="C29" s="271">
        <f t="shared" si="2"/>
        <v>176030.43058582791</v>
      </c>
      <c r="D29" s="271">
        <f t="shared" si="1"/>
        <v>250000</v>
      </c>
      <c r="E29" s="272">
        <f t="shared" si="3"/>
        <v>8500000</v>
      </c>
      <c r="F29" s="266"/>
      <c r="G29" s="266"/>
    </row>
    <row r="30" spans="1:10" x14ac:dyDescent="0.25">
      <c r="A30" s="270">
        <v>27</v>
      </c>
      <c r="B30" s="271">
        <f t="shared" si="0"/>
        <v>421000.9897119471</v>
      </c>
      <c r="C30" s="271">
        <f t="shared" si="2"/>
        <v>171000.9897119471</v>
      </c>
      <c r="D30" s="271">
        <f t="shared" si="1"/>
        <v>250000</v>
      </c>
      <c r="E30" s="272">
        <f t="shared" si="3"/>
        <v>8250000</v>
      </c>
      <c r="F30" s="266"/>
      <c r="G30" s="266"/>
    </row>
    <row r="31" spans="1:10" x14ac:dyDescent="0.25">
      <c r="A31" s="270">
        <v>28</v>
      </c>
      <c r="B31" s="271">
        <f t="shared" si="0"/>
        <v>415971.54883806629</v>
      </c>
      <c r="C31" s="271">
        <f t="shared" si="2"/>
        <v>165971.54883806632</v>
      </c>
      <c r="D31" s="271">
        <f t="shared" si="1"/>
        <v>250000</v>
      </c>
      <c r="E31" s="272">
        <f t="shared" si="3"/>
        <v>8000000</v>
      </c>
      <c r="F31" s="266"/>
      <c r="G31" s="266"/>
    </row>
    <row r="32" spans="1:10" x14ac:dyDescent="0.25">
      <c r="A32" s="270">
        <v>29</v>
      </c>
      <c r="B32" s="271">
        <f t="shared" si="0"/>
        <v>410942.10796418553</v>
      </c>
      <c r="C32" s="271">
        <f t="shared" si="2"/>
        <v>160942.1079641855</v>
      </c>
      <c r="D32" s="271">
        <f t="shared" si="1"/>
        <v>250000</v>
      </c>
      <c r="E32" s="272">
        <f t="shared" si="3"/>
        <v>7750000</v>
      </c>
      <c r="F32" s="266"/>
      <c r="G32" s="266"/>
    </row>
    <row r="33" spans="1:7" x14ac:dyDescent="0.25">
      <c r="A33" s="270">
        <v>30</v>
      </c>
      <c r="B33" s="271">
        <f t="shared" si="0"/>
        <v>405912.66709030472</v>
      </c>
      <c r="C33" s="271">
        <f t="shared" si="2"/>
        <v>155912.66709030472</v>
      </c>
      <c r="D33" s="271">
        <f t="shared" si="1"/>
        <v>250000</v>
      </c>
      <c r="E33" s="272">
        <f t="shared" si="3"/>
        <v>7500000</v>
      </c>
      <c r="F33" s="266"/>
      <c r="G33" s="266"/>
    </row>
    <row r="34" spans="1:7" x14ac:dyDescent="0.25">
      <c r="A34" s="270">
        <v>31</v>
      </c>
      <c r="B34" s="271">
        <f t="shared" si="0"/>
        <v>400883.22621642391</v>
      </c>
      <c r="C34" s="271">
        <f t="shared" si="2"/>
        <v>150883.22621642391</v>
      </c>
      <c r="D34" s="271">
        <f t="shared" si="1"/>
        <v>250000</v>
      </c>
      <c r="E34" s="272">
        <f t="shared" si="3"/>
        <v>7250000</v>
      </c>
      <c r="F34" s="266"/>
      <c r="G34" s="266"/>
    </row>
    <row r="35" spans="1:7" x14ac:dyDescent="0.25">
      <c r="A35" s="270">
        <v>32</v>
      </c>
      <c r="B35" s="271">
        <f t="shared" si="0"/>
        <v>395853.78534254315</v>
      </c>
      <c r="C35" s="271">
        <f t="shared" si="2"/>
        <v>145853.78534254312</v>
      </c>
      <c r="D35" s="271">
        <f t="shared" si="1"/>
        <v>250000</v>
      </c>
      <c r="E35" s="272">
        <f t="shared" si="3"/>
        <v>7000000</v>
      </c>
      <c r="F35" s="266"/>
      <c r="G35" s="266"/>
    </row>
    <row r="36" spans="1:7" x14ac:dyDescent="0.25">
      <c r="A36" s="270">
        <v>33</v>
      </c>
      <c r="B36" s="271">
        <f t="shared" si="0"/>
        <v>390824.34446866228</v>
      </c>
      <c r="C36" s="271">
        <f t="shared" si="2"/>
        <v>140824.34446866231</v>
      </c>
      <c r="D36" s="271">
        <f t="shared" si="1"/>
        <v>250000</v>
      </c>
      <c r="E36" s="272">
        <f t="shared" si="3"/>
        <v>6750000</v>
      </c>
      <c r="F36" s="266"/>
      <c r="G36" s="266"/>
    </row>
    <row r="37" spans="1:7" x14ac:dyDescent="0.25">
      <c r="A37" s="270">
        <v>34</v>
      </c>
      <c r="B37" s="271">
        <f t="shared" si="0"/>
        <v>385794.90359478153</v>
      </c>
      <c r="C37" s="271">
        <f t="shared" si="2"/>
        <v>135794.90359478153</v>
      </c>
      <c r="D37" s="271">
        <f t="shared" si="1"/>
        <v>250000</v>
      </c>
      <c r="E37" s="272">
        <f t="shared" si="3"/>
        <v>6500000</v>
      </c>
      <c r="F37" s="266"/>
      <c r="G37" s="266"/>
    </row>
    <row r="38" spans="1:7" x14ac:dyDescent="0.25">
      <c r="A38" s="270">
        <v>35</v>
      </c>
      <c r="B38" s="271">
        <f t="shared" si="0"/>
        <v>380765.46272090072</v>
      </c>
      <c r="C38" s="271">
        <f t="shared" si="2"/>
        <v>130765.46272090073</v>
      </c>
      <c r="D38" s="271">
        <f t="shared" si="1"/>
        <v>250000</v>
      </c>
      <c r="E38" s="272">
        <f t="shared" si="3"/>
        <v>6250000</v>
      </c>
      <c r="F38" s="266"/>
      <c r="G38" s="266"/>
    </row>
    <row r="39" spans="1:7" x14ac:dyDescent="0.25">
      <c r="A39" s="270">
        <v>36</v>
      </c>
      <c r="B39" s="271">
        <f t="shared" si="0"/>
        <v>375736.0218470199</v>
      </c>
      <c r="C39" s="271">
        <f t="shared" si="2"/>
        <v>125736.02184701993</v>
      </c>
      <c r="D39" s="271">
        <f t="shared" si="1"/>
        <v>250000</v>
      </c>
      <c r="E39" s="272">
        <f t="shared" si="3"/>
        <v>6000000</v>
      </c>
      <c r="F39" s="266"/>
      <c r="G39" s="266"/>
    </row>
    <row r="40" spans="1:7" x14ac:dyDescent="0.25">
      <c r="A40" s="273">
        <v>37</v>
      </c>
      <c r="B40" s="274">
        <f t="shared" si="0"/>
        <v>370706.58097313915</v>
      </c>
      <c r="C40" s="274">
        <f t="shared" si="2"/>
        <v>120706.58097313913</v>
      </c>
      <c r="D40" s="274">
        <f t="shared" si="1"/>
        <v>250000</v>
      </c>
      <c r="E40" s="275">
        <f t="shared" si="3"/>
        <v>5750000</v>
      </c>
      <c r="F40" s="266"/>
      <c r="G40" s="266"/>
    </row>
    <row r="41" spans="1:7" x14ac:dyDescent="0.25">
      <c r="A41" s="273">
        <v>38</v>
      </c>
      <c r="B41" s="274">
        <f t="shared" si="0"/>
        <v>365677.14009925834</v>
      </c>
      <c r="C41" s="274">
        <f t="shared" si="2"/>
        <v>115677.14009925834</v>
      </c>
      <c r="D41" s="274">
        <f t="shared" si="1"/>
        <v>250000</v>
      </c>
      <c r="E41" s="275">
        <f t="shared" si="3"/>
        <v>5500000</v>
      </c>
      <c r="F41" s="266"/>
      <c r="G41" s="266"/>
    </row>
    <row r="42" spans="1:7" x14ac:dyDescent="0.25">
      <c r="A42" s="273">
        <v>39</v>
      </c>
      <c r="B42" s="274">
        <f t="shared" si="0"/>
        <v>360647.69922537752</v>
      </c>
      <c r="C42" s="274">
        <f t="shared" si="2"/>
        <v>110647.69922537754</v>
      </c>
      <c r="D42" s="274">
        <f>$E$3/60</f>
        <v>250000</v>
      </c>
      <c r="E42" s="275">
        <f t="shared" si="3"/>
        <v>5250000</v>
      </c>
      <c r="F42" s="266"/>
      <c r="G42" s="266"/>
    </row>
    <row r="43" spans="1:7" x14ac:dyDescent="0.25">
      <c r="A43" s="273">
        <v>40</v>
      </c>
      <c r="B43" s="274">
        <f t="shared" si="0"/>
        <v>355618.25835149677</v>
      </c>
      <c r="C43" s="274">
        <f t="shared" si="2"/>
        <v>105618.25835149674</v>
      </c>
      <c r="D43" s="274">
        <f t="shared" ref="D43:D63" si="4">$E$3/60</f>
        <v>250000</v>
      </c>
      <c r="E43" s="275">
        <f t="shared" si="3"/>
        <v>5000000</v>
      </c>
      <c r="F43" s="266"/>
      <c r="G43" s="266"/>
    </row>
    <row r="44" spans="1:7" x14ac:dyDescent="0.25">
      <c r="A44" s="273">
        <v>41</v>
      </c>
      <c r="B44" s="274">
        <f t="shared" si="0"/>
        <v>350588.81747761596</v>
      </c>
      <c r="C44" s="274">
        <f t="shared" si="2"/>
        <v>100588.81747761594</v>
      </c>
      <c r="D44" s="274">
        <f t="shared" si="4"/>
        <v>250000</v>
      </c>
      <c r="E44" s="275">
        <f t="shared" si="3"/>
        <v>4750000</v>
      </c>
      <c r="F44" s="266"/>
      <c r="G44" s="266"/>
    </row>
    <row r="45" spans="1:7" x14ac:dyDescent="0.25">
      <c r="A45" s="273">
        <v>42</v>
      </c>
      <c r="B45" s="274">
        <f t="shared" si="0"/>
        <v>345559.37660373515</v>
      </c>
      <c r="C45" s="274">
        <f t="shared" si="2"/>
        <v>95559.376603735145</v>
      </c>
      <c r="D45" s="274">
        <f t="shared" si="4"/>
        <v>250000</v>
      </c>
      <c r="E45" s="275">
        <f t="shared" si="3"/>
        <v>4500000</v>
      </c>
      <c r="F45" s="266"/>
      <c r="G45" s="266"/>
    </row>
    <row r="46" spans="1:7" x14ac:dyDescent="0.25">
      <c r="A46" s="273">
        <v>43</v>
      </c>
      <c r="B46" s="274">
        <f t="shared" si="0"/>
        <v>340529.93572985433</v>
      </c>
      <c r="C46" s="274">
        <f t="shared" si="2"/>
        <v>90529.935729854347</v>
      </c>
      <c r="D46" s="274">
        <f t="shared" si="4"/>
        <v>250000</v>
      </c>
      <c r="E46" s="275">
        <f t="shared" si="3"/>
        <v>4250000</v>
      </c>
      <c r="F46" s="266"/>
      <c r="G46" s="266"/>
    </row>
    <row r="47" spans="1:7" x14ac:dyDescent="0.25">
      <c r="A47" s="273">
        <v>44</v>
      </c>
      <c r="B47" s="274">
        <f t="shared" si="0"/>
        <v>335500.49485597352</v>
      </c>
      <c r="C47" s="274">
        <f t="shared" si="2"/>
        <v>85500.494855973549</v>
      </c>
      <c r="D47" s="274">
        <f t="shared" si="4"/>
        <v>250000</v>
      </c>
      <c r="E47" s="275">
        <f t="shared" si="3"/>
        <v>4000000</v>
      </c>
      <c r="F47" s="266"/>
      <c r="G47" s="266"/>
    </row>
    <row r="48" spans="1:7" x14ac:dyDescent="0.25">
      <c r="A48" s="273">
        <v>45</v>
      </c>
      <c r="B48" s="274">
        <f t="shared" si="0"/>
        <v>330471.05398209277</v>
      </c>
      <c r="C48" s="274">
        <f t="shared" si="2"/>
        <v>80471.053982092752</v>
      </c>
      <c r="D48" s="274">
        <f t="shared" si="4"/>
        <v>250000</v>
      </c>
      <c r="E48" s="275">
        <f t="shared" si="3"/>
        <v>3750000</v>
      </c>
      <c r="F48" s="266"/>
      <c r="G48" s="266"/>
    </row>
    <row r="49" spans="1:7" x14ac:dyDescent="0.25">
      <c r="A49" s="273">
        <v>46</v>
      </c>
      <c r="B49" s="274">
        <f t="shared" si="0"/>
        <v>325441.61310821195</v>
      </c>
      <c r="C49" s="274">
        <f t="shared" si="2"/>
        <v>75441.613108211954</v>
      </c>
      <c r="D49" s="274">
        <f t="shared" si="4"/>
        <v>250000</v>
      </c>
      <c r="E49" s="275">
        <f t="shared" si="3"/>
        <v>3500000</v>
      </c>
      <c r="F49" s="266"/>
      <c r="G49" s="266"/>
    </row>
    <row r="50" spans="1:7" x14ac:dyDescent="0.25">
      <c r="A50" s="273">
        <v>47</v>
      </c>
      <c r="B50" s="274">
        <f t="shared" si="0"/>
        <v>320412.17223433114</v>
      </c>
      <c r="C50" s="274">
        <f t="shared" si="2"/>
        <v>70412.172234331156</v>
      </c>
      <c r="D50" s="274">
        <f t="shared" si="4"/>
        <v>250000</v>
      </c>
      <c r="E50" s="275">
        <f t="shared" si="3"/>
        <v>3250000</v>
      </c>
      <c r="F50" s="266"/>
      <c r="G50" s="266"/>
    </row>
    <row r="51" spans="1:7" x14ac:dyDescent="0.25">
      <c r="A51" s="273">
        <v>48</v>
      </c>
      <c r="B51" s="274">
        <f t="shared" si="0"/>
        <v>315382.73136045039</v>
      </c>
      <c r="C51" s="274">
        <f t="shared" si="2"/>
        <v>65382.731360450365</v>
      </c>
      <c r="D51" s="274">
        <f t="shared" si="4"/>
        <v>250000</v>
      </c>
      <c r="E51" s="275">
        <f t="shared" si="3"/>
        <v>3000000</v>
      </c>
      <c r="F51" s="266"/>
      <c r="G51" s="266"/>
    </row>
    <row r="52" spans="1:7" x14ac:dyDescent="0.25">
      <c r="A52" s="391">
        <v>49</v>
      </c>
      <c r="B52" s="392">
        <f t="shared" si="0"/>
        <v>310353.29048656957</v>
      </c>
      <c r="C52" s="392">
        <f t="shared" si="2"/>
        <v>60353.290486569567</v>
      </c>
      <c r="D52" s="392">
        <f t="shared" si="4"/>
        <v>250000</v>
      </c>
      <c r="E52" s="393">
        <f t="shared" si="3"/>
        <v>2750000</v>
      </c>
      <c r="F52" s="266"/>
      <c r="G52" s="266"/>
    </row>
    <row r="53" spans="1:7" x14ac:dyDescent="0.25">
      <c r="A53" s="391">
        <v>50</v>
      </c>
      <c r="B53" s="392">
        <f t="shared" si="0"/>
        <v>305323.84961268876</v>
      </c>
      <c r="C53" s="392">
        <f t="shared" si="2"/>
        <v>55323.849612688769</v>
      </c>
      <c r="D53" s="392">
        <f t="shared" si="4"/>
        <v>250000</v>
      </c>
      <c r="E53" s="393">
        <f t="shared" si="3"/>
        <v>2500000</v>
      </c>
      <c r="F53" s="266"/>
      <c r="G53" s="266"/>
    </row>
    <row r="54" spans="1:7" x14ac:dyDescent="0.25">
      <c r="A54" s="391">
        <v>51</v>
      </c>
      <c r="B54" s="392">
        <f t="shared" si="0"/>
        <v>300294.40873880795</v>
      </c>
      <c r="C54" s="392">
        <f t="shared" si="2"/>
        <v>50294.408738807972</v>
      </c>
      <c r="D54" s="392">
        <f t="shared" si="4"/>
        <v>250000</v>
      </c>
      <c r="E54" s="393">
        <f t="shared" si="3"/>
        <v>2250000</v>
      </c>
      <c r="F54" s="266"/>
      <c r="G54" s="266"/>
    </row>
    <row r="55" spans="1:7" x14ac:dyDescent="0.25">
      <c r="A55" s="391">
        <v>52</v>
      </c>
      <c r="B55" s="392">
        <f t="shared" si="0"/>
        <v>295264.9678649272</v>
      </c>
      <c r="C55" s="392">
        <f t="shared" si="2"/>
        <v>45264.967864927174</v>
      </c>
      <c r="D55" s="392">
        <f t="shared" si="4"/>
        <v>250000</v>
      </c>
      <c r="E55" s="393">
        <f t="shared" si="3"/>
        <v>2000000</v>
      </c>
      <c r="F55" s="266"/>
      <c r="G55" s="266"/>
    </row>
    <row r="56" spans="1:7" x14ac:dyDescent="0.25">
      <c r="A56" s="391">
        <v>53</v>
      </c>
      <c r="B56" s="392">
        <f t="shared" si="0"/>
        <v>290235.52699104638</v>
      </c>
      <c r="C56" s="392">
        <f t="shared" si="2"/>
        <v>40235.526991046376</v>
      </c>
      <c r="D56" s="392">
        <f t="shared" si="4"/>
        <v>250000</v>
      </c>
      <c r="E56" s="393">
        <f t="shared" si="3"/>
        <v>1750000</v>
      </c>
      <c r="F56" s="266"/>
      <c r="G56" s="266"/>
    </row>
    <row r="57" spans="1:7" x14ac:dyDescent="0.25">
      <c r="A57" s="391">
        <v>54</v>
      </c>
      <c r="B57" s="392">
        <f t="shared" si="0"/>
        <v>285206.08611716557</v>
      </c>
      <c r="C57" s="392">
        <f t="shared" si="2"/>
        <v>35206.086117165578</v>
      </c>
      <c r="D57" s="392">
        <f t="shared" si="4"/>
        <v>250000</v>
      </c>
      <c r="E57" s="393">
        <f t="shared" si="3"/>
        <v>1500000</v>
      </c>
      <c r="F57" s="266"/>
      <c r="G57" s="266"/>
    </row>
    <row r="58" spans="1:7" x14ac:dyDescent="0.25">
      <c r="A58" s="391">
        <v>55</v>
      </c>
      <c r="B58" s="392">
        <f t="shared" si="0"/>
        <v>280176.64524328476</v>
      </c>
      <c r="C58" s="392">
        <f t="shared" si="2"/>
        <v>30176.645243284784</v>
      </c>
      <c r="D58" s="392">
        <f t="shared" si="4"/>
        <v>250000</v>
      </c>
      <c r="E58" s="393">
        <f t="shared" si="3"/>
        <v>1250000</v>
      </c>
      <c r="F58" s="266"/>
      <c r="G58" s="266"/>
    </row>
    <row r="59" spans="1:7" x14ac:dyDescent="0.25">
      <c r="A59" s="391">
        <v>56</v>
      </c>
      <c r="B59" s="392">
        <f t="shared" si="0"/>
        <v>275147.204369404</v>
      </c>
      <c r="C59" s="392">
        <f t="shared" si="2"/>
        <v>25147.204369403986</v>
      </c>
      <c r="D59" s="392">
        <f t="shared" si="4"/>
        <v>250000</v>
      </c>
      <c r="E59" s="393">
        <f t="shared" si="3"/>
        <v>1000000</v>
      </c>
      <c r="F59" s="266"/>
      <c r="G59" s="266"/>
    </row>
    <row r="60" spans="1:7" x14ac:dyDescent="0.25">
      <c r="A60" s="391">
        <v>57</v>
      </c>
      <c r="B60" s="392">
        <f t="shared" si="0"/>
        <v>270117.76349552319</v>
      </c>
      <c r="C60" s="392">
        <f t="shared" si="2"/>
        <v>20117.763495523188</v>
      </c>
      <c r="D60" s="392">
        <f t="shared" si="4"/>
        <v>250000</v>
      </c>
      <c r="E60" s="393">
        <f t="shared" si="3"/>
        <v>750000</v>
      </c>
      <c r="F60" s="266"/>
      <c r="G60" s="266"/>
    </row>
    <row r="61" spans="1:7" x14ac:dyDescent="0.25">
      <c r="A61" s="391">
        <v>58</v>
      </c>
      <c r="B61" s="392">
        <f t="shared" si="0"/>
        <v>265088.32262164238</v>
      </c>
      <c r="C61" s="392">
        <f t="shared" si="2"/>
        <v>15088.322621642392</v>
      </c>
      <c r="D61" s="392">
        <f t="shared" si="4"/>
        <v>250000</v>
      </c>
      <c r="E61" s="393">
        <f t="shared" si="3"/>
        <v>500000</v>
      </c>
      <c r="F61" s="266"/>
      <c r="G61" s="266"/>
    </row>
    <row r="62" spans="1:7" x14ac:dyDescent="0.25">
      <c r="A62" s="391">
        <v>59</v>
      </c>
      <c r="B62" s="392">
        <f t="shared" si="0"/>
        <v>260058.8817477616</v>
      </c>
      <c r="C62" s="392">
        <f t="shared" si="2"/>
        <v>10058.881747761594</v>
      </c>
      <c r="D62" s="392">
        <f t="shared" si="4"/>
        <v>250000</v>
      </c>
      <c r="E62" s="393">
        <f t="shared" si="3"/>
        <v>250000</v>
      </c>
      <c r="F62" s="266"/>
      <c r="G62" s="266"/>
    </row>
    <row r="63" spans="1:7" ht="15.75" thickBot="1" x14ac:dyDescent="0.3">
      <c r="A63" s="394">
        <v>60</v>
      </c>
      <c r="B63" s="395">
        <f t="shared" si="0"/>
        <v>255029.44087388078</v>
      </c>
      <c r="C63" s="392">
        <f t="shared" si="2"/>
        <v>5029.440873880797</v>
      </c>
      <c r="D63" s="396">
        <f t="shared" si="4"/>
        <v>250000</v>
      </c>
      <c r="E63" s="397">
        <f t="shared" si="3"/>
        <v>0</v>
      </c>
      <c r="F63" s="266"/>
      <c r="G63" s="266"/>
    </row>
    <row r="64" spans="1:7" ht="15.75" thickBot="1" x14ac:dyDescent="0.3">
      <c r="A64" s="45"/>
      <c r="B64" s="277">
        <f>SUM(B4:B63)</f>
        <v>24203876.799201857</v>
      </c>
      <c r="C64" s="278">
        <f t="shared" ref="C64:D64" si="5">SUM(C4:C63)</f>
        <v>9203876.7992018573</v>
      </c>
      <c r="D64" s="269">
        <f t="shared" si="5"/>
        <v>15000000</v>
      </c>
      <c r="E64" s="269"/>
    </row>
  </sheetData>
  <mergeCells count="4">
    <mergeCell ref="A1:E1"/>
    <mergeCell ref="H4:I6"/>
    <mergeCell ref="H3:I3"/>
    <mergeCell ref="H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0393-67E4-4E33-B9B3-06E70E0A5F02}">
  <sheetPr>
    <tabColor theme="7" tint="0.79998168889431442"/>
  </sheetPr>
  <dimension ref="A1:H17"/>
  <sheetViews>
    <sheetView zoomScale="85" zoomScaleNormal="85" workbookViewId="0">
      <selection activeCell="D20" sqref="D20"/>
    </sheetView>
  </sheetViews>
  <sheetFormatPr baseColWidth="10" defaultColWidth="11.42578125" defaultRowHeight="15" x14ac:dyDescent="0.25"/>
  <cols>
    <col min="1" max="1" width="27.140625" bestFit="1" customWidth="1"/>
    <col min="2" max="2" width="30.42578125" bestFit="1" customWidth="1"/>
    <col min="3" max="5" width="15" bestFit="1" customWidth="1"/>
    <col min="6" max="7" width="16" bestFit="1" customWidth="1"/>
  </cols>
  <sheetData>
    <row r="1" spans="1:8" x14ac:dyDescent="0.25">
      <c r="A1" s="61" t="s">
        <v>49</v>
      </c>
      <c r="B1" s="361">
        <v>0</v>
      </c>
      <c r="C1" s="361">
        <v>1</v>
      </c>
      <c r="D1" s="361">
        <v>2</v>
      </c>
      <c r="E1" s="361">
        <v>3</v>
      </c>
      <c r="F1" s="361">
        <v>4</v>
      </c>
      <c r="G1" s="361">
        <v>5</v>
      </c>
      <c r="H1" s="361"/>
    </row>
    <row r="3" spans="1:8" x14ac:dyDescent="0.25">
      <c r="A3" s="263" t="s">
        <v>50</v>
      </c>
      <c r="B3" s="264">
        <v>600000</v>
      </c>
      <c r="C3" s="264">
        <v>1000000</v>
      </c>
      <c r="D3" s="264">
        <v>1000000</v>
      </c>
      <c r="E3" s="264">
        <v>1800000</v>
      </c>
      <c r="F3" s="264">
        <v>2000000</v>
      </c>
      <c r="G3" s="264">
        <v>2000000</v>
      </c>
    </row>
    <row r="4" spans="1:8" x14ac:dyDescent="0.25">
      <c r="A4" s="263" t="s">
        <v>51</v>
      </c>
      <c r="B4" s="264">
        <v>2000000</v>
      </c>
      <c r="C4" s="264">
        <v>0</v>
      </c>
      <c r="D4" s="264">
        <v>0</v>
      </c>
      <c r="E4" s="264">
        <v>0</v>
      </c>
      <c r="F4" s="264">
        <v>0</v>
      </c>
      <c r="G4" s="264">
        <v>0</v>
      </c>
    </row>
    <row r="5" spans="1:8" x14ac:dyDescent="0.25">
      <c r="A5" s="263" t="s">
        <v>52</v>
      </c>
      <c r="B5" s="264">
        <v>16000000</v>
      </c>
      <c r="C5" s="264">
        <v>0</v>
      </c>
      <c r="D5" s="264">
        <v>0</v>
      </c>
      <c r="E5" s="264">
        <v>0</v>
      </c>
      <c r="F5" s="264">
        <v>0</v>
      </c>
      <c r="G5" s="264">
        <v>0</v>
      </c>
    </row>
    <row r="6" spans="1:8" x14ac:dyDescent="0.25">
      <c r="A6" s="263" t="s">
        <v>53</v>
      </c>
      <c r="B6" s="264">
        <v>1200000</v>
      </c>
      <c r="C6" s="264">
        <v>0</v>
      </c>
      <c r="D6" s="264">
        <v>0</v>
      </c>
      <c r="E6" s="264">
        <v>0</v>
      </c>
      <c r="F6" s="264">
        <v>0</v>
      </c>
      <c r="G6" s="264">
        <v>0</v>
      </c>
    </row>
    <row r="7" spans="1:8" x14ac:dyDescent="0.25">
      <c r="A7" s="263" t="s">
        <v>54</v>
      </c>
      <c r="B7" s="264">
        <v>0</v>
      </c>
      <c r="C7" s="264">
        <v>2000000</v>
      </c>
      <c r="D7" s="264">
        <v>2000000</v>
      </c>
      <c r="E7" s="264">
        <v>4000000</v>
      </c>
      <c r="F7" s="264">
        <v>4000000</v>
      </c>
      <c r="G7" s="264">
        <v>2000000</v>
      </c>
    </row>
    <row r="8" spans="1:8" x14ac:dyDescent="0.25">
      <c r="A8" s="263" t="s">
        <v>55</v>
      </c>
      <c r="B8" s="264">
        <v>0</v>
      </c>
      <c r="C8" s="264">
        <v>0</v>
      </c>
      <c r="D8" s="264">
        <v>4000000</v>
      </c>
      <c r="E8" s="264">
        <v>0</v>
      </c>
      <c r="F8" s="264">
        <v>5000000</v>
      </c>
      <c r="G8" s="264">
        <v>4000000</v>
      </c>
    </row>
    <row r="9" spans="1:8" x14ac:dyDescent="0.25">
      <c r="A9" s="263" t="s">
        <v>56</v>
      </c>
      <c r="B9" s="264">
        <v>0</v>
      </c>
      <c r="C9" s="264">
        <v>0</v>
      </c>
      <c r="D9" s="264">
        <v>0</v>
      </c>
      <c r="E9" s="264">
        <v>2000000</v>
      </c>
      <c r="F9" s="264"/>
      <c r="G9" s="264">
        <v>3000000</v>
      </c>
    </row>
    <row r="10" spans="1:8" x14ac:dyDescent="0.25">
      <c r="A10" s="263" t="s">
        <v>57</v>
      </c>
      <c r="B10" s="264">
        <v>1000000</v>
      </c>
      <c r="C10" s="264">
        <v>2000000</v>
      </c>
      <c r="D10" s="264">
        <v>2000000</v>
      </c>
      <c r="E10" s="264">
        <v>2000000</v>
      </c>
      <c r="F10" s="264">
        <v>2000000</v>
      </c>
      <c r="G10" s="264">
        <v>2000000</v>
      </c>
    </row>
    <row r="11" spans="1:8" x14ac:dyDescent="0.25">
      <c r="A11" s="3" t="s">
        <v>58</v>
      </c>
      <c r="B11" s="4">
        <f>SUM(B4:B10)</f>
        <v>20200000</v>
      </c>
      <c r="C11" s="4">
        <f>SUM(C3:C10)</f>
        <v>5000000</v>
      </c>
      <c r="D11" s="4">
        <f>SUM(D3:D10)</f>
        <v>9000000</v>
      </c>
      <c r="E11" s="4">
        <f>SUM(E3:E10)</f>
        <v>9800000</v>
      </c>
      <c r="F11" s="4">
        <f>SUM(F3:F10)</f>
        <v>13000000</v>
      </c>
      <c r="G11" s="4">
        <f>SUM(G3:G10)</f>
        <v>13000000</v>
      </c>
    </row>
    <row r="12" spans="1:8" ht="15.75" thickBot="1" x14ac:dyDescent="0.3"/>
    <row r="13" spans="1:8" ht="15.75" thickBot="1" x14ac:dyDescent="0.3">
      <c r="A13" s="406" t="s">
        <v>59</v>
      </c>
      <c r="B13" s="362">
        <f>+B11/12</f>
        <v>1683333.3333333333</v>
      </c>
      <c r="C13" s="363">
        <f t="shared" ref="C13:G13" si="0">+C11/12</f>
        <v>416666.66666666669</v>
      </c>
      <c r="D13" s="364">
        <f t="shared" si="0"/>
        <v>750000</v>
      </c>
      <c r="E13" s="364">
        <f t="shared" si="0"/>
        <v>816666.66666666663</v>
      </c>
      <c r="F13" s="364">
        <f t="shared" si="0"/>
        <v>1083333.3333333333</v>
      </c>
      <c r="G13" s="364">
        <f t="shared" si="0"/>
        <v>1083333.3333333333</v>
      </c>
    </row>
    <row r="15" spans="1:8" ht="15.75" thickBot="1" x14ac:dyDescent="0.3"/>
    <row r="16" spans="1:8" ht="15.75" thickBot="1" x14ac:dyDescent="0.3">
      <c r="A16" s="178" t="s">
        <v>60</v>
      </c>
      <c r="B16" s="362">
        <f>+B13*12</f>
        <v>20200000</v>
      </c>
      <c r="C16" s="363">
        <f t="shared" ref="C16:G16" si="1">+C13*12</f>
        <v>5000000</v>
      </c>
      <c r="D16" s="333">
        <f t="shared" si="1"/>
        <v>9000000</v>
      </c>
      <c r="E16" s="366">
        <f t="shared" si="1"/>
        <v>9800000</v>
      </c>
      <c r="F16" s="367">
        <f t="shared" si="1"/>
        <v>13000000</v>
      </c>
      <c r="G16" s="368">
        <f t="shared" si="1"/>
        <v>13000000</v>
      </c>
    </row>
    <row r="17" spans="2:2" x14ac:dyDescent="0.25">
      <c r="B17" s="6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6FBA-55C2-4208-9A59-ABCCF473EC49}">
  <sheetPr>
    <tabColor rgb="FFFFFF00"/>
  </sheetPr>
  <dimension ref="A1:R39"/>
  <sheetViews>
    <sheetView topLeftCell="A2" zoomScale="85" zoomScaleNormal="85" workbookViewId="0">
      <selection activeCell="B7" sqref="B7"/>
    </sheetView>
  </sheetViews>
  <sheetFormatPr baseColWidth="10" defaultColWidth="11.42578125" defaultRowHeight="15" x14ac:dyDescent="0.25"/>
  <cols>
    <col min="1" max="1" width="37.42578125" bestFit="1" customWidth="1"/>
    <col min="2" max="2" width="22" bestFit="1" customWidth="1"/>
    <col min="3" max="3" width="23.42578125" bestFit="1" customWidth="1"/>
    <col min="4" max="7" width="23.42578125" customWidth="1"/>
    <col min="8" max="8" width="16.42578125" hidden="1" customWidth="1"/>
    <col min="9" max="9" width="15.28515625" hidden="1" customWidth="1"/>
    <col min="10" max="11" width="14.28515625" hidden="1" customWidth="1"/>
    <col min="12" max="12" width="7.28515625" customWidth="1"/>
    <col min="13" max="13" width="14.28515625" bestFit="1" customWidth="1"/>
    <col min="14" max="14" width="13.5703125" bestFit="1" customWidth="1"/>
    <col min="15" max="17" width="13.5703125" customWidth="1"/>
    <col min="18" max="18" width="36.28515625" bestFit="1" customWidth="1"/>
  </cols>
  <sheetData>
    <row r="1" spans="1:18" ht="21" x14ac:dyDescent="0.35">
      <c r="A1" s="503"/>
      <c r="B1" s="504" t="s">
        <v>49</v>
      </c>
      <c r="C1" s="504"/>
      <c r="D1" s="504"/>
      <c r="E1" s="504"/>
      <c r="F1" s="504"/>
      <c r="G1" s="504"/>
    </row>
    <row r="2" spans="1:18" ht="21" x14ac:dyDescent="0.35">
      <c r="A2" s="503"/>
      <c r="B2" s="185">
        <v>0</v>
      </c>
      <c r="C2" s="185">
        <v>1</v>
      </c>
      <c r="D2" s="185">
        <v>2</v>
      </c>
      <c r="E2" s="185">
        <v>3</v>
      </c>
      <c r="F2" s="185">
        <v>4</v>
      </c>
      <c r="G2" s="185">
        <v>5</v>
      </c>
    </row>
    <row r="3" spans="1:18" x14ac:dyDescent="0.25">
      <c r="A3" s="311" t="s">
        <v>83</v>
      </c>
      <c r="B3" s="196"/>
      <c r="C3" s="196"/>
      <c r="D3" s="196"/>
      <c r="E3" s="196"/>
      <c r="F3" s="196"/>
      <c r="G3" s="196"/>
    </row>
    <row r="4" spans="1:18" x14ac:dyDescent="0.25">
      <c r="A4" s="192" t="s">
        <v>84</v>
      </c>
      <c r="B4" s="411">
        <f>+'1 - INVERSIONES'!B34</f>
        <v>7417689</v>
      </c>
      <c r="C4" s="412">
        <f>+'3 - INGRESOS'!B4-M17-M20-M21-M22-M23-M24-M25-M26-M27</f>
        <v>180361963.6660499</v>
      </c>
      <c r="D4" s="413">
        <f>+'3 - INGRESOS'!C4-N27</f>
        <v>342043387.96050346</v>
      </c>
      <c r="E4" s="414">
        <f>+'3 - INGRESOS'!D4</f>
        <v>490566639.67214394</v>
      </c>
      <c r="F4" s="414">
        <f>+'3 - INGRESOS'!E4</f>
        <v>543940290.06847322</v>
      </c>
      <c r="G4" s="414">
        <f>+'3 - INGRESOS'!F4</f>
        <v>603120993.62792325</v>
      </c>
    </row>
    <row r="5" spans="1:18" x14ac:dyDescent="0.25">
      <c r="A5" s="192" t="s">
        <v>85</v>
      </c>
      <c r="B5" s="415">
        <f>+B16</f>
        <v>15000000</v>
      </c>
      <c r="C5" s="414">
        <v>0</v>
      </c>
      <c r="D5" s="413">
        <f>+C4-N17-N20-N21-N22-N24-N25</f>
        <v>56440517.940370694</v>
      </c>
      <c r="E5" s="414">
        <f>+D4+D5-O17-O20-O21-O22-O24-O25-O27</f>
        <v>155490599.74525613</v>
      </c>
      <c r="F5" s="414">
        <f>+E4+E5-P17-P20-P21-P22-P24-P25-P27</f>
        <v>391836994.96602356</v>
      </c>
      <c r="G5" s="414">
        <f>+F4+F5-Q17-Q20-Q21-Q22-Q24-Q27</f>
        <v>668520709.03353727</v>
      </c>
    </row>
    <row r="6" spans="1:18" s="329" customFormat="1" ht="16.5" customHeight="1" x14ac:dyDescent="0.25">
      <c r="A6" s="328" t="s">
        <v>86</v>
      </c>
      <c r="B6" s="416">
        <f>+'1 - INVERSIONES'!B35</f>
        <v>7000000</v>
      </c>
      <c r="C6" s="417">
        <f>+'2 - COSTOS &amp; GASTOS'!B4-'4 - ESTADO DE RESULTADOS  FINAL'!C5+B6</f>
        <v>7000000</v>
      </c>
      <c r="D6" s="418">
        <f>+'2 - COSTOS &amp; GASTOS'!C4-'4 - ESTADO DE RESULTADOS  FINAL'!D5+'BALANCE GENERAL PAPEL DE W'!C6</f>
        <v>7000000</v>
      </c>
      <c r="E6" s="419">
        <f>+'2 - COSTOS &amp; GASTOS'!D4-'4 - ESTADO DE RESULTADOS  FINAL'!E5+'BALANCE GENERAL PAPEL DE W'!D6</f>
        <v>7000000</v>
      </c>
      <c r="F6" s="419">
        <f>+'2 - COSTOS &amp; GASTOS'!E4-'4 - ESTADO DE RESULTADOS  FINAL'!F5+'BALANCE GENERAL PAPEL DE W'!E6</f>
        <v>7000000</v>
      </c>
      <c r="G6" s="419">
        <f>+'2 - COSTOS &amp; GASTOS'!F4-'4 - ESTADO DE RESULTADOS  FINAL'!G5+'BALANCE GENERAL PAPEL DE W'!F6</f>
        <v>7000000</v>
      </c>
      <c r="H6" s="329" t="s">
        <v>87</v>
      </c>
    </row>
    <row r="7" spans="1:18" ht="16.5" customHeight="1" x14ac:dyDescent="0.25">
      <c r="A7" s="192" t="s">
        <v>88</v>
      </c>
      <c r="B7" s="414">
        <f>+'1 - INVERSIONES'!B24</f>
        <v>20200000</v>
      </c>
      <c r="C7" s="412">
        <f>+'1 - INVERSIONES'!C24+B7-'Diferido '!B16-'Diferido '!C16</f>
        <v>0</v>
      </c>
      <c r="D7" s="420">
        <f>+'1 - INVERSIONES'!D24+C7-'Diferido '!D16</f>
        <v>0</v>
      </c>
      <c r="E7" s="414">
        <f>+'1 - INVERSIONES'!E24+D7-'Diferido '!E16</f>
        <v>0</v>
      </c>
      <c r="F7" s="414">
        <f>+'1 - INVERSIONES'!F24+E7-'Diferido '!F16</f>
        <v>0</v>
      </c>
      <c r="G7" s="414">
        <f>+'1 - INVERSIONES'!G24+F7-'Diferido '!G16</f>
        <v>0</v>
      </c>
      <c r="H7" s="178" t="s">
        <v>89</v>
      </c>
      <c r="L7" s="329"/>
    </row>
    <row r="8" spans="1:18" x14ac:dyDescent="0.25">
      <c r="A8" s="421" t="s">
        <v>90</v>
      </c>
      <c r="B8" s="186">
        <f>SUM(B4:B7)</f>
        <v>49617689</v>
      </c>
      <c r="C8" s="186">
        <f t="shared" ref="C8:F8" si="0">SUM(C4:C7)</f>
        <v>187361963.6660499</v>
      </c>
      <c r="D8" s="186">
        <f>SUM(D4:D7)</f>
        <v>405483905.90087414</v>
      </c>
      <c r="E8" s="186">
        <f t="shared" si="0"/>
        <v>653057239.41740012</v>
      </c>
      <c r="F8" s="186">
        <f t="shared" si="0"/>
        <v>942777285.03449678</v>
      </c>
      <c r="G8" s="186">
        <f>SUM(G4:G7)</f>
        <v>1278641702.6614604</v>
      </c>
    </row>
    <row r="9" spans="1:18" x14ac:dyDescent="0.25">
      <c r="A9" s="192"/>
      <c r="B9" s="186"/>
      <c r="C9" s="186"/>
      <c r="D9" s="186"/>
      <c r="E9" s="186"/>
      <c r="F9" s="186"/>
      <c r="G9" s="186"/>
    </row>
    <row r="10" spans="1:18" x14ac:dyDescent="0.25">
      <c r="A10" s="256" t="s">
        <v>91</v>
      </c>
      <c r="B10" s="412">
        <f>+DEPRECIACIONES!B3+DEPRECIACIONES!B5+DEPRECIACIONES!B10+DEPRECIACIONES!B11+DEPRECIACIONES!B12+DEPRECIACIONES!B13+DEPRECIACIONES!B14+DEPRECIACIONES!B16+DEPRECIACIONES!B17+DEPRECIACIONES!B18+DEPRECIACIONES!B20+DEPRECIACIONES!B24+DEPRECIACIONES!B25</f>
        <v>22616000</v>
      </c>
      <c r="C10" s="331">
        <f>+'1 - INVERSIONES'!B10+'1 - INVERSIONES'!C10</f>
        <v>28916000</v>
      </c>
      <c r="D10" s="413">
        <f>+'1 - INVERSIONES'!B10+'1 - INVERSIONES'!C10+'1 - INVERSIONES'!D10</f>
        <v>47716000</v>
      </c>
      <c r="E10" s="407">
        <f>+'1 - INVERSIONES'!B10+'1 - INVERSIONES'!C10+'1 - INVERSIONES'!D10+'1 - INVERSIONES'!E10</f>
        <v>66716000</v>
      </c>
      <c r="F10" s="407">
        <f>+'1 - INVERSIONES'!B10+'1 - INVERSIONES'!C10+'1 - INVERSIONES'!D10+'1 - INVERSIONES'!E10+'1 - INVERSIONES'!F10</f>
        <v>74716000</v>
      </c>
      <c r="G10" s="407">
        <f>+F10</f>
        <v>74716000</v>
      </c>
    </row>
    <row r="11" spans="1:18" x14ac:dyDescent="0.25">
      <c r="A11" s="188" t="s">
        <v>92</v>
      </c>
      <c r="B11" s="407"/>
      <c r="C11" s="415">
        <f>+DEPRECIACIONES!C28</f>
        <v>4014533.333333334</v>
      </c>
      <c r="D11" s="413">
        <f>+C11+DEPRECIACIONES!D28</f>
        <v>9643866.6666666679</v>
      </c>
      <c r="E11" s="414">
        <f>+D11+DEPRECIACIONES!E28</f>
        <v>16353200</v>
      </c>
      <c r="F11" s="414">
        <f>+E11+DEPRECIACIONES!F28</f>
        <v>24929200</v>
      </c>
      <c r="G11" s="414">
        <f>+F11+DEPRECIACIONES!G28</f>
        <v>35505200</v>
      </c>
      <c r="H11" s="212"/>
    </row>
    <row r="12" spans="1:18" x14ac:dyDescent="0.25">
      <c r="A12" s="197" t="s">
        <v>93</v>
      </c>
      <c r="B12" s="196">
        <f>+B10-B11</f>
        <v>22616000</v>
      </c>
      <c r="C12" s="196">
        <f t="shared" ref="C12:G12" si="1">+C10-C11</f>
        <v>24901466.666666664</v>
      </c>
      <c r="D12" s="196">
        <f>+D10-D11</f>
        <v>38072133.333333328</v>
      </c>
      <c r="E12" s="196">
        <f t="shared" si="1"/>
        <v>50362800</v>
      </c>
      <c r="F12" s="196">
        <f t="shared" si="1"/>
        <v>49786800</v>
      </c>
      <c r="G12" s="196">
        <f t="shared" si="1"/>
        <v>39210800</v>
      </c>
    </row>
    <row r="13" spans="1:18" ht="15.75" thickBot="1" x14ac:dyDescent="0.3">
      <c r="A13" s="198" t="s">
        <v>94</v>
      </c>
      <c r="B13" s="422">
        <f>+B8+B12</f>
        <v>72233689</v>
      </c>
      <c r="C13" s="422">
        <f t="shared" ref="C13:G13" si="2">+C8+C12</f>
        <v>212263430.33271655</v>
      </c>
      <c r="D13" s="422">
        <f>+D8+D12</f>
        <v>443556039.23420745</v>
      </c>
      <c r="E13" s="422">
        <f t="shared" si="2"/>
        <v>703420039.41740012</v>
      </c>
      <c r="F13" s="422">
        <f t="shared" si="2"/>
        <v>992564085.03449678</v>
      </c>
      <c r="G13" s="422">
        <f t="shared" si="2"/>
        <v>1317852502.6614604</v>
      </c>
    </row>
    <row r="14" spans="1:18" x14ac:dyDescent="0.25">
      <c r="A14" s="190"/>
      <c r="B14" s="191"/>
      <c r="C14" s="191"/>
      <c r="D14" s="191"/>
      <c r="E14" s="191"/>
      <c r="F14" s="191"/>
      <c r="G14" s="191"/>
      <c r="M14" s="505" t="s">
        <v>95</v>
      </c>
      <c r="N14" s="506"/>
      <c r="O14" s="506"/>
      <c r="P14" s="506"/>
      <c r="Q14" s="507"/>
      <c r="R14" s="45"/>
    </row>
    <row r="15" spans="1:18" ht="15" customHeight="1" x14ac:dyDescent="0.25">
      <c r="A15" s="311" t="s">
        <v>96</v>
      </c>
      <c r="B15" s="196"/>
      <c r="C15" s="196"/>
      <c r="D15" s="196"/>
      <c r="E15" s="196"/>
      <c r="F15" s="196"/>
      <c r="G15" s="196"/>
      <c r="M15" s="373" t="s">
        <v>97</v>
      </c>
      <c r="N15" s="190" t="s">
        <v>98</v>
      </c>
      <c r="O15" s="190" t="s">
        <v>99</v>
      </c>
      <c r="P15" s="190" t="s">
        <v>100</v>
      </c>
      <c r="Q15" s="374" t="s">
        <v>101</v>
      </c>
      <c r="R15" s="45"/>
    </row>
    <row r="16" spans="1:18" s="206" customFormat="1" ht="15" customHeight="1" x14ac:dyDescent="0.25">
      <c r="A16" s="423" t="s">
        <v>102</v>
      </c>
      <c r="B16" s="276">
        <f>+CREDITO!E3</f>
        <v>15000000</v>
      </c>
      <c r="C16" s="276">
        <f>+CREDITO!E15</f>
        <v>12000000</v>
      </c>
      <c r="D16" s="336">
        <f>+CREDITO!E27</f>
        <v>9000000</v>
      </c>
      <c r="E16" s="312">
        <f>+CREDITO!E39</f>
        <v>6000000</v>
      </c>
      <c r="F16" s="312">
        <f>+CREDITO!F51</f>
        <v>0</v>
      </c>
      <c r="G16" s="312">
        <f>+CREDITO!F63</f>
        <v>0</v>
      </c>
      <c r="H16" s="313">
        <f>+B16+CREDITO!C64</f>
        <v>24203876.799201857</v>
      </c>
      <c r="I16" s="313"/>
      <c r="J16" s="313"/>
      <c r="K16" s="313"/>
      <c r="L16" s="313"/>
      <c r="M16" s="375"/>
      <c r="N16" s="370"/>
      <c r="O16" s="370"/>
      <c r="P16" s="370"/>
      <c r="Q16" s="376"/>
      <c r="R16" s="369"/>
    </row>
    <row r="17" spans="1:18" s="327" customFormat="1" x14ac:dyDescent="0.25">
      <c r="A17" s="424" t="s">
        <v>103</v>
      </c>
      <c r="B17" s="325"/>
      <c r="C17" s="332"/>
      <c r="D17" s="332"/>
      <c r="E17" s="325"/>
      <c r="F17" s="325"/>
      <c r="G17" s="325"/>
      <c r="H17" s="326">
        <f>SUM(C17:G17)</f>
        <v>0</v>
      </c>
      <c r="M17" s="377">
        <v>29670760</v>
      </c>
      <c r="N17" s="371">
        <v>31688371.68</v>
      </c>
      <c r="O17" s="371">
        <v>33367855.379039995</v>
      </c>
      <c r="P17" s="371">
        <v>34735937.44958064</v>
      </c>
      <c r="Q17" s="378">
        <v>36160110.885013446</v>
      </c>
      <c r="R17" s="425" t="s">
        <v>103</v>
      </c>
    </row>
    <row r="18" spans="1:18" s="213" customFormat="1" x14ac:dyDescent="0.25">
      <c r="A18" s="426" t="s">
        <v>104</v>
      </c>
      <c r="B18" s="244"/>
      <c r="C18" s="332">
        <f>+NOMINA!T15</f>
        <v>7059730.06788</v>
      </c>
      <c r="D18" s="332">
        <f>+NOMINA!T28+C18</f>
        <v>14599521.780375838</v>
      </c>
      <c r="E18" s="244">
        <f>+NOMINA!T41+D18</f>
        <v>22538922.453633957</v>
      </c>
      <c r="F18" s="244">
        <f>+NOMINA!T54+E18</f>
        <v>30803838.554495659</v>
      </c>
      <c r="G18" s="244">
        <f>+NOMINA!T67+F18</f>
        <v>39407616.215492696</v>
      </c>
      <c r="H18" s="323">
        <f>SUM(C18:G18)</f>
        <v>114409629.07187815</v>
      </c>
      <c r="I18" s="213">
        <f>+'2 - COSTOS &amp; GASTOS'!G18</f>
        <v>39407616.215492696</v>
      </c>
      <c r="J18" s="323">
        <f>+H18-I18</f>
        <v>75002012.856385455</v>
      </c>
      <c r="M18" s="379"/>
      <c r="N18" s="268"/>
      <c r="O18" s="268"/>
      <c r="P18" s="268"/>
      <c r="Q18" s="380"/>
      <c r="R18" s="427"/>
    </row>
    <row r="19" spans="1:18" s="265" customFormat="1" x14ac:dyDescent="0.25">
      <c r="A19" s="428" t="s">
        <v>105</v>
      </c>
      <c r="B19" s="267"/>
      <c r="C19" s="267"/>
      <c r="D19" s="267"/>
      <c r="E19" s="267"/>
      <c r="F19" s="267"/>
      <c r="G19" s="267"/>
      <c r="H19" s="321">
        <f>SUM(C19:G19)</f>
        <v>0</v>
      </c>
      <c r="M19" s="381"/>
      <c r="N19" s="372"/>
      <c r="O19" s="372"/>
      <c r="P19" s="372"/>
      <c r="Q19" s="382"/>
      <c r="R19" s="429"/>
    </row>
    <row r="20" spans="1:18" s="265" customFormat="1" x14ac:dyDescent="0.25">
      <c r="A20" s="428" t="s">
        <v>106</v>
      </c>
      <c r="B20" s="267"/>
      <c r="C20" s="332"/>
      <c r="D20" s="332"/>
      <c r="E20" s="267"/>
      <c r="F20" s="267"/>
      <c r="G20" s="267"/>
      <c r="H20" s="321">
        <f>SUM(C20:G20)</f>
        <v>0</v>
      </c>
      <c r="I20" s="321">
        <f>+H19+H20</f>
        <v>0</v>
      </c>
      <c r="J20" s="322">
        <f>+NOMINA!E76</f>
        <v>57907966.26623518</v>
      </c>
      <c r="K20" s="322">
        <f>+I20-J20</f>
        <v>-57907966.26623518</v>
      </c>
      <c r="M20" s="381">
        <v>7820400</v>
      </c>
      <c r="N20" s="372">
        <v>8352187.1999999993</v>
      </c>
      <c r="O20" s="372">
        <v>8794853.1216000002</v>
      </c>
      <c r="P20" s="372">
        <v>9155442.0995856002</v>
      </c>
      <c r="Q20" s="382">
        <v>9530815.2256686091</v>
      </c>
      <c r="R20" s="429" t="s">
        <v>106</v>
      </c>
    </row>
    <row r="21" spans="1:18" s="206" customFormat="1" x14ac:dyDescent="0.25">
      <c r="A21" s="423" t="s">
        <v>107</v>
      </c>
      <c r="B21" s="312"/>
      <c r="C21" s="312"/>
      <c r="D21" s="332"/>
      <c r="E21" s="312"/>
      <c r="F21" s="312"/>
      <c r="G21" s="312"/>
      <c r="H21" s="210"/>
      <c r="M21" s="383">
        <v>45640000</v>
      </c>
      <c r="N21" s="314">
        <v>50515872</v>
      </c>
      <c r="O21" s="314">
        <v>55880891.193600006</v>
      </c>
      <c r="P21" s="314">
        <v>61792986.222823694</v>
      </c>
      <c r="Q21" s="384">
        <v>68325986.199503869</v>
      </c>
      <c r="R21" s="430" t="s">
        <v>107</v>
      </c>
    </row>
    <row r="22" spans="1:18" s="206" customFormat="1" x14ac:dyDescent="0.25">
      <c r="A22" s="423" t="s">
        <v>108</v>
      </c>
      <c r="B22" s="312">
        <f>+B7</f>
        <v>20200000</v>
      </c>
      <c r="C22" s="330"/>
      <c r="D22" s="332"/>
      <c r="E22" s="312"/>
      <c r="F22" s="312"/>
      <c r="G22" s="312"/>
      <c r="H22" s="210"/>
      <c r="M22" s="383">
        <v>25200000</v>
      </c>
      <c r="N22" s="314">
        <f>+'1 - INVERSIONES'!D24</f>
        <v>9000000</v>
      </c>
      <c r="O22" s="314">
        <f>+'1 - INVERSIONES'!E24</f>
        <v>9800000</v>
      </c>
      <c r="P22" s="314">
        <f>+'1 - INVERSIONES'!F24</f>
        <v>13000000</v>
      </c>
      <c r="Q22" s="384">
        <f>+'1 - INVERSIONES'!G24</f>
        <v>13000000</v>
      </c>
      <c r="R22" s="430" t="s">
        <v>108</v>
      </c>
    </row>
    <row r="23" spans="1:18" s="206" customFormat="1" x14ac:dyDescent="0.25">
      <c r="A23" s="423" t="s">
        <v>109</v>
      </c>
      <c r="B23" s="312">
        <f>+B6</f>
        <v>7000000</v>
      </c>
      <c r="C23" s="312"/>
      <c r="D23" s="312">
        <f t="shared" ref="D23:G23" si="3">+C23</f>
        <v>0</v>
      </c>
      <c r="E23" s="312">
        <f t="shared" si="3"/>
        <v>0</v>
      </c>
      <c r="F23" s="312">
        <f t="shared" si="3"/>
        <v>0</v>
      </c>
      <c r="G23" s="312">
        <f t="shared" si="3"/>
        <v>0</v>
      </c>
      <c r="H23" s="210"/>
      <c r="M23" s="383">
        <v>7000000</v>
      </c>
      <c r="N23" s="314">
        <v>0</v>
      </c>
      <c r="O23" s="314">
        <v>0</v>
      </c>
      <c r="P23" s="314">
        <v>0</v>
      </c>
      <c r="Q23" s="384">
        <v>0</v>
      </c>
      <c r="R23" s="430" t="s">
        <v>109</v>
      </c>
    </row>
    <row r="24" spans="1:18" s="206" customFormat="1" x14ac:dyDescent="0.25">
      <c r="A24" s="423" t="s">
        <v>110</v>
      </c>
      <c r="B24" s="276">
        <f>+B10-7616000-15000000</f>
        <v>0</v>
      </c>
      <c r="C24" s="276"/>
      <c r="D24" s="336"/>
      <c r="E24" s="312"/>
      <c r="F24" s="312"/>
      <c r="G24" s="312"/>
      <c r="H24" s="210"/>
      <c r="M24" s="383">
        <v>6289254.3315180419</v>
      </c>
      <c r="N24" s="314">
        <v>5565014.8456792068</v>
      </c>
      <c r="O24" s="314">
        <v>4840775.3598403716</v>
      </c>
      <c r="P24" s="314">
        <v>4116535.8740015374</v>
      </c>
      <c r="Q24" s="384">
        <v>3392296.3881627023</v>
      </c>
      <c r="R24" s="430" t="s">
        <v>110</v>
      </c>
    </row>
    <row r="25" spans="1:18" x14ac:dyDescent="0.25">
      <c r="A25" s="192" t="s">
        <v>111</v>
      </c>
      <c r="C25" s="276"/>
      <c r="D25" s="332"/>
      <c r="E25" s="191"/>
      <c r="F25" s="191"/>
      <c r="G25" s="191">
        <f t="shared" ref="G25" si="4">+G10-F10</f>
        <v>0</v>
      </c>
      <c r="H25" s="178"/>
      <c r="M25" s="385">
        <v>6300000</v>
      </c>
      <c r="N25" s="195">
        <v>18800000</v>
      </c>
      <c r="O25" s="195">
        <v>19000000</v>
      </c>
      <c r="P25" s="195">
        <v>8000000</v>
      </c>
      <c r="Q25" s="386">
        <v>0</v>
      </c>
      <c r="R25" s="431" t="s">
        <v>111</v>
      </c>
    </row>
    <row r="26" spans="1:18" x14ac:dyDescent="0.25">
      <c r="A26" s="192" t="s">
        <v>112</v>
      </c>
      <c r="B26" s="330">
        <f>+B10</f>
        <v>22616000</v>
      </c>
      <c r="C26" s="191"/>
      <c r="D26" s="191">
        <f>+C26</f>
        <v>0</v>
      </c>
      <c r="E26" s="191">
        <f t="shared" ref="E26:G26" si="5">+D26</f>
        <v>0</v>
      </c>
      <c r="F26" s="191">
        <f t="shared" si="5"/>
        <v>0</v>
      </c>
      <c r="G26" s="191">
        <f t="shared" si="5"/>
        <v>0</v>
      </c>
      <c r="H26" s="178"/>
      <c r="M26" s="385">
        <v>198311</v>
      </c>
      <c r="N26" s="195">
        <v>0</v>
      </c>
      <c r="O26" s="195">
        <v>0</v>
      </c>
      <c r="P26" s="195">
        <v>0</v>
      </c>
      <c r="Q26" s="386">
        <v>0</v>
      </c>
      <c r="R26" s="431" t="s">
        <v>112</v>
      </c>
    </row>
    <row r="27" spans="1:18" ht="15.75" thickBot="1" x14ac:dyDescent="0.3">
      <c r="A27" s="192" t="s">
        <v>113</v>
      </c>
      <c r="B27" s="330"/>
      <c r="C27" s="191"/>
      <c r="D27" s="191"/>
      <c r="E27" s="191"/>
      <c r="F27" s="191"/>
      <c r="G27" s="191"/>
      <c r="H27" s="178"/>
      <c r="M27" s="387">
        <f>+'2 - COSTOS &amp; GASTOS'!B4</f>
        <v>90536474.228031993</v>
      </c>
      <c r="N27" s="388">
        <f>+'2 - COSTOS &amp; GASTOS'!C4</f>
        <v>100386842.62404187</v>
      </c>
      <c r="O27" s="388">
        <f>+'2 - COSTOS &amp; GASTOS'!D4</f>
        <v>111308931.10153763</v>
      </c>
      <c r="P27" s="388">
        <f>+'2 - COSTOS &amp; GASTOS'!E4</f>
        <v>123419342.80538495</v>
      </c>
      <c r="Q27" s="389">
        <f>+'2 - COSTOS &amp; GASTOS'!F4</f>
        <v>136847367.30261087</v>
      </c>
      <c r="R27" s="431" t="s">
        <v>113</v>
      </c>
    </row>
    <row r="28" spans="1:18" s="206" customFormat="1" x14ac:dyDescent="0.25">
      <c r="A28" s="423" t="s">
        <v>114</v>
      </c>
      <c r="B28" s="312"/>
      <c r="C28" s="312">
        <f>+'4 - ESTADO DE RESULTADOS  FINAL'!C21</f>
        <v>55735803.379450962</v>
      </c>
      <c r="D28" s="332">
        <f>+'4 - ESTADO DE RESULTADOS  FINAL'!D21+C28</f>
        <v>123761648.53614949</v>
      </c>
      <c r="E28" s="312">
        <f>+'4 - ESTADO DE RESULTADOS  FINAL'!E21+D28</f>
        <v>200239028.38912982</v>
      </c>
      <c r="F28" s="312">
        <f>+'4 - ESTADO DE RESULTADOS  FINAL'!F21+E28</f>
        <v>285402767.24400032</v>
      </c>
      <c r="G28" s="312">
        <f>+'4 - ESTADO DE RESULTADOS  FINAL'!G21+F28</f>
        <v>381308159.23379034</v>
      </c>
      <c r="M28" s="334"/>
    </row>
    <row r="29" spans="1:18" x14ac:dyDescent="0.25">
      <c r="A29" s="197" t="s">
        <v>115</v>
      </c>
      <c r="B29" s="422">
        <f t="shared" ref="B29:G29" si="6">SUM(B16:B28)</f>
        <v>64816000</v>
      </c>
      <c r="C29" s="422">
        <f t="shared" si="6"/>
        <v>74795533.447330967</v>
      </c>
      <c r="D29" s="422">
        <f t="shared" si="6"/>
        <v>147361170.31652534</v>
      </c>
      <c r="E29" s="422">
        <f t="shared" si="6"/>
        <v>228777950.84276378</v>
      </c>
      <c r="F29" s="422">
        <f t="shared" si="6"/>
        <v>316206605.79849595</v>
      </c>
      <c r="G29" s="422">
        <f t="shared" si="6"/>
        <v>420715775.449283</v>
      </c>
      <c r="M29" s="335"/>
    </row>
    <row r="30" spans="1:18" x14ac:dyDescent="0.25">
      <c r="A30" s="192"/>
      <c r="B30" s="193"/>
      <c r="C30" s="191"/>
      <c r="D30" s="191"/>
      <c r="E30" s="191"/>
      <c r="F30" s="191"/>
      <c r="G30" s="191"/>
    </row>
    <row r="31" spans="1:18" x14ac:dyDescent="0.25">
      <c r="A31" s="311" t="s">
        <v>116</v>
      </c>
      <c r="B31" s="196"/>
      <c r="C31" s="196"/>
      <c r="D31" s="196"/>
      <c r="E31" s="196"/>
      <c r="F31" s="196"/>
      <c r="G31" s="196"/>
    </row>
    <row r="32" spans="1:18" s="329" customFormat="1" x14ac:dyDescent="0.25">
      <c r="A32" s="328" t="s">
        <v>117</v>
      </c>
      <c r="B32" s="355">
        <f>+B4</f>
        <v>7417689</v>
      </c>
      <c r="C32" s="355">
        <f>+B32</f>
        <v>7417689</v>
      </c>
      <c r="D32" s="355">
        <f t="shared" ref="D32:G32" si="7">+C32</f>
        <v>7417689</v>
      </c>
      <c r="E32" s="355">
        <f t="shared" si="7"/>
        <v>7417689</v>
      </c>
      <c r="F32" s="355">
        <f t="shared" si="7"/>
        <v>7417689</v>
      </c>
      <c r="G32" s="355">
        <f t="shared" si="7"/>
        <v>7417689</v>
      </c>
    </row>
    <row r="33" spans="1:7" x14ac:dyDescent="0.25">
      <c r="A33" s="187" t="s">
        <v>118</v>
      </c>
      <c r="B33" s="195">
        <f>+'4 - ESTADO DE RESULTADOS  FINAL'!B24</f>
        <v>0</v>
      </c>
      <c r="C33" s="195">
        <f>+'4 - ESTADO DE RESULTADOS  FINAL'!C24</f>
        <v>117045187.09684703</v>
      </c>
      <c r="D33" s="195">
        <f>+'4 - ESTADO DE RESULTADOS  FINAL'!D24</f>
        <v>142854274.8290669</v>
      </c>
      <c r="E33" s="195">
        <f>+'4 - ESTADO DE RESULTADOS  FINAL'!E24</f>
        <v>160602497.6912587</v>
      </c>
      <c r="F33" s="195">
        <f>+'4 - ESTADO DE RESULTADOS  FINAL'!F24</f>
        <v>178843851.59522811</v>
      </c>
      <c r="G33" s="195">
        <f>+'4 - ESTADO DE RESULTADOS  FINAL'!G24</f>
        <v>201401323.17855906</v>
      </c>
    </row>
    <row r="34" spans="1:7" x14ac:dyDescent="0.25">
      <c r="A34" s="187" t="s">
        <v>119</v>
      </c>
      <c r="B34" s="314"/>
      <c r="C34" s="314">
        <f>+'4 - ESTADO DE RESULTADOS  FINAL'!C23</f>
        <v>13005020.78853856</v>
      </c>
      <c r="D34" s="314">
        <f>+'4 - ESTADO DE RESULTADOS  FINAL'!C23+'4 - ESTADO DE RESULTADOS  FINAL'!D23</f>
        <v>28877717.991768219</v>
      </c>
      <c r="E34" s="314">
        <f>+'4 - ESTADO DE RESULTADOS  FINAL'!E23+D34</f>
        <v>46722439.95746363</v>
      </c>
      <c r="F34" s="314">
        <f>+'4 - ESTADO DE RESULTADOS  FINAL'!F23+E34</f>
        <v>66593979.023600087</v>
      </c>
      <c r="G34" s="314">
        <f>+'4 - ESTADO DE RESULTADOS  FINAL'!G23+F34</f>
        <v>88971903.82121776</v>
      </c>
    </row>
    <row r="35" spans="1:7" x14ac:dyDescent="0.25">
      <c r="A35" s="187" t="s">
        <v>120</v>
      </c>
      <c r="B35" s="195"/>
      <c r="C35" s="195">
        <f>+B33+B35</f>
        <v>0</v>
      </c>
      <c r="D35" s="337">
        <f>+C33+C35</f>
        <v>117045187.09684703</v>
      </c>
      <c r="E35" s="195">
        <f>+D33+D35</f>
        <v>259899461.92591393</v>
      </c>
      <c r="F35" s="195">
        <f>+E33+E35</f>
        <v>420501959.6171726</v>
      </c>
      <c r="G35" s="195">
        <f>+F33+F35</f>
        <v>599345811.21240067</v>
      </c>
    </row>
    <row r="36" spans="1:7" ht="21" customHeight="1" x14ac:dyDescent="0.25">
      <c r="A36" s="197" t="s">
        <v>121</v>
      </c>
      <c r="B36" s="199">
        <f>SUM(B32:B35)</f>
        <v>7417689</v>
      </c>
      <c r="C36" s="199">
        <f>SUM(C32:C35)</f>
        <v>137467896.88538557</v>
      </c>
      <c r="D36" s="199">
        <f>SUM(D32:D35)</f>
        <v>296194868.91768217</v>
      </c>
      <c r="E36" s="199">
        <f t="shared" ref="E36:G36" si="8">SUM(E32:E35)</f>
        <v>474642088.57463622</v>
      </c>
      <c r="F36" s="199">
        <f t="shared" si="8"/>
        <v>673357479.23600078</v>
      </c>
      <c r="G36" s="199">
        <f t="shared" si="8"/>
        <v>897136727.21217752</v>
      </c>
    </row>
    <row r="37" spans="1:7" ht="21" customHeight="1" x14ac:dyDescent="0.25">
      <c r="A37" s="197" t="s">
        <v>122</v>
      </c>
      <c r="B37" s="200">
        <f>+B29+B36</f>
        <v>72233689</v>
      </c>
      <c r="C37" s="200">
        <f t="shared" ref="C37:G37" si="9">+C29+C36</f>
        <v>212263430.33271652</v>
      </c>
      <c r="D37" s="200">
        <f t="shared" si="9"/>
        <v>443556039.23420751</v>
      </c>
      <c r="E37" s="200">
        <f t="shared" si="9"/>
        <v>703420039.4174</v>
      </c>
      <c r="F37" s="200">
        <f t="shared" si="9"/>
        <v>989564085.03449678</v>
      </c>
      <c r="G37" s="200">
        <f t="shared" si="9"/>
        <v>1317852502.6614604</v>
      </c>
    </row>
    <row r="38" spans="1:7" x14ac:dyDescent="0.25">
      <c r="B38" s="181">
        <f t="shared" ref="B38:G38" si="10">+B13-B37</f>
        <v>0</v>
      </c>
      <c r="C38" s="181">
        <f t="shared" si="10"/>
        <v>0</v>
      </c>
      <c r="D38" s="181">
        <f t="shared" si="10"/>
        <v>0</v>
      </c>
      <c r="E38" s="181">
        <f t="shared" si="10"/>
        <v>0</v>
      </c>
      <c r="F38" s="181">
        <f t="shared" si="10"/>
        <v>3000000</v>
      </c>
      <c r="G38" s="181">
        <f t="shared" si="10"/>
        <v>0</v>
      </c>
    </row>
    <row r="39" spans="1:7" x14ac:dyDescent="0.25">
      <c r="B39" s="179"/>
    </row>
  </sheetData>
  <mergeCells count="3">
    <mergeCell ref="A1:A2"/>
    <mergeCell ref="B1:G1"/>
    <mergeCell ref="M14:Q14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ABAF-0116-4977-9413-617AE53BD65E}">
  <sheetPr>
    <tabColor theme="7" tint="0.79998168889431442"/>
  </sheetPr>
  <dimension ref="A1:L984"/>
  <sheetViews>
    <sheetView topLeftCell="D1" zoomScale="88" zoomScaleNormal="88" workbookViewId="0">
      <selection activeCell="C15" sqref="C15"/>
    </sheetView>
  </sheetViews>
  <sheetFormatPr baseColWidth="10" defaultColWidth="14.42578125" defaultRowHeight="15" customHeight="1" x14ac:dyDescent="0.25"/>
  <cols>
    <col min="1" max="1" width="47.7109375" customWidth="1"/>
    <col min="2" max="2" width="24" customWidth="1"/>
    <col min="3" max="4" width="23.7109375" customWidth="1"/>
    <col min="5" max="5" width="25" customWidth="1"/>
    <col min="6" max="6" width="28" customWidth="1"/>
    <col min="7" max="7" width="29" customWidth="1"/>
    <col min="8" max="26" width="10.7109375" customWidth="1"/>
  </cols>
  <sheetData>
    <row r="1" spans="1:12" ht="32.25" customHeight="1" x14ac:dyDescent="0.25">
      <c r="A1" s="521" t="s">
        <v>147</v>
      </c>
      <c r="B1" s="522"/>
      <c r="C1" s="523"/>
      <c r="D1" s="45"/>
      <c r="E1" s="45"/>
      <c r="F1" s="45"/>
      <c r="G1" s="96"/>
      <c r="H1" s="45"/>
      <c r="I1" s="45"/>
      <c r="J1" s="45"/>
      <c r="K1" s="45"/>
      <c r="L1" s="45"/>
    </row>
    <row r="2" spans="1:12" x14ac:dyDescent="0.25">
      <c r="A2" s="524"/>
      <c r="B2" s="525"/>
      <c r="C2" s="526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25">
      <c r="A3" s="443" t="s">
        <v>148</v>
      </c>
      <c r="B3" s="110">
        <v>126591</v>
      </c>
      <c r="C3" s="111"/>
      <c r="D3" s="98"/>
      <c r="E3" s="435"/>
      <c r="F3" s="435"/>
      <c r="G3" s="45"/>
      <c r="H3" s="45"/>
      <c r="I3" s="45"/>
      <c r="J3" s="45"/>
      <c r="K3" s="45"/>
      <c r="L3" s="45"/>
    </row>
    <row r="4" spans="1:12" x14ac:dyDescent="0.25">
      <c r="A4" s="444" t="s">
        <v>149</v>
      </c>
      <c r="B4" s="105">
        <v>40000</v>
      </c>
      <c r="C4" s="107"/>
      <c r="D4" s="98"/>
      <c r="E4" s="98"/>
      <c r="F4" s="436"/>
      <c r="G4" s="45"/>
      <c r="H4" s="45"/>
      <c r="I4" s="45"/>
      <c r="J4" s="45"/>
      <c r="K4" s="45"/>
      <c r="L4" s="45"/>
    </row>
    <row r="5" spans="1:12" x14ac:dyDescent="0.25">
      <c r="A5" s="444" t="s">
        <v>150</v>
      </c>
      <c r="B5" s="105">
        <f>(B3*C5)+B4</f>
        <v>142538.71000000002</v>
      </c>
      <c r="C5" s="445">
        <v>0.81</v>
      </c>
      <c r="D5" s="98"/>
      <c r="E5" s="98"/>
      <c r="F5" s="436"/>
      <c r="G5" s="45"/>
      <c r="H5" s="45"/>
      <c r="I5" s="45"/>
      <c r="J5" s="45"/>
      <c r="K5" s="45"/>
      <c r="L5" s="45"/>
    </row>
    <row r="6" spans="1:12" x14ac:dyDescent="0.25">
      <c r="A6" s="444" t="s">
        <v>151</v>
      </c>
      <c r="B6" s="105">
        <f>B5*C6</f>
        <v>85523.22600000001</v>
      </c>
      <c r="C6" s="445">
        <v>0.6</v>
      </c>
      <c r="D6" s="98"/>
      <c r="E6" s="98"/>
      <c r="F6" s="436"/>
      <c r="G6" s="45"/>
      <c r="H6" s="45"/>
      <c r="I6" s="45"/>
      <c r="J6" s="45"/>
      <c r="K6" s="45"/>
      <c r="L6" s="45"/>
    </row>
    <row r="7" spans="1:12" x14ac:dyDescent="0.25">
      <c r="A7" s="444" t="s">
        <v>147</v>
      </c>
      <c r="B7" s="446">
        <f>B6*C7</f>
        <v>1539.4180679999999</v>
      </c>
      <c r="C7" s="447">
        <v>1.7999999999999999E-2</v>
      </c>
      <c r="D7" s="98"/>
      <c r="E7" s="98"/>
      <c r="F7" s="98"/>
      <c r="G7" s="45"/>
      <c r="H7" s="45"/>
      <c r="I7" s="45"/>
      <c r="J7" s="45"/>
      <c r="K7" s="45"/>
      <c r="L7" s="45"/>
    </row>
    <row r="8" spans="1:12" x14ac:dyDescent="0.25">
      <c r="A8" s="448" t="s">
        <v>152</v>
      </c>
      <c r="B8" s="449">
        <f>B7*C8</f>
        <v>9236.5084079999997</v>
      </c>
      <c r="C8" s="450">
        <v>6</v>
      </c>
      <c r="D8" s="435"/>
      <c r="E8" s="98"/>
      <c r="F8" s="98"/>
      <c r="G8" s="45"/>
      <c r="H8" s="45"/>
      <c r="I8" s="527"/>
      <c r="J8" s="528"/>
      <c r="K8" s="95"/>
      <c r="L8" s="45"/>
    </row>
    <row r="9" spans="1:12" x14ac:dyDescent="0.25">
      <c r="B9" s="436"/>
      <c r="C9" s="451"/>
      <c r="D9" s="98"/>
      <c r="E9" s="435"/>
      <c r="F9" s="435"/>
      <c r="G9" s="45"/>
      <c r="H9" s="45"/>
      <c r="I9" s="45"/>
      <c r="J9" s="45"/>
      <c r="K9" s="45"/>
      <c r="L9" s="45"/>
    </row>
    <row r="10" spans="1:12" x14ac:dyDescent="0.25">
      <c r="A10" s="449" t="s">
        <v>153</v>
      </c>
      <c r="B10" s="452">
        <f>B8*'3 - INGRESOS'!B3</f>
        <v>33251430.268799998</v>
      </c>
      <c r="C10" s="453"/>
      <c r="D10" s="98"/>
      <c r="E10" s="98"/>
      <c r="F10" s="436"/>
      <c r="G10" s="45"/>
      <c r="H10" s="45"/>
      <c r="I10" s="45"/>
      <c r="J10" s="45"/>
      <c r="K10" s="45"/>
      <c r="L10" s="45"/>
    </row>
    <row r="11" spans="1:12" x14ac:dyDescent="0.25">
      <c r="B11" s="436"/>
      <c r="C11" s="454"/>
      <c r="D11" s="98"/>
      <c r="E11" s="98"/>
      <c r="F11" s="98"/>
      <c r="G11" s="45"/>
      <c r="H11" s="45"/>
      <c r="I11" s="45"/>
      <c r="J11" s="45"/>
      <c r="K11" s="45"/>
      <c r="L11" s="45"/>
    </row>
    <row r="12" spans="1:12" x14ac:dyDescent="0.25">
      <c r="A12" s="529" t="s">
        <v>154</v>
      </c>
      <c r="B12" s="530"/>
      <c r="C12" s="531"/>
      <c r="D12" s="98"/>
      <c r="E12" s="98"/>
      <c r="F12" s="98"/>
      <c r="G12" s="45"/>
      <c r="H12" s="45"/>
      <c r="I12" s="45"/>
      <c r="J12" s="45"/>
      <c r="K12" s="45"/>
      <c r="L12" s="45"/>
    </row>
    <row r="13" spans="1:12" x14ac:dyDescent="0.25">
      <c r="A13" s="532"/>
      <c r="B13" s="533"/>
      <c r="C13" s="534"/>
      <c r="D13" s="98"/>
      <c r="E13" s="98"/>
      <c r="F13" s="98"/>
      <c r="G13" s="45"/>
      <c r="H13" s="45"/>
      <c r="I13" s="45"/>
      <c r="J13" s="45"/>
      <c r="K13" s="45"/>
      <c r="L13" s="45"/>
    </row>
    <row r="14" spans="1:12" x14ac:dyDescent="0.25">
      <c r="A14" s="450" t="s">
        <v>155</v>
      </c>
      <c r="B14" s="450" t="s">
        <v>156</v>
      </c>
      <c r="C14" s="450" t="s">
        <v>32</v>
      </c>
      <c r="D14" s="98"/>
      <c r="E14" s="98"/>
      <c r="F14" s="98"/>
      <c r="G14" s="45"/>
      <c r="H14" s="45"/>
      <c r="I14" s="45"/>
      <c r="J14" s="45"/>
      <c r="K14" s="45"/>
      <c r="L14" s="45"/>
    </row>
    <row r="15" spans="1:12" x14ac:dyDescent="0.25">
      <c r="A15" s="444" t="s">
        <v>157</v>
      </c>
      <c r="B15" s="455">
        <v>0.24</v>
      </c>
      <c r="C15" s="456">
        <f>'SEGMENTACION DE MERCADO   '!B8/25</f>
        <v>369.46033632000001</v>
      </c>
      <c r="D15" s="98"/>
      <c r="E15" s="98"/>
      <c r="F15" s="98"/>
      <c r="G15" s="45"/>
      <c r="H15" s="45"/>
      <c r="I15" s="45"/>
      <c r="J15" s="45"/>
      <c r="K15" s="45"/>
      <c r="L15" s="45"/>
    </row>
    <row r="16" spans="1:12" x14ac:dyDescent="0.25">
      <c r="A16" s="444" t="s">
        <v>158</v>
      </c>
      <c r="B16" s="455">
        <v>6</v>
      </c>
      <c r="C16" s="457">
        <f>B8</f>
        <v>9236.5084079999997</v>
      </c>
      <c r="D16" s="98"/>
      <c r="E16" s="98"/>
      <c r="F16" s="98"/>
      <c r="G16" s="45"/>
      <c r="H16" s="45"/>
      <c r="I16" s="45"/>
      <c r="J16" s="45"/>
      <c r="K16" s="45"/>
      <c r="L16" s="45"/>
    </row>
    <row r="17" spans="1:12" ht="15.75" customHeight="1" x14ac:dyDescent="0.25">
      <c r="A17" s="448" t="s">
        <v>49</v>
      </c>
      <c r="B17" s="458">
        <v>72</v>
      </c>
      <c r="C17" s="459">
        <f>'SEGMENTACION DE MERCADO   '!B8*12</f>
        <v>110838.10089599999</v>
      </c>
      <c r="D17" s="98"/>
      <c r="E17" s="98"/>
      <c r="F17" s="98"/>
      <c r="G17" s="45"/>
      <c r="H17" s="45"/>
      <c r="I17" s="45"/>
      <c r="J17" s="45"/>
      <c r="K17" s="45"/>
      <c r="L17" s="45"/>
    </row>
    <row r="18" spans="1:12" ht="15.7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15.75" customHeight="1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15.75" customHeight="1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15.75" customHeight="1" x14ac:dyDescent="0.25">
      <c r="A21" s="435"/>
      <c r="B21" s="99"/>
      <c r="C21" s="98"/>
      <c r="D21" s="98"/>
      <c r="E21" s="98"/>
      <c r="F21" s="98"/>
      <c r="G21" s="45"/>
      <c r="H21" s="45"/>
      <c r="I21" s="45"/>
      <c r="J21" s="45"/>
      <c r="K21" s="45"/>
      <c r="L21" s="45"/>
    </row>
    <row r="22" spans="1:12" ht="15.75" customHeight="1" x14ac:dyDescent="0.25">
      <c r="A22" s="435"/>
      <c r="B22" s="99"/>
      <c r="C22" s="98"/>
      <c r="D22" s="98"/>
      <c r="E22" s="98"/>
      <c r="F22" s="98"/>
      <c r="G22" s="45"/>
      <c r="H22" s="45"/>
      <c r="I22" s="45"/>
      <c r="J22" s="45"/>
      <c r="K22" s="45"/>
      <c r="L22" s="45"/>
    </row>
    <row r="23" spans="1:12" ht="15.75" customHeight="1" x14ac:dyDescent="0.25">
      <c r="A23" s="460"/>
      <c r="B23" s="108"/>
      <c r="C23" s="461"/>
      <c r="D23" s="109"/>
      <c r="E23" s="109"/>
      <c r="F23" s="109"/>
      <c r="G23" s="45"/>
      <c r="H23" s="45"/>
      <c r="I23" s="45"/>
      <c r="J23" s="45"/>
      <c r="K23" s="45"/>
      <c r="L23" s="45"/>
    </row>
    <row r="24" spans="1:12" ht="15.75" customHeight="1" x14ac:dyDescent="0.25">
      <c r="A24" s="435"/>
      <c r="B24" s="99"/>
      <c r="C24" s="438"/>
      <c r="D24" s="98"/>
      <c r="E24" s="98"/>
      <c r="F24" s="98"/>
      <c r="G24" s="45"/>
      <c r="H24" s="45"/>
      <c r="I24" s="45"/>
      <c r="J24" s="45"/>
      <c r="K24" s="45"/>
      <c r="L24" s="45"/>
    </row>
    <row r="25" spans="1:12" ht="15.75" customHeight="1" x14ac:dyDescent="0.25">
      <c r="A25" s="435"/>
      <c r="B25" s="439"/>
      <c r="C25" s="440"/>
      <c r="D25" s="98"/>
      <c r="E25" s="98"/>
      <c r="F25" s="45"/>
      <c r="G25" s="45"/>
      <c r="H25" s="45"/>
      <c r="I25" s="45"/>
      <c r="J25" s="45"/>
      <c r="K25" s="45"/>
      <c r="L25" s="45"/>
    </row>
    <row r="26" spans="1:12" ht="15.75" customHeight="1" x14ac:dyDescent="0.25">
      <c r="A26" s="45"/>
      <c r="B26" s="45"/>
      <c r="C26" s="45"/>
      <c r="D26" s="45"/>
      <c r="E26" s="98"/>
      <c r="F26" s="45"/>
      <c r="G26" s="45"/>
      <c r="H26" s="45"/>
      <c r="I26" s="45"/>
      <c r="J26" s="45"/>
      <c r="K26" s="45"/>
      <c r="L26" s="45"/>
    </row>
    <row r="27" spans="1:12" ht="15.75" customHeight="1" x14ac:dyDescent="0.25">
      <c r="A27" s="98"/>
      <c r="B27" s="439"/>
      <c r="C27" s="435"/>
      <c r="D27" s="435"/>
      <c r="E27" s="98"/>
      <c r="F27" s="45"/>
      <c r="G27" s="45"/>
      <c r="H27" s="45"/>
      <c r="I27" s="45"/>
      <c r="J27" s="45"/>
      <c r="K27" s="45"/>
      <c r="L27" s="45"/>
    </row>
    <row r="28" spans="1:12" ht="15.75" customHeight="1" x14ac:dyDescent="0.25">
      <c r="A28" s="435"/>
      <c r="B28" s="441"/>
      <c r="C28" s="435"/>
      <c r="D28" s="435"/>
      <c r="E28" s="98"/>
      <c r="F28" s="45"/>
      <c r="G28" s="45"/>
      <c r="H28" s="45"/>
      <c r="I28" s="45"/>
      <c r="J28" s="45"/>
      <c r="K28" s="45"/>
      <c r="L28" s="45"/>
    </row>
    <row r="29" spans="1:12" ht="15.75" customHeight="1" x14ac:dyDescent="0.25">
      <c r="A29" s="98"/>
      <c r="B29" s="441"/>
      <c r="C29" s="98"/>
      <c r="D29" s="435"/>
      <c r="E29" s="98"/>
      <c r="F29" s="45"/>
      <c r="G29" s="45"/>
      <c r="H29" s="45"/>
      <c r="I29" s="45"/>
      <c r="J29" s="45"/>
      <c r="K29" s="45"/>
      <c r="L29" s="45"/>
    </row>
    <row r="30" spans="1:12" ht="15.75" customHeight="1" x14ac:dyDescent="0.25">
      <c r="A30" s="98"/>
      <c r="B30" s="442"/>
      <c r="C30" s="98"/>
      <c r="D30" s="98"/>
      <c r="E30" s="45"/>
      <c r="F30" s="45"/>
      <c r="G30" s="45"/>
      <c r="H30" s="45"/>
      <c r="I30" s="45"/>
      <c r="J30" s="45"/>
      <c r="K30" s="45"/>
      <c r="L30" s="45"/>
    </row>
    <row r="31" spans="1:12" ht="15.75" customHeight="1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 ht="15.75" customHeight="1" x14ac:dyDescent="0.25">
      <c r="A32" s="435"/>
      <c r="B32" s="43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1:12" ht="15.75" customHeight="1" x14ac:dyDescent="0.25">
      <c r="A33" s="435"/>
      <c r="B33" s="435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5.75" customHeight="1" x14ac:dyDescent="0.25">
      <c r="A34" s="441"/>
      <c r="B34" s="43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 ht="15.75" customHeight="1" x14ac:dyDescent="0.25">
      <c r="A35" s="441"/>
      <c r="B35" s="43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1:12" ht="15.75" customHeight="1" x14ac:dyDescent="0.25">
      <c r="A36" s="435"/>
      <c r="B36" s="435"/>
      <c r="C36" s="45"/>
      <c r="D36" s="45"/>
      <c r="E36" s="45"/>
      <c r="F36" s="45"/>
      <c r="G36" s="45"/>
      <c r="H36" s="45"/>
      <c r="I36" s="45"/>
      <c r="J36" s="45"/>
      <c r="K36" s="45"/>
    </row>
    <row r="37" spans="1:12" ht="15.75" customHeight="1" x14ac:dyDescent="0.25">
      <c r="A37" s="45"/>
      <c r="B37" s="45"/>
      <c r="C37" s="45"/>
      <c r="D37" s="45"/>
      <c r="E37" s="45"/>
      <c r="F37" s="45"/>
      <c r="G37" s="45"/>
    </row>
    <row r="38" spans="1:12" ht="15.75" customHeight="1" x14ac:dyDescent="0.25">
      <c r="A38" s="45"/>
      <c r="B38" s="45"/>
      <c r="C38" s="45"/>
      <c r="D38" s="45"/>
      <c r="E38" s="45"/>
      <c r="F38" s="45"/>
      <c r="G38" s="45"/>
    </row>
    <row r="39" spans="1:12" ht="15.75" customHeight="1" x14ac:dyDescent="0.25">
      <c r="A39" s="45"/>
      <c r="B39" s="45"/>
      <c r="C39" s="45"/>
      <c r="D39" s="45"/>
      <c r="E39" s="45"/>
      <c r="F39" s="45"/>
      <c r="G39" s="45"/>
    </row>
    <row r="40" spans="1:12" ht="15.75" customHeight="1" x14ac:dyDescent="0.25">
      <c r="A40" s="45"/>
      <c r="B40" s="45"/>
      <c r="C40" s="45"/>
      <c r="D40" s="45"/>
      <c r="E40" s="45"/>
      <c r="F40" s="45"/>
    </row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spans="7:7" ht="15.75" customHeight="1" x14ac:dyDescent="0.25"/>
    <row r="50" spans="7:7" ht="15.75" customHeight="1" x14ac:dyDescent="0.25"/>
    <row r="51" spans="7:7" ht="15.75" customHeight="1" x14ac:dyDescent="0.25"/>
    <row r="52" spans="7:7" ht="15.75" customHeight="1" x14ac:dyDescent="0.25"/>
    <row r="53" spans="7:7" ht="15.75" customHeight="1" x14ac:dyDescent="0.25"/>
    <row r="54" spans="7:7" ht="15.75" customHeight="1" x14ac:dyDescent="0.25"/>
    <row r="55" spans="7:7" ht="15.75" customHeight="1" x14ac:dyDescent="0.25"/>
    <row r="56" spans="7:7" ht="15.75" customHeight="1" x14ac:dyDescent="0.25">
      <c r="G56" s="40"/>
    </row>
    <row r="57" spans="7:7" ht="15.75" customHeight="1" x14ac:dyDescent="0.25">
      <c r="G57" s="39"/>
    </row>
    <row r="58" spans="7:7" ht="15.75" customHeight="1" x14ac:dyDescent="0.25">
      <c r="G58" s="39"/>
    </row>
    <row r="59" spans="7:7" ht="15.75" customHeight="1" x14ac:dyDescent="0.25">
      <c r="G59" s="39"/>
    </row>
    <row r="60" spans="7:7" ht="15.75" customHeight="1" x14ac:dyDescent="0.25"/>
    <row r="61" spans="7:7" ht="15.75" customHeight="1" x14ac:dyDescent="0.25"/>
    <row r="62" spans="7:7" ht="15.75" customHeight="1" x14ac:dyDescent="0.25"/>
    <row r="63" spans="7:7" ht="15.75" customHeight="1" x14ac:dyDescent="0.25"/>
    <row r="64" spans="7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mergeCells count="3">
    <mergeCell ref="A1:C2"/>
    <mergeCell ref="I8:J8"/>
    <mergeCell ref="A12:C13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Z1000"/>
  <sheetViews>
    <sheetView topLeftCell="A22" zoomScaleNormal="100" workbookViewId="0">
      <selection activeCell="D27" sqref="A27:D27"/>
    </sheetView>
  </sheetViews>
  <sheetFormatPr baseColWidth="10" defaultColWidth="14.42578125" defaultRowHeight="15" customHeight="1" x14ac:dyDescent="0.25"/>
  <cols>
    <col min="1" max="1" width="47.7109375" customWidth="1"/>
    <col min="2" max="2" width="25.28515625" customWidth="1"/>
    <col min="3" max="5" width="24.28515625" customWidth="1"/>
    <col min="6" max="6" width="25.28515625" customWidth="1"/>
    <col min="7" max="7" width="25.42578125" customWidth="1"/>
    <col min="8" max="26" width="10.7109375" customWidth="1"/>
  </cols>
  <sheetData>
    <row r="1" spans="1:7" x14ac:dyDescent="0.25">
      <c r="A1" s="554" t="s">
        <v>123</v>
      </c>
      <c r="B1" s="555" t="s">
        <v>49</v>
      </c>
      <c r="C1" s="552"/>
      <c r="D1" s="552"/>
      <c r="E1" s="552"/>
      <c r="F1" s="552"/>
      <c r="G1" s="553"/>
    </row>
    <row r="2" spans="1:7" x14ac:dyDescent="0.25">
      <c r="A2" s="550"/>
      <c r="B2" s="175">
        <v>0</v>
      </c>
      <c r="C2" s="175">
        <v>1</v>
      </c>
      <c r="D2" s="175">
        <v>2</v>
      </c>
      <c r="E2" s="175">
        <v>3</v>
      </c>
      <c r="F2" s="175">
        <v>4</v>
      </c>
      <c r="G2" s="175">
        <v>5</v>
      </c>
    </row>
    <row r="3" spans="1:7" x14ac:dyDescent="0.25">
      <c r="B3" s="2"/>
      <c r="C3" s="2"/>
      <c r="D3" s="2"/>
      <c r="E3" s="2"/>
      <c r="F3" s="2"/>
      <c r="G3" s="2"/>
    </row>
    <row r="4" spans="1:7" x14ac:dyDescent="0.25">
      <c r="A4" s="3" t="s">
        <v>226</v>
      </c>
      <c r="B4" s="4">
        <f>SUM(B6+B10)</f>
        <v>22616000</v>
      </c>
      <c r="C4" s="4">
        <f t="shared" ref="C4:G4" si="0">SUM(C6+C10)</f>
        <v>6300000</v>
      </c>
      <c r="D4" s="4">
        <f t="shared" si="0"/>
        <v>18800000</v>
      </c>
      <c r="E4" s="4">
        <f t="shared" si="0"/>
        <v>19000000</v>
      </c>
      <c r="F4" s="4">
        <f t="shared" si="0"/>
        <v>8000000</v>
      </c>
      <c r="G4" s="4">
        <f t="shared" si="0"/>
        <v>0</v>
      </c>
    </row>
    <row r="5" spans="1:7" x14ac:dyDescent="0.25"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7" x14ac:dyDescent="0.25">
      <c r="A6" s="5" t="s">
        <v>227</v>
      </c>
      <c r="B6" s="6">
        <f t="shared" ref="B6:G6" si="1">B8</f>
        <v>0</v>
      </c>
      <c r="C6" s="6">
        <v>0</v>
      </c>
      <c r="D6" s="6">
        <v>0</v>
      </c>
      <c r="E6" s="6">
        <v>0</v>
      </c>
      <c r="F6" s="6">
        <v>0</v>
      </c>
      <c r="G6" s="6">
        <f t="shared" si="1"/>
        <v>0</v>
      </c>
    </row>
    <row r="7" spans="1:7" x14ac:dyDescent="0.25">
      <c r="A7" s="7"/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>
      <c r="A8" s="7" t="s">
        <v>228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 x14ac:dyDescent="0.25">
      <c r="A9" s="7"/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s="206" customFormat="1" x14ac:dyDescent="0.25">
      <c r="A10" s="205" t="s">
        <v>229</v>
      </c>
      <c r="B10" s="204">
        <f>SUM(B11:B23)</f>
        <v>22616000</v>
      </c>
      <c r="C10" s="204">
        <f t="shared" ref="C10:G10" si="2">SUM(C11:C23)</f>
        <v>6300000</v>
      </c>
      <c r="D10" s="204">
        <f t="shared" si="2"/>
        <v>18800000</v>
      </c>
      <c r="E10" s="204">
        <f t="shared" si="2"/>
        <v>19000000</v>
      </c>
      <c r="F10" s="204">
        <f t="shared" si="2"/>
        <v>8000000</v>
      </c>
      <c r="G10" s="204">
        <f t="shared" si="2"/>
        <v>0</v>
      </c>
    </row>
    <row r="11" spans="1:7" s="206" customFormat="1" x14ac:dyDescent="0.25">
      <c r="A11" s="207" t="s">
        <v>230</v>
      </c>
      <c r="B11" s="214">
        <v>1260000</v>
      </c>
      <c r="C11" s="203">
        <v>1800000</v>
      </c>
      <c r="D11" s="203">
        <v>0</v>
      </c>
      <c r="E11" s="203">
        <v>0</v>
      </c>
      <c r="F11" s="203">
        <v>0</v>
      </c>
      <c r="G11" s="203">
        <v>0</v>
      </c>
    </row>
    <row r="12" spans="1:7" s="206" customFormat="1" x14ac:dyDescent="0.25">
      <c r="A12" s="207" t="s">
        <v>231</v>
      </c>
      <c r="B12" s="214">
        <v>3600000</v>
      </c>
      <c r="C12" s="203">
        <v>2000000</v>
      </c>
      <c r="D12" s="203">
        <v>2800000</v>
      </c>
      <c r="E12" s="203">
        <v>18000000</v>
      </c>
      <c r="F12" s="203">
        <v>0</v>
      </c>
      <c r="G12" s="203">
        <v>0</v>
      </c>
    </row>
    <row r="13" spans="1:7" s="206" customFormat="1" x14ac:dyDescent="0.25">
      <c r="A13" s="207" t="s">
        <v>194</v>
      </c>
      <c r="B13" s="487">
        <v>460000</v>
      </c>
      <c r="C13" s="203"/>
      <c r="D13" s="203"/>
      <c r="E13" s="203"/>
      <c r="F13" s="203"/>
      <c r="G13" s="203"/>
    </row>
    <row r="14" spans="1:7" s="206" customFormat="1" x14ac:dyDescent="0.25">
      <c r="A14" s="207" t="s">
        <v>195</v>
      </c>
      <c r="B14" s="487">
        <v>110000</v>
      </c>
      <c r="C14" s="203"/>
      <c r="D14" s="203"/>
      <c r="E14" s="203"/>
      <c r="F14" s="203"/>
      <c r="G14" s="203"/>
    </row>
    <row r="15" spans="1:7" s="206" customFormat="1" x14ac:dyDescent="0.25">
      <c r="A15" s="207" t="s">
        <v>193</v>
      </c>
      <c r="B15" s="203">
        <v>0</v>
      </c>
      <c r="C15" s="203">
        <v>0</v>
      </c>
      <c r="D15" s="203">
        <v>13000000</v>
      </c>
      <c r="E15" s="203">
        <v>0</v>
      </c>
      <c r="F15" s="203">
        <v>0</v>
      </c>
      <c r="G15" s="203">
        <v>0</v>
      </c>
    </row>
    <row r="16" spans="1:7" s="206" customFormat="1" x14ac:dyDescent="0.25">
      <c r="A16" s="207" t="s">
        <v>196</v>
      </c>
      <c r="B16" s="214">
        <v>600000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</row>
    <row r="17" spans="1:7" s="206" customFormat="1" x14ac:dyDescent="0.25">
      <c r="A17" s="207" t="s">
        <v>197</v>
      </c>
      <c r="B17" s="214">
        <v>600000</v>
      </c>
      <c r="C17" s="203">
        <v>0</v>
      </c>
      <c r="D17" s="203">
        <v>0</v>
      </c>
      <c r="E17" s="203">
        <v>0</v>
      </c>
      <c r="F17" s="203">
        <v>0</v>
      </c>
      <c r="G17" s="203">
        <v>0</v>
      </c>
    </row>
    <row r="18" spans="1:7" s="206" customFormat="1" x14ac:dyDescent="0.25">
      <c r="A18" s="207" t="s">
        <v>232</v>
      </c>
      <c r="B18" s="214">
        <v>1600000</v>
      </c>
      <c r="C18" s="203">
        <v>0</v>
      </c>
      <c r="D18" s="203">
        <v>0</v>
      </c>
      <c r="E18" s="203">
        <v>0</v>
      </c>
      <c r="F18" s="203">
        <v>4000000</v>
      </c>
      <c r="G18" s="203">
        <v>0</v>
      </c>
    </row>
    <row r="19" spans="1:7" s="206" customFormat="1" x14ac:dyDescent="0.25">
      <c r="A19" s="207" t="s">
        <v>233</v>
      </c>
      <c r="B19" s="214">
        <v>3200000</v>
      </c>
      <c r="C19" s="203">
        <v>0</v>
      </c>
      <c r="D19" s="203">
        <v>0</v>
      </c>
      <c r="E19" s="203">
        <v>0</v>
      </c>
      <c r="F19" s="203">
        <v>0</v>
      </c>
      <c r="G19" s="203">
        <v>0</v>
      </c>
    </row>
    <row r="20" spans="1:7" s="206" customFormat="1" x14ac:dyDescent="0.25">
      <c r="A20" s="207" t="s">
        <v>234</v>
      </c>
      <c r="B20" s="214">
        <v>1000000</v>
      </c>
      <c r="C20" s="203">
        <v>0</v>
      </c>
      <c r="D20" s="203">
        <v>0</v>
      </c>
      <c r="E20" s="203">
        <v>0</v>
      </c>
      <c r="F20" s="203">
        <v>2000000</v>
      </c>
      <c r="G20" s="203">
        <v>0</v>
      </c>
    </row>
    <row r="21" spans="1:7" s="206" customFormat="1" x14ac:dyDescent="0.25">
      <c r="A21" s="207" t="s">
        <v>235</v>
      </c>
      <c r="B21" s="214">
        <v>2826000</v>
      </c>
      <c r="C21" s="203">
        <v>1500000</v>
      </c>
      <c r="D21" s="203">
        <v>3000000</v>
      </c>
      <c r="E21" s="203">
        <v>1000000</v>
      </c>
      <c r="F21" s="203">
        <v>0</v>
      </c>
      <c r="G21" s="203">
        <v>0</v>
      </c>
    </row>
    <row r="22" spans="1:7" s="206" customFormat="1" x14ac:dyDescent="0.25">
      <c r="A22" s="208" t="s">
        <v>208</v>
      </c>
      <c r="B22" s="214">
        <v>3360000</v>
      </c>
      <c r="C22" s="203">
        <v>0</v>
      </c>
      <c r="D22" s="203">
        <v>0</v>
      </c>
      <c r="E22" s="203">
        <v>0</v>
      </c>
      <c r="F22" s="203">
        <v>0</v>
      </c>
      <c r="G22" s="203">
        <v>0</v>
      </c>
    </row>
    <row r="23" spans="1:7" s="206" customFormat="1" x14ac:dyDescent="0.25">
      <c r="A23" s="211" t="s">
        <v>236</v>
      </c>
      <c r="B23" s="243">
        <v>4000000</v>
      </c>
      <c r="C23" s="209">
        <v>1000000</v>
      </c>
      <c r="D23" s="203">
        <v>0</v>
      </c>
      <c r="E23" s="203">
        <v>0</v>
      </c>
      <c r="F23" s="203">
        <v>2000000</v>
      </c>
      <c r="G23" s="203">
        <v>0</v>
      </c>
    </row>
    <row r="24" spans="1:7" x14ac:dyDescent="0.25">
      <c r="A24" s="3" t="s">
        <v>58</v>
      </c>
      <c r="B24" s="4">
        <f>SUM(B26:B32)</f>
        <v>20200000</v>
      </c>
      <c r="C24" s="4">
        <f>SUM(C25:C32)</f>
        <v>5000000</v>
      </c>
      <c r="D24" s="4">
        <f>SUM(D25:D32)</f>
        <v>9000000</v>
      </c>
      <c r="E24" s="4">
        <f>SUM(E25:E32)</f>
        <v>9800000</v>
      </c>
      <c r="F24" s="4">
        <f>SUM(F25:F32)</f>
        <v>13000000</v>
      </c>
      <c r="G24" s="4">
        <f>SUM(G25:G32)</f>
        <v>13000000</v>
      </c>
    </row>
    <row r="25" spans="1:7" s="265" customFormat="1" ht="15.75" customHeight="1" x14ac:dyDescent="0.25">
      <c r="A25" s="263" t="s">
        <v>50</v>
      </c>
      <c r="B25" s="264">
        <v>600000</v>
      </c>
      <c r="C25" s="264">
        <v>1000000</v>
      </c>
      <c r="D25" s="264">
        <v>1000000</v>
      </c>
      <c r="E25" s="264">
        <v>1800000</v>
      </c>
      <c r="F25" s="264">
        <v>2000000</v>
      </c>
      <c r="G25" s="264">
        <v>2000000</v>
      </c>
    </row>
    <row r="26" spans="1:7" s="265" customFormat="1" ht="15.75" customHeight="1" x14ac:dyDescent="0.25">
      <c r="A26" s="263" t="s">
        <v>51</v>
      </c>
      <c r="B26" s="264">
        <v>2000000</v>
      </c>
      <c r="C26" s="264">
        <v>0</v>
      </c>
      <c r="D26" s="264">
        <v>0</v>
      </c>
      <c r="E26" s="264">
        <v>0</v>
      </c>
      <c r="F26" s="264">
        <v>0</v>
      </c>
      <c r="G26" s="264">
        <v>0</v>
      </c>
    </row>
    <row r="27" spans="1:7" s="265" customFormat="1" ht="15.75" customHeight="1" x14ac:dyDescent="0.25">
      <c r="A27" s="263" t="s">
        <v>52</v>
      </c>
      <c r="B27" s="264">
        <v>16000000</v>
      </c>
      <c r="C27" s="264">
        <v>0</v>
      </c>
      <c r="D27" s="264">
        <v>0</v>
      </c>
      <c r="E27" s="264">
        <v>0</v>
      </c>
      <c r="F27" s="264">
        <v>0</v>
      </c>
      <c r="G27" s="264">
        <v>0</v>
      </c>
    </row>
    <row r="28" spans="1:7" s="265" customFormat="1" ht="15.75" customHeight="1" x14ac:dyDescent="0.25">
      <c r="A28" s="263" t="s">
        <v>53</v>
      </c>
      <c r="B28" s="264">
        <v>1200000</v>
      </c>
      <c r="C28" s="264">
        <v>0</v>
      </c>
      <c r="D28" s="264">
        <v>0</v>
      </c>
      <c r="E28" s="264">
        <v>0</v>
      </c>
      <c r="F28" s="264">
        <v>0</v>
      </c>
      <c r="G28" s="264">
        <v>0</v>
      </c>
    </row>
    <row r="29" spans="1:7" s="265" customFormat="1" ht="15.75" customHeight="1" x14ac:dyDescent="0.25">
      <c r="A29" s="263" t="s">
        <v>54</v>
      </c>
      <c r="B29" s="264">
        <v>0</v>
      </c>
      <c r="C29" s="264">
        <v>2000000</v>
      </c>
      <c r="D29" s="264">
        <v>2000000</v>
      </c>
      <c r="E29" s="264">
        <v>4000000</v>
      </c>
      <c r="F29" s="264">
        <v>4000000</v>
      </c>
      <c r="G29" s="264">
        <v>2000000</v>
      </c>
    </row>
    <row r="30" spans="1:7" s="265" customFormat="1" ht="15.75" customHeight="1" x14ac:dyDescent="0.25">
      <c r="A30" s="263" t="s">
        <v>55</v>
      </c>
      <c r="B30" s="264">
        <v>0</v>
      </c>
      <c r="C30" s="264">
        <v>0</v>
      </c>
      <c r="D30" s="264">
        <v>4000000</v>
      </c>
      <c r="E30" s="264">
        <v>0</v>
      </c>
      <c r="F30" s="264">
        <v>5000000</v>
      </c>
      <c r="G30" s="264">
        <v>4000000</v>
      </c>
    </row>
    <row r="31" spans="1:7" s="265" customFormat="1" ht="15.75" customHeight="1" x14ac:dyDescent="0.25">
      <c r="A31" s="263" t="s">
        <v>56</v>
      </c>
      <c r="B31" s="264">
        <v>0</v>
      </c>
      <c r="C31" s="264">
        <v>0</v>
      </c>
      <c r="D31" s="264">
        <v>0</v>
      </c>
      <c r="E31" s="264">
        <v>2000000</v>
      </c>
      <c r="F31" s="264"/>
      <c r="G31" s="264">
        <v>3000000</v>
      </c>
    </row>
    <row r="32" spans="1:7" s="265" customFormat="1" ht="15.75" customHeight="1" x14ac:dyDescent="0.25">
      <c r="A32" s="263" t="s">
        <v>57</v>
      </c>
      <c r="B32" s="264">
        <v>1000000</v>
      </c>
      <c r="C32" s="264">
        <v>2000000</v>
      </c>
      <c r="D32" s="264">
        <v>2000000</v>
      </c>
      <c r="E32" s="264">
        <v>2000000</v>
      </c>
      <c r="F32" s="264">
        <v>2000000</v>
      </c>
      <c r="G32" s="264">
        <v>2000000</v>
      </c>
    </row>
    <row r="33" spans="1:26" ht="15.75" customHeight="1" x14ac:dyDescent="0.25">
      <c r="A33" s="3" t="s">
        <v>237</v>
      </c>
      <c r="B33" s="4">
        <f>SUM(B34:B38)</f>
        <v>14417689</v>
      </c>
      <c r="C33" s="4">
        <f t="shared" ref="C33:G33" si="3">SUM(C34:C38)</f>
        <v>0</v>
      </c>
      <c r="D33" s="4">
        <f t="shared" si="3"/>
        <v>0</v>
      </c>
      <c r="E33" s="4">
        <f t="shared" si="3"/>
        <v>0</v>
      </c>
      <c r="F33" s="4">
        <f t="shared" si="3"/>
        <v>0</v>
      </c>
      <c r="G33" s="4">
        <f t="shared" si="3"/>
        <v>0</v>
      </c>
    </row>
    <row r="34" spans="1:26" ht="15.75" customHeight="1" x14ac:dyDescent="0.25">
      <c r="A34" s="7" t="s">
        <v>238</v>
      </c>
      <c r="B34" s="203">
        <f>2472563*3</f>
        <v>7417689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26" ht="15.75" customHeight="1" x14ac:dyDescent="0.25">
      <c r="A35" s="7" t="s">
        <v>239</v>
      </c>
      <c r="B35" s="203">
        <v>7000000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26" ht="15.75" customHeight="1" x14ac:dyDescent="0.25">
      <c r="A36" s="7" t="s">
        <v>240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26" ht="15.75" customHeight="1" x14ac:dyDescent="0.25">
      <c r="A37" s="7" t="s">
        <v>241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26" ht="15.75" customHeight="1" x14ac:dyDescent="0.25">
      <c r="A38" s="7" t="s">
        <v>132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26" ht="15.75" customHeight="1" x14ac:dyDescent="0.35">
      <c r="A39" s="176" t="s">
        <v>242</v>
      </c>
      <c r="B39" s="177">
        <f t="shared" ref="B39:G39" si="4">SUM(B33+B24+B4)</f>
        <v>57233689</v>
      </c>
      <c r="C39" s="177">
        <f t="shared" si="4"/>
        <v>11300000</v>
      </c>
      <c r="D39" s="177">
        <f t="shared" si="4"/>
        <v>27800000</v>
      </c>
      <c r="E39" s="177">
        <f t="shared" si="4"/>
        <v>28800000</v>
      </c>
      <c r="F39" s="177">
        <f t="shared" si="4"/>
        <v>21000000</v>
      </c>
      <c r="G39" s="177">
        <f t="shared" si="4"/>
        <v>13000000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5">
      <c r="B40" s="2"/>
      <c r="C40" s="2"/>
      <c r="D40" s="2"/>
      <c r="E40" s="2"/>
      <c r="F40" s="2"/>
      <c r="G40" s="2"/>
    </row>
    <row r="41" spans="1:26" ht="15.75" customHeight="1" x14ac:dyDescent="0.35">
      <c r="B41" s="41"/>
      <c r="C41" s="2"/>
      <c r="D41" s="2"/>
      <c r="E41" s="2"/>
      <c r="F41" s="2"/>
      <c r="G41" s="2"/>
    </row>
    <row r="42" spans="1:26" ht="15.75" customHeight="1" x14ac:dyDescent="0.25">
      <c r="B42" s="2"/>
      <c r="C42" s="2"/>
      <c r="D42" s="2"/>
      <c r="E42" s="2"/>
      <c r="F42" s="2"/>
      <c r="G42" s="2"/>
    </row>
    <row r="43" spans="1:26" ht="15.75" customHeight="1" x14ac:dyDescent="0.25">
      <c r="B43" s="2"/>
      <c r="C43" s="2"/>
      <c r="D43" s="2"/>
      <c r="E43" s="2"/>
      <c r="F43" s="2"/>
      <c r="G43" s="2"/>
    </row>
    <row r="44" spans="1:26" ht="15.75" customHeight="1" x14ac:dyDescent="0.25">
      <c r="B44" s="2"/>
      <c r="C44" s="2"/>
      <c r="D44" s="2"/>
      <c r="E44" s="2"/>
      <c r="F44" s="2"/>
      <c r="G44" s="2"/>
    </row>
    <row r="45" spans="1:26" ht="15.75" customHeight="1" x14ac:dyDescent="0.25">
      <c r="B45" s="2"/>
      <c r="C45" s="2"/>
      <c r="D45" s="2"/>
      <c r="E45" s="2"/>
      <c r="F45" s="2"/>
      <c r="G45" s="2"/>
    </row>
    <row r="46" spans="1:26" ht="15.75" customHeight="1" x14ac:dyDescent="0.25">
      <c r="B46" s="2"/>
      <c r="C46" s="2"/>
      <c r="D46" s="2"/>
      <c r="E46" s="2"/>
      <c r="F46" s="2"/>
      <c r="G46" s="2"/>
    </row>
    <row r="47" spans="1:26" ht="15.75" customHeight="1" x14ac:dyDescent="0.25">
      <c r="B47" s="2"/>
      <c r="C47" s="2"/>
      <c r="D47" s="2"/>
      <c r="E47" s="2"/>
      <c r="F47" s="2"/>
      <c r="G47" s="2"/>
    </row>
    <row r="48" spans="1:26" ht="15.75" customHeight="1" x14ac:dyDescent="0.25">
      <c r="B48" s="2"/>
      <c r="C48" s="2"/>
      <c r="D48" s="2"/>
      <c r="E48" s="2"/>
      <c r="F48" s="2"/>
      <c r="G48" s="2"/>
    </row>
    <row r="49" spans="2:7" ht="15.75" customHeight="1" x14ac:dyDescent="0.25">
      <c r="B49" s="2"/>
      <c r="C49" s="2"/>
      <c r="D49" s="2"/>
      <c r="E49" s="2"/>
      <c r="F49" s="2"/>
      <c r="G49" s="2"/>
    </row>
    <row r="50" spans="2:7" ht="15.75" customHeight="1" x14ac:dyDescent="0.25">
      <c r="B50" s="2"/>
      <c r="C50" s="2"/>
      <c r="D50" s="2"/>
      <c r="E50" s="2"/>
      <c r="F50" s="2"/>
      <c r="G50" s="2"/>
    </row>
    <row r="51" spans="2:7" ht="15.75" customHeight="1" x14ac:dyDescent="0.25">
      <c r="B51" s="2"/>
      <c r="C51" s="2"/>
      <c r="D51" s="2"/>
      <c r="E51" s="2"/>
      <c r="F51" s="2"/>
      <c r="G51" s="2"/>
    </row>
    <row r="52" spans="2:7" ht="15.75" customHeight="1" x14ac:dyDescent="0.25">
      <c r="B52" s="2"/>
      <c r="C52" s="2"/>
      <c r="D52" s="2"/>
      <c r="E52" s="2"/>
      <c r="F52" s="2"/>
      <c r="G52" s="2"/>
    </row>
    <row r="53" spans="2:7" ht="15.75" customHeight="1" x14ac:dyDescent="0.25">
      <c r="B53" s="2"/>
      <c r="C53" s="2"/>
      <c r="D53" s="2"/>
      <c r="E53" s="2"/>
      <c r="F53" s="2"/>
      <c r="G53" s="2"/>
    </row>
    <row r="54" spans="2:7" ht="15.75" customHeight="1" x14ac:dyDescent="0.25">
      <c r="B54" s="2"/>
      <c r="C54" s="2"/>
      <c r="D54" s="2"/>
      <c r="E54" s="2"/>
      <c r="F54" s="2"/>
      <c r="G54" s="2"/>
    </row>
    <row r="55" spans="2:7" ht="15.75" customHeight="1" x14ac:dyDescent="0.25">
      <c r="B55" s="2"/>
      <c r="C55" s="2"/>
      <c r="D55" s="2"/>
      <c r="E55" s="2"/>
      <c r="F55" s="2"/>
      <c r="G55" s="2"/>
    </row>
    <row r="56" spans="2:7" ht="15.75" customHeight="1" x14ac:dyDescent="0.25">
      <c r="B56" s="2"/>
      <c r="C56" s="2"/>
      <c r="D56" s="2"/>
      <c r="E56" s="2"/>
      <c r="F56" s="2"/>
      <c r="G56" s="2"/>
    </row>
    <row r="57" spans="2:7" ht="15.75" customHeight="1" x14ac:dyDescent="0.25">
      <c r="B57" s="2"/>
      <c r="C57" s="2"/>
      <c r="D57" s="2"/>
      <c r="E57" s="2"/>
      <c r="F57" s="2"/>
      <c r="G57" s="2"/>
    </row>
    <row r="58" spans="2:7" ht="15.75" customHeight="1" x14ac:dyDescent="0.25">
      <c r="B58" s="2"/>
      <c r="C58" s="2"/>
      <c r="D58" s="2"/>
      <c r="E58" s="2"/>
      <c r="F58" s="2"/>
      <c r="G58" s="2"/>
    </row>
    <row r="59" spans="2:7" ht="15.75" customHeight="1" x14ac:dyDescent="0.25">
      <c r="B59" s="2"/>
      <c r="C59" s="2"/>
      <c r="D59" s="2"/>
      <c r="E59" s="2"/>
      <c r="F59" s="2"/>
      <c r="G59" s="2"/>
    </row>
    <row r="60" spans="2:7" ht="15.75" customHeight="1" x14ac:dyDescent="0.25">
      <c r="B60" s="2"/>
      <c r="C60" s="2"/>
      <c r="D60" s="2"/>
      <c r="E60" s="2"/>
      <c r="F60" s="2"/>
      <c r="G60" s="2"/>
    </row>
    <row r="61" spans="2:7" ht="15.75" customHeight="1" x14ac:dyDescent="0.25">
      <c r="B61" s="2"/>
      <c r="C61" s="2"/>
      <c r="D61" s="2"/>
      <c r="E61" s="2"/>
      <c r="F61" s="2"/>
      <c r="G61" s="2"/>
    </row>
    <row r="62" spans="2:7" ht="15.75" customHeight="1" x14ac:dyDescent="0.25">
      <c r="B62" s="2"/>
      <c r="C62" s="2"/>
      <c r="D62" s="2"/>
      <c r="E62" s="2"/>
      <c r="F62" s="2"/>
      <c r="G62" s="2"/>
    </row>
    <row r="63" spans="2:7" ht="15.75" customHeight="1" x14ac:dyDescent="0.25">
      <c r="B63" s="2"/>
      <c r="C63" s="2"/>
      <c r="D63" s="2"/>
      <c r="E63" s="2"/>
      <c r="F63" s="2"/>
      <c r="G63" s="2"/>
    </row>
    <row r="64" spans="2:7" ht="15.75" customHeight="1" x14ac:dyDescent="0.25">
      <c r="B64" s="2"/>
      <c r="C64" s="2"/>
      <c r="D64" s="2"/>
      <c r="E64" s="2"/>
      <c r="F64" s="2"/>
      <c r="G64" s="2"/>
    </row>
    <row r="65" spans="2:7" ht="15.75" customHeight="1" x14ac:dyDescent="0.25">
      <c r="B65" s="2"/>
      <c r="C65" s="2"/>
      <c r="D65" s="2"/>
      <c r="E65" s="2"/>
      <c r="F65" s="2"/>
      <c r="G65" s="2"/>
    </row>
    <row r="66" spans="2:7" ht="15.75" customHeight="1" x14ac:dyDescent="0.25">
      <c r="B66" s="2"/>
      <c r="C66" s="2"/>
      <c r="D66" s="2"/>
      <c r="E66" s="2"/>
      <c r="F66" s="2"/>
      <c r="G66" s="2"/>
    </row>
    <row r="67" spans="2:7" ht="15.75" customHeight="1" x14ac:dyDescent="0.25">
      <c r="B67" s="2"/>
      <c r="C67" s="2"/>
      <c r="D67" s="2"/>
      <c r="E67" s="2"/>
      <c r="F67" s="2"/>
      <c r="G67" s="2"/>
    </row>
    <row r="68" spans="2:7" ht="15.75" customHeight="1" x14ac:dyDescent="0.25">
      <c r="B68" s="2"/>
      <c r="C68" s="2"/>
      <c r="D68" s="2"/>
      <c r="E68" s="2"/>
      <c r="F68" s="2"/>
      <c r="G68" s="2"/>
    </row>
    <row r="69" spans="2:7" ht="15.75" customHeight="1" x14ac:dyDescent="0.25">
      <c r="B69" s="2"/>
      <c r="C69" s="2"/>
      <c r="D69" s="2"/>
      <c r="E69" s="2"/>
      <c r="F69" s="2"/>
      <c r="G69" s="2"/>
    </row>
    <row r="70" spans="2:7" ht="15.75" customHeight="1" x14ac:dyDescent="0.25">
      <c r="B70" s="2"/>
      <c r="C70" s="2"/>
      <c r="D70" s="2"/>
      <c r="E70" s="2"/>
      <c r="F70" s="2"/>
      <c r="G70" s="2"/>
    </row>
    <row r="71" spans="2:7" ht="15.75" customHeight="1" x14ac:dyDescent="0.25">
      <c r="B71" s="2"/>
      <c r="C71" s="2"/>
      <c r="D71" s="2"/>
      <c r="E71" s="2"/>
      <c r="F71" s="2"/>
      <c r="G71" s="2"/>
    </row>
    <row r="72" spans="2:7" ht="15.75" customHeight="1" x14ac:dyDescent="0.25">
      <c r="B72" s="2"/>
      <c r="C72" s="2"/>
      <c r="D72" s="2"/>
      <c r="E72" s="2"/>
      <c r="F72" s="2"/>
      <c r="G72" s="2"/>
    </row>
    <row r="73" spans="2:7" ht="15.75" customHeight="1" x14ac:dyDescent="0.25">
      <c r="B73" s="2"/>
      <c r="C73" s="2"/>
      <c r="D73" s="2"/>
      <c r="E73" s="2"/>
      <c r="F73" s="2"/>
      <c r="G73" s="2"/>
    </row>
    <row r="74" spans="2:7" ht="15.75" customHeight="1" x14ac:dyDescent="0.25">
      <c r="B74" s="2"/>
      <c r="C74" s="2"/>
      <c r="D74" s="2"/>
      <c r="E74" s="2"/>
      <c r="F74" s="2"/>
      <c r="G74" s="2"/>
    </row>
    <row r="75" spans="2:7" ht="15.75" customHeight="1" x14ac:dyDescent="0.25">
      <c r="B75" s="2"/>
      <c r="C75" s="2"/>
      <c r="D75" s="2"/>
      <c r="E75" s="2"/>
      <c r="F75" s="2"/>
      <c r="G75" s="2"/>
    </row>
    <row r="76" spans="2:7" ht="15.75" customHeight="1" x14ac:dyDescent="0.25">
      <c r="B76" s="2"/>
      <c r="C76" s="2"/>
      <c r="D76" s="2"/>
      <c r="E76" s="2"/>
      <c r="F76" s="2"/>
      <c r="G76" s="2"/>
    </row>
    <row r="77" spans="2:7" ht="15.75" customHeight="1" x14ac:dyDescent="0.25">
      <c r="B77" s="2"/>
      <c r="C77" s="2"/>
      <c r="D77" s="2"/>
      <c r="E77" s="2"/>
      <c r="F77" s="2"/>
      <c r="G77" s="2"/>
    </row>
    <row r="78" spans="2:7" ht="15.75" customHeight="1" x14ac:dyDescent="0.25">
      <c r="B78" s="2"/>
      <c r="C78" s="2"/>
      <c r="D78" s="2"/>
      <c r="E78" s="2"/>
      <c r="F78" s="2"/>
      <c r="G78" s="2"/>
    </row>
    <row r="79" spans="2:7" ht="15.75" customHeight="1" x14ac:dyDescent="0.25">
      <c r="B79" s="2"/>
      <c r="C79" s="2"/>
      <c r="D79" s="2"/>
      <c r="E79" s="2"/>
      <c r="F79" s="2"/>
      <c r="G79" s="2"/>
    </row>
    <row r="80" spans="2:7" ht="15.75" customHeight="1" x14ac:dyDescent="0.25">
      <c r="B80" s="2"/>
      <c r="C80" s="2"/>
      <c r="D80" s="2"/>
      <c r="E80" s="2"/>
      <c r="F80" s="2"/>
      <c r="G80" s="2"/>
    </row>
    <row r="81" spans="2:7" ht="15.75" customHeight="1" x14ac:dyDescent="0.25">
      <c r="B81" s="2"/>
      <c r="C81" s="2"/>
      <c r="D81" s="2"/>
      <c r="E81" s="2"/>
      <c r="F81" s="2"/>
      <c r="G81" s="2"/>
    </row>
    <row r="82" spans="2:7" ht="15.75" customHeight="1" x14ac:dyDescent="0.25">
      <c r="B82" s="2"/>
      <c r="C82" s="2"/>
      <c r="D82" s="2"/>
      <c r="E82" s="2"/>
      <c r="F82" s="2"/>
      <c r="G82" s="2"/>
    </row>
    <row r="83" spans="2:7" ht="15.75" customHeight="1" x14ac:dyDescent="0.25">
      <c r="B83" s="2"/>
      <c r="C83" s="2"/>
      <c r="D83" s="2"/>
      <c r="E83" s="2"/>
      <c r="F83" s="2"/>
      <c r="G83" s="2"/>
    </row>
    <row r="84" spans="2:7" ht="15.75" customHeight="1" x14ac:dyDescent="0.25">
      <c r="B84" s="2"/>
      <c r="C84" s="2"/>
      <c r="D84" s="2"/>
      <c r="E84" s="2"/>
      <c r="F84" s="2"/>
      <c r="G84" s="2"/>
    </row>
    <row r="85" spans="2:7" ht="15.75" customHeight="1" x14ac:dyDescent="0.25">
      <c r="B85" s="2"/>
      <c r="C85" s="2"/>
      <c r="D85" s="2"/>
      <c r="E85" s="2"/>
      <c r="F85" s="2"/>
      <c r="G85" s="2"/>
    </row>
    <row r="86" spans="2:7" ht="15.75" customHeight="1" x14ac:dyDescent="0.25">
      <c r="B86" s="2"/>
      <c r="C86" s="2"/>
      <c r="D86" s="2"/>
      <c r="E86" s="2"/>
      <c r="F86" s="2"/>
      <c r="G86" s="2"/>
    </row>
    <row r="87" spans="2:7" ht="15.75" customHeight="1" x14ac:dyDescent="0.25">
      <c r="B87" s="2"/>
      <c r="C87" s="2"/>
      <c r="D87" s="2"/>
      <c r="E87" s="2"/>
      <c r="F87" s="2"/>
      <c r="G87" s="2"/>
    </row>
    <row r="88" spans="2:7" ht="15.75" customHeight="1" x14ac:dyDescent="0.25">
      <c r="B88" s="2"/>
      <c r="C88" s="2"/>
      <c r="D88" s="2"/>
      <c r="E88" s="2"/>
      <c r="F88" s="2"/>
      <c r="G88" s="2"/>
    </row>
    <row r="89" spans="2:7" ht="15.75" customHeight="1" x14ac:dyDescent="0.25">
      <c r="B89" s="2"/>
      <c r="C89" s="2"/>
      <c r="D89" s="2"/>
      <c r="E89" s="2"/>
      <c r="F89" s="2"/>
      <c r="G89" s="2"/>
    </row>
    <row r="90" spans="2:7" ht="15.75" customHeight="1" x14ac:dyDescent="0.25">
      <c r="B90" s="2"/>
      <c r="C90" s="2"/>
      <c r="D90" s="2"/>
      <c r="E90" s="2"/>
      <c r="F90" s="2"/>
      <c r="G90" s="2"/>
    </row>
    <row r="91" spans="2:7" ht="15.75" customHeight="1" x14ac:dyDescent="0.25">
      <c r="B91" s="2"/>
      <c r="C91" s="2"/>
      <c r="D91" s="2"/>
      <c r="E91" s="2"/>
      <c r="F91" s="2"/>
      <c r="G91" s="2"/>
    </row>
    <row r="92" spans="2:7" ht="15.75" customHeight="1" x14ac:dyDescent="0.25">
      <c r="B92" s="2"/>
      <c r="C92" s="2"/>
      <c r="D92" s="2"/>
      <c r="E92" s="2"/>
      <c r="F92" s="2"/>
      <c r="G92" s="2"/>
    </row>
    <row r="93" spans="2:7" ht="15.75" customHeight="1" x14ac:dyDescent="0.25">
      <c r="B93" s="2"/>
      <c r="C93" s="2"/>
      <c r="D93" s="2"/>
      <c r="E93" s="2"/>
      <c r="F93" s="2"/>
      <c r="G93" s="2"/>
    </row>
    <row r="94" spans="2:7" ht="15.75" customHeight="1" x14ac:dyDescent="0.25">
      <c r="B94" s="2"/>
      <c r="C94" s="2"/>
      <c r="D94" s="2"/>
      <c r="E94" s="2"/>
      <c r="F94" s="2"/>
      <c r="G94" s="2"/>
    </row>
    <row r="95" spans="2:7" ht="15.75" customHeight="1" x14ac:dyDescent="0.25">
      <c r="B95" s="2"/>
      <c r="C95" s="2"/>
      <c r="D95" s="2"/>
      <c r="E95" s="2"/>
      <c r="F95" s="2"/>
      <c r="G95" s="2"/>
    </row>
    <row r="96" spans="2:7" ht="15.75" customHeight="1" x14ac:dyDescent="0.25">
      <c r="B96" s="2"/>
      <c r="C96" s="2"/>
      <c r="D96" s="2"/>
      <c r="E96" s="2"/>
      <c r="F96" s="2"/>
      <c r="G96" s="2"/>
    </row>
    <row r="97" spans="2:7" ht="15.75" customHeight="1" x14ac:dyDescent="0.25">
      <c r="B97" s="2"/>
      <c r="C97" s="2"/>
      <c r="D97" s="2"/>
      <c r="E97" s="2"/>
      <c r="F97" s="2"/>
      <c r="G97" s="2"/>
    </row>
    <row r="98" spans="2:7" ht="15.75" customHeight="1" x14ac:dyDescent="0.25">
      <c r="B98" s="2"/>
      <c r="C98" s="2"/>
      <c r="D98" s="2"/>
      <c r="E98" s="2"/>
      <c r="F98" s="2"/>
      <c r="G98" s="2"/>
    </row>
    <row r="99" spans="2:7" ht="15.75" customHeight="1" x14ac:dyDescent="0.25">
      <c r="B99" s="2"/>
      <c r="C99" s="2"/>
      <c r="D99" s="2"/>
      <c r="E99" s="2"/>
      <c r="F99" s="2"/>
      <c r="G99" s="2"/>
    </row>
    <row r="100" spans="2:7" ht="15.75" customHeight="1" x14ac:dyDescent="0.25">
      <c r="B100" s="2"/>
      <c r="C100" s="2"/>
      <c r="D100" s="2"/>
      <c r="E100" s="2"/>
      <c r="F100" s="2"/>
      <c r="G100" s="2"/>
    </row>
    <row r="101" spans="2:7" ht="15.75" customHeight="1" x14ac:dyDescent="0.25">
      <c r="B101" s="2"/>
      <c r="C101" s="2"/>
      <c r="D101" s="2"/>
      <c r="E101" s="2"/>
      <c r="F101" s="2"/>
      <c r="G101" s="2"/>
    </row>
    <row r="102" spans="2:7" ht="15.75" customHeight="1" x14ac:dyDescent="0.25">
      <c r="B102" s="2"/>
      <c r="C102" s="2"/>
      <c r="D102" s="2"/>
      <c r="E102" s="2"/>
      <c r="F102" s="2"/>
      <c r="G102" s="2"/>
    </row>
    <row r="103" spans="2:7" ht="15.75" customHeight="1" x14ac:dyDescent="0.25">
      <c r="B103" s="2"/>
      <c r="C103" s="2"/>
      <c r="D103" s="2"/>
      <c r="E103" s="2"/>
      <c r="F103" s="2"/>
      <c r="G103" s="2"/>
    </row>
    <row r="104" spans="2:7" ht="15.75" customHeight="1" x14ac:dyDescent="0.25">
      <c r="B104" s="2"/>
      <c r="C104" s="2"/>
      <c r="D104" s="2"/>
      <c r="E104" s="2"/>
      <c r="F104" s="2"/>
      <c r="G104" s="2"/>
    </row>
    <row r="105" spans="2:7" ht="15.75" customHeight="1" x14ac:dyDescent="0.25">
      <c r="B105" s="2"/>
      <c r="C105" s="2"/>
      <c r="D105" s="2"/>
      <c r="E105" s="2"/>
      <c r="F105" s="2"/>
      <c r="G105" s="2"/>
    </row>
    <row r="106" spans="2:7" ht="15.75" customHeight="1" x14ac:dyDescent="0.25">
      <c r="B106" s="2"/>
      <c r="C106" s="2"/>
      <c r="D106" s="2"/>
      <c r="E106" s="2"/>
      <c r="F106" s="2"/>
      <c r="G106" s="2"/>
    </row>
    <row r="107" spans="2:7" ht="15.75" customHeight="1" x14ac:dyDescent="0.25">
      <c r="B107" s="2"/>
      <c r="C107" s="2"/>
      <c r="D107" s="2"/>
      <c r="E107" s="2"/>
      <c r="F107" s="2"/>
      <c r="G107" s="2"/>
    </row>
    <row r="108" spans="2:7" ht="15.75" customHeight="1" x14ac:dyDescent="0.25">
      <c r="B108" s="2"/>
      <c r="C108" s="2"/>
      <c r="D108" s="2"/>
      <c r="E108" s="2"/>
      <c r="F108" s="2"/>
      <c r="G108" s="2"/>
    </row>
    <row r="109" spans="2:7" ht="15.75" customHeight="1" x14ac:dyDescent="0.25">
      <c r="B109" s="2"/>
      <c r="C109" s="2"/>
      <c r="D109" s="2"/>
      <c r="E109" s="2"/>
      <c r="F109" s="2"/>
      <c r="G109" s="2"/>
    </row>
    <row r="110" spans="2:7" ht="15.75" customHeight="1" x14ac:dyDescent="0.25">
      <c r="B110" s="2"/>
      <c r="C110" s="2"/>
      <c r="D110" s="2"/>
      <c r="E110" s="2"/>
      <c r="F110" s="2"/>
      <c r="G110" s="2"/>
    </row>
    <row r="111" spans="2:7" ht="15.75" customHeight="1" x14ac:dyDescent="0.25">
      <c r="B111" s="2"/>
      <c r="C111" s="2"/>
      <c r="D111" s="2"/>
      <c r="E111" s="2"/>
      <c r="F111" s="2"/>
      <c r="G111" s="2"/>
    </row>
    <row r="112" spans="2:7" ht="15.75" customHeight="1" x14ac:dyDescent="0.25">
      <c r="B112" s="2"/>
      <c r="C112" s="2"/>
      <c r="D112" s="2"/>
      <c r="E112" s="2"/>
      <c r="F112" s="2"/>
      <c r="G112" s="2"/>
    </row>
    <row r="113" spans="2:7" ht="15.75" customHeight="1" x14ac:dyDescent="0.25">
      <c r="B113" s="2"/>
      <c r="C113" s="2"/>
      <c r="D113" s="2"/>
      <c r="E113" s="2"/>
      <c r="F113" s="2"/>
      <c r="G113" s="2"/>
    </row>
    <row r="114" spans="2:7" ht="15.75" customHeight="1" x14ac:dyDescent="0.25">
      <c r="B114" s="2"/>
      <c r="C114" s="2"/>
      <c r="D114" s="2"/>
      <c r="E114" s="2"/>
      <c r="F114" s="2"/>
      <c r="G114" s="2"/>
    </row>
    <row r="115" spans="2:7" ht="15.75" customHeight="1" x14ac:dyDescent="0.25">
      <c r="B115" s="2"/>
      <c r="C115" s="2"/>
      <c r="D115" s="2"/>
      <c r="E115" s="2"/>
      <c r="F115" s="2"/>
      <c r="G115" s="2"/>
    </row>
    <row r="116" spans="2:7" ht="15.75" customHeight="1" x14ac:dyDescent="0.25">
      <c r="B116" s="2"/>
      <c r="C116" s="2"/>
      <c r="D116" s="2"/>
      <c r="E116" s="2"/>
      <c r="F116" s="2"/>
      <c r="G116" s="2"/>
    </row>
    <row r="117" spans="2:7" ht="15.75" customHeight="1" x14ac:dyDescent="0.25">
      <c r="B117" s="2"/>
      <c r="C117" s="2"/>
      <c r="D117" s="2"/>
      <c r="E117" s="2"/>
      <c r="F117" s="2"/>
      <c r="G117" s="2"/>
    </row>
    <row r="118" spans="2:7" ht="15.75" customHeight="1" x14ac:dyDescent="0.25">
      <c r="B118" s="2"/>
      <c r="C118" s="2"/>
      <c r="D118" s="2"/>
      <c r="E118" s="2"/>
      <c r="F118" s="2"/>
      <c r="G118" s="2"/>
    </row>
    <row r="119" spans="2:7" ht="15.75" customHeight="1" x14ac:dyDescent="0.25">
      <c r="B119" s="2"/>
      <c r="C119" s="2"/>
      <c r="D119" s="2"/>
      <c r="E119" s="2"/>
      <c r="F119" s="2"/>
      <c r="G119" s="2"/>
    </row>
    <row r="120" spans="2:7" ht="15.75" customHeight="1" x14ac:dyDescent="0.25">
      <c r="B120" s="2"/>
      <c r="C120" s="2"/>
      <c r="D120" s="2"/>
      <c r="E120" s="2"/>
      <c r="F120" s="2"/>
      <c r="G120" s="2"/>
    </row>
    <row r="121" spans="2:7" ht="15.75" customHeight="1" x14ac:dyDescent="0.25">
      <c r="B121" s="2"/>
      <c r="C121" s="2"/>
      <c r="D121" s="2"/>
      <c r="E121" s="2"/>
      <c r="F121" s="2"/>
      <c r="G121" s="2"/>
    </row>
    <row r="122" spans="2:7" ht="15.75" customHeight="1" x14ac:dyDescent="0.25">
      <c r="B122" s="2"/>
      <c r="C122" s="2"/>
      <c r="D122" s="2"/>
      <c r="E122" s="2"/>
      <c r="F122" s="2"/>
      <c r="G122" s="2"/>
    </row>
    <row r="123" spans="2:7" ht="15.75" customHeight="1" x14ac:dyDescent="0.25">
      <c r="B123" s="2"/>
      <c r="C123" s="2"/>
      <c r="D123" s="2"/>
      <c r="E123" s="2"/>
      <c r="F123" s="2"/>
      <c r="G123" s="2"/>
    </row>
    <row r="124" spans="2:7" ht="15.75" customHeight="1" x14ac:dyDescent="0.25">
      <c r="B124" s="2"/>
      <c r="C124" s="2"/>
      <c r="D124" s="2"/>
      <c r="E124" s="2"/>
      <c r="F124" s="2"/>
      <c r="G124" s="2"/>
    </row>
    <row r="125" spans="2:7" ht="15.75" customHeight="1" x14ac:dyDescent="0.25">
      <c r="B125" s="2"/>
      <c r="C125" s="2"/>
      <c r="D125" s="2"/>
      <c r="E125" s="2"/>
      <c r="F125" s="2"/>
      <c r="G125" s="2"/>
    </row>
    <row r="126" spans="2:7" ht="15.75" customHeight="1" x14ac:dyDescent="0.25">
      <c r="B126" s="2"/>
      <c r="C126" s="2"/>
      <c r="D126" s="2"/>
      <c r="E126" s="2"/>
      <c r="F126" s="2"/>
      <c r="G126" s="2"/>
    </row>
    <row r="127" spans="2:7" ht="15.75" customHeight="1" x14ac:dyDescent="0.25">
      <c r="B127" s="2"/>
      <c r="C127" s="2"/>
      <c r="D127" s="2"/>
      <c r="E127" s="2"/>
      <c r="F127" s="2"/>
      <c r="G127" s="2"/>
    </row>
    <row r="128" spans="2:7" ht="15.75" customHeight="1" x14ac:dyDescent="0.25">
      <c r="B128" s="2"/>
      <c r="C128" s="2"/>
      <c r="D128" s="2"/>
      <c r="E128" s="2"/>
      <c r="F128" s="2"/>
      <c r="G128" s="2"/>
    </row>
    <row r="129" spans="2:7" ht="15.75" customHeight="1" x14ac:dyDescent="0.25">
      <c r="B129" s="2"/>
      <c r="C129" s="2"/>
      <c r="D129" s="2"/>
      <c r="E129" s="2"/>
      <c r="F129" s="2"/>
      <c r="G129" s="2"/>
    </row>
    <row r="130" spans="2:7" ht="15.75" customHeight="1" x14ac:dyDescent="0.25">
      <c r="B130" s="2"/>
      <c r="C130" s="2"/>
      <c r="D130" s="2"/>
      <c r="E130" s="2"/>
      <c r="F130" s="2"/>
      <c r="G130" s="2"/>
    </row>
    <row r="131" spans="2:7" ht="15.75" customHeight="1" x14ac:dyDescent="0.25">
      <c r="B131" s="2"/>
      <c r="C131" s="2"/>
      <c r="D131" s="2"/>
      <c r="E131" s="2"/>
      <c r="F131" s="2"/>
      <c r="G131" s="2"/>
    </row>
    <row r="132" spans="2:7" ht="15.75" customHeight="1" x14ac:dyDescent="0.25">
      <c r="B132" s="2"/>
      <c r="C132" s="2"/>
      <c r="D132" s="2"/>
      <c r="E132" s="2"/>
      <c r="F132" s="2"/>
      <c r="G132" s="2"/>
    </row>
    <row r="133" spans="2:7" ht="15.75" customHeight="1" x14ac:dyDescent="0.25">
      <c r="B133" s="2"/>
      <c r="C133" s="2"/>
      <c r="D133" s="2"/>
      <c r="E133" s="2"/>
      <c r="F133" s="2"/>
      <c r="G133" s="2"/>
    </row>
    <row r="134" spans="2:7" ht="15.75" customHeight="1" x14ac:dyDescent="0.25">
      <c r="B134" s="2"/>
      <c r="C134" s="2"/>
      <c r="D134" s="2"/>
      <c r="E134" s="2"/>
      <c r="F134" s="2"/>
      <c r="G134" s="2"/>
    </row>
    <row r="135" spans="2:7" ht="15.75" customHeight="1" x14ac:dyDescent="0.25">
      <c r="B135" s="2"/>
      <c r="C135" s="2"/>
      <c r="D135" s="2"/>
      <c r="E135" s="2"/>
      <c r="F135" s="2"/>
      <c r="G135" s="2"/>
    </row>
    <row r="136" spans="2:7" ht="15.75" customHeight="1" x14ac:dyDescent="0.25">
      <c r="B136" s="2"/>
      <c r="C136" s="2"/>
      <c r="D136" s="2"/>
      <c r="E136" s="2"/>
      <c r="F136" s="2"/>
      <c r="G136" s="2"/>
    </row>
    <row r="137" spans="2:7" ht="15.75" customHeight="1" x14ac:dyDescent="0.25">
      <c r="B137" s="2"/>
      <c r="C137" s="2"/>
      <c r="D137" s="2"/>
      <c r="E137" s="2"/>
      <c r="F137" s="2"/>
      <c r="G137" s="2"/>
    </row>
    <row r="138" spans="2:7" ht="15.75" customHeight="1" x14ac:dyDescent="0.25">
      <c r="B138" s="2"/>
      <c r="C138" s="2"/>
      <c r="D138" s="2"/>
      <c r="E138" s="2"/>
      <c r="F138" s="2"/>
      <c r="G138" s="2"/>
    </row>
    <row r="139" spans="2:7" ht="15.75" customHeight="1" x14ac:dyDescent="0.25">
      <c r="B139" s="2"/>
      <c r="C139" s="2"/>
      <c r="D139" s="2"/>
      <c r="E139" s="2"/>
      <c r="F139" s="2"/>
      <c r="G139" s="2"/>
    </row>
    <row r="140" spans="2:7" ht="15.75" customHeight="1" x14ac:dyDescent="0.25">
      <c r="B140" s="2"/>
      <c r="C140" s="2"/>
      <c r="D140" s="2"/>
      <c r="E140" s="2"/>
      <c r="F140" s="2"/>
      <c r="G140" s="2"/>
    </row>
    <row r="141" spans="2:7" ht="15.75" customHeight="1" x14ac:dyDescent="0.25">
      <c r="B141" s="2"/>
      <c r="C141" s="2"/>
      <c r="D141" s="2"/>
      <c r="E141" s="2"/>
      <c r="F141" s="2"/>
      <c r="G141" s="2"/>
    </row>
    <row r="142" spans="2:7" ht="15.75" customHeight="1" x14ac:dyDescent="0.25">
      <c r="B142" s="2"/>
      <c r="C142" s="2"/>
      <c r="D142" s="2"/>
      <c r="E142" s="2"/>
      <c r="F142" s="2"/>
      <c r="G142" s="2"/>
    </row>
    <row r="143" spans="2:7" ht="15.75" customHeight="1" x14ac:dyDescent="0.25">
      <c r="B143" s="2"/>
      <c r="C143" s="2"/>
      <c r="D143" s="2"/>
      <c r="E143" s="2"/>
      <c r="F143" s="2"/>
      <c r="G143" s="2"/>
    </row>
    <row r="144" spans="2:7" ht="15.75" customHeight="1" x14ac:dyDescent="0.25">
      <c r="B144" s="2"/>
      <c r="C144" s="2"/>
      <c r="D144" s="2"/>
      <c r="E144" s="2"/>
      <c r="F144" s="2"/>
      <c r="G144" s="2"/>
    </row>
    <row r="145" spans="2:7" ht="15.75" customHeight="1" x14ac:dyDescent="0.25">
      <c r="B145" s="2"/>
      <c r="C145" s="2"/>
      <c r="D145" s="2"/>
      <c r="E145" s="2"/>
      <c r="F145" s="2"/>
      <c r="G145" s="2"/>
    </row>
    <row r="146" spans="2:7" ht="15.75" customHeight="1" x14ac:dyDescent="0.25">
      <c r="B146" s="2"/>
      <c r="C146" s="2"/>
      <c r="D146" s="2"/>
      <c r="E146" s="2"/>
      <c r="F146" s="2"/>
      <c r="G146" s="2"/>
    </row>
    <row r="147" spans="2:7" ht="15.75" customHeight="1" x14ac:dyDescent="0.25">
      <c r="B147" s="2"/>
      <c r="C147" s="2"/>
      <c r="D147" s="2"/>
      <c r="E147" s="2"/>
      <c r="F147" s="2"/>
      <c r="G147" s="2"/>
    </row>
    <row r="148" spans="2:7" ht="15.75" customHeight="1" x14ac:dyDescent="0.25">
      <c r="B148" s="2"/>
      <c r="C148" s="2"/>
      <c r="D148" s="2"/>
      <c r="E148" s="2"/>
      <c r="F148" s="2"/>
      <c r="G148" s="2"/>
    </row>
    <row r="149" spans="2:7" ht="15.75" customHeight="1" x14ac:dyDescent="0.25">
      <c r="B149" s="2"/>
      <c r="C149" s="2"/>
      <c r="D149" s="2"/>
      <c r="E149" s="2"/>
      <c r="F149" s="2"/>
      <c r="G149" s="2"/>
    </row>
    <row r="150" spans="2:7" ht="15.75" customHeight="1" x14ac:dyDescent="0.25">
      <c r="B150" s="2"/>
      <c r="C150" s="2"/>
      <c r="D150" s="2"/>
      <c r="E150" s="2"/>
      <c r="F150" s="2"/>
      <c r="G150" s="2"/>
    </row>
    <row r="151" spans="2:7" ht="15.75" customHeight="1" x14ac:dyDescent="0.25">
      <c r="B151" s="2"/>
      <c r="C151" s="2"/>
      <c r="D151" s="2"/>
      <c r="E151" s="2"/>
      <c r="F151" s="2"/>
      <c r="G151" s="2"/>
    </row>
    <row r="152" spans="2:7" ht="15.75" customHeight="1" x14ac:dyDescent="0.25">
      <c r="B152" s="2"/>
      <c r="C152" s="2"/>
      <c r="D152" s="2"/>
      <c r="E152" s="2"/>
      <c r="F152" s="2"/>
      <c r="G152" s="2"/>
    </row>
    <row r="153" spans="2:7" ht="15.75" customHeight="1" x14ac:dyDescent="0.25">
      <c r="B153" s="2"/>
      <c r="C153" s="2"/>
      <c r="D153" s="2"/>
      <c r="E153" s="2"/>
      <c r="F153" s="2"/>
      <c r="G153" s="2"/>
    </row>
    <row r="154" spans="2:7" ht="15.75" customHeight="1" x14ac:dyDescent="0.25">
      <c r="B154" s="2"/>
      <c r="C154" s="2"/>
      <c r="D154" s="2"/>
      <c r="E154" s="2"/>
      <c r="F154" s="2"/>
      <c r="G154" s="2"/>
    </row>
    <row r="155" spans="2:7" ht="15.75" customHeight="1" x14ac:dyDescent="0.25">
      <c r="B155" s="2"/>
      <c r="C155" s="2"/>
      <c r="D155" s="2"/>
      <c r="E155" s="2"/>
      <c r="F155" s="2"/>
      <c r="G155" s="2"/>
    </row>
    <row r="156" spans="2:7" ht="15.75" customHeight="1" x14ac:dyDescent="0.25">
      <c r="B156" s="2"/>
      <c r="C156" s="2"/>
      <c r="D156" s="2"/>
      <c r="E156" s="2"/>
      <c r="F156" s="2"/>
      <c r="G156" s="2"/>
    </row>
    <row r="157" spans="2:7" ht="15.75" customHeight="1" x14ac:dyDescent="0.25">
      <c r="B157" s="2"/>
      <c r="C157" s="2"/>
      <c r="D157" s="2"/>
      <c r="E157" s="2"/>
      <c r="F157" s="2"/>
      <c r="G157" s="2"/>
    </row>
    <row r="158" spans="2:7" ht="15.75" customHeight="1" x14ac:dyDescent="0.25">
      <c r="B158" s="2"/>
      <c r="C158" s="2"/>
      <c r="D158" s="2"/>
      <c r="E158" s="2"/>
      <c r="F158" s="2"/>
      <c r="G158" s="2"/>
    </row>
    <row r="159" spans="2:7" ht="15.75" customHeight="1" x14ac:dyDescent="0.25">
      <c r="B159" s="2"/>
      <c r="C159" s="2"/>
      <c r="D159" s="2"/>
      <c r="E159" s="2"/>
      <c r="F159" s="2"/>
      <c r="G159" s="2"/>
    </row>
    <row r="160" spans="2:7" ht="15.75" customHeight="1" x14ac:dyDescent="0.25">
      <c r="B160" s="2"/>
      <c r="C160" s="2"/>
      <c r="D160" s="2"/>
      <c r="E160" s="2"/>
      <c r="F160" s="2"/>
      <c r="G160" s="2"/>
    </row>
    <row r="161" spans="2:7" ht="15.75" customHeight="1" x14ac:dyDescent="0.25">
      <c r="B161" s="2"/>
      <c r="C161" s="2"/>
      <c r="D161" s="2"/>
      <c r="E161" s="2"/>
      <c r="F161" s="2"/>
      <c r="G161" s="2"/>
    </row>
    <row r="162" spans="2:7" ht="15.75" customHeight="1" x14ac:dyDescent="0.25">
      <c r="B162" s="2"/>
      <c r="C162" s="2"/>
      <c r="D162" s="2"/>
      <c r="E162" s="2"/>
      <c r="F162" s="2"/>
      <c r="G162" s="2"/>
    </row>
    <row r="163" spans="2:7" ht="15.75" customHeight="1" x14ac:dyDescent="0.25">
      <c r="B163" s="2"/>
      <c r="C163" s="2"/>
      <c r="D163" s="2"/>
      <c r="E163" s="2"/>
      <c r="F163" s="2"/>
      <c r="G163" s="2"/>
    </row>
    <row r="164" spans="2:7" ht="15.75" customHeight="1" x14ac:dyDescent="0.25">
      <c r="B164" s="2"/>
      <c r="C164" s="2"/>
      <c r="D164" s="2"/>
      <c r="E164" s="2"/>
      <c r="F164" s="2"/>
      <c r="G164" s="2"/>
    </row>
    <row r="165" spans="2:7" ht="15.75" customHeight="1" x14ac:dyDescent="0.25">
      <c r="B165" s="2"/>
      <c r="C165" s="2"/>
      <c r="D165" s="2"/>
      <c r="E165" s="2"/>
      <c r="F165" s="2"/>
      <c r="G165" s="2"/>
    </row>
    <row r="166" spans="2:7" ht="15.75" customHeight="1" x14ac:dyDescent="0.25">
      <c r="B166" s="2"/>
      <c r="C166" s="2"/>
      <c r="D166" s="2"/>
      <c r="E166" s="2"/>
      <c r="F166" s="2"/>
      <c r="G166" s="2"/>
    </row>
    <row r="167" spans="2:7" ht="15.75" customHeight="1" x14ac:dyDescent="0.25">
      <c r="B167" s="2"/>
      <c r="C167" s="2"/>
      <c r="D167" s="2"/>
      <c r="E167" s="2"/>
      <c r="F167" s="2"/>
      <c r="G167" s="2"/>
    </row>
    <row r="168" spans="2:7" ht="15.75" customHeight="1" x14ac:dyDescent="0.25">
      <c r="B168" s="2"/>
      <c r="C168" s="2"/>
      <c r="D168" s="2"/>
      <c r="E168" s="2"/>
      <c r="F168" s="2"/>
      <c r="G168" s="2"/>
    </row>
    <row r="169" spans="2:7" ht="15.75" customHeight="1" x14ac:dyDescent="0.25">
      <c r="B169" s="2"/>
      <c r="C169" s="2"/>
      <c r="D169" s="2"/>
      <c r="E169" s="2"/>
      <c r="F169" s="2"/>
      <c r="G169" s="2"/>
    </row>
    <row r="170" spans="2:7" ht="15.75" customHeight="1" x14ac:dyDescent="0.25">
      <c r="B170" s="2"/>
      <c r="C170" s="2"/>
      <c r="D170" s="2"/>
      <c r="E170" s="2"/>
      <c r="F170" s="2"/>
      <c r="G170" s="2"/>
    </row>
    <row r="171" spans="2:7" ht="15.75" customHeight="1" x14ac:dyDescent="0.25">
      <c r="B171" s="2"/>
      <c r="C171" s="2"/>
      <c r="D171" s="2"/>
      <c r="E171" s="2"/>
      <c r="F171" s="2"/>
      <c r="G171" s="2"/>
    </row>
    <row r="172" spans="2:7" ht="15.75" customHeight="1" x14ac:dyDescent="0.25">
      <c r="B172" s="2"/>
      <c r="C172" s="2"/>
      <c r="D172" s="2"/>
      <c r="E172" s="2"/>
      <c r="F172" s="2"/>
      <c r="G172" s="2"/>
    </row>
    <row r="173" spans="2:7" ht="15.75" customHeight="1" x14ac:dyDescent="0.25">
      <c r="B173" s="2"/>
      <c r="C173" s="2"/>
      <c r="D173" s="2"/>
      <c r="E173" s="2"/>
      <c r="F173" s="2"/>
      <c r="G173" s="2"/>
    </row>
    <row r="174" spans="2:7" ht="15.75" customHeight="1" x14ac:dyDescent="0.25">
      <c r="B174" s="2"/>
      <c r="C174" s="2"/>
      <c r="D174" s="2"/>
      <c r="E174" s="2"/>
      <c r="F174" s="2"/>
      <c r="G174" s="2"/>
    </row>
    <row r="175" spans="2:7" ht="15.75" customHeight="1" x14ac:dyDescent="0.25">
      <c r="B175" s="2"/>
      <c r="C175" s="2"/>
      <c r="D175" s="2"/>
      <c r="E175" s="2"/>
      <c r="F175" s="2"/>
      <c r="G175" s="2"/>
    </row>
    <row r="176" spans="2:7" ht="15.75" customHeight="1" x14ac:dyDescent="0.25">
      <c r="B176" s="2"/>
      <c r="C176" s="2"/>
      <c r="D176" s="2"/>
      <c r="E176" s="2"/>
      <c r="F176" s="2"/>
      <c r="G176" s="2"/>
    </row>
    <row r="177" spans="2:7" ht="15.75" customHeight="1" x14ac:dyDescent="0.25">
      <c r="B177" s="2"/>
      <c r="C177" s="2"/>
      <c r="D177" s="2"/>
      <c r="E177" s="2"/>
      <c r="F177" s="2"/>
      <c r="G177" s="2"/>
    </row>
    <row r="178" spans="2:7" ht="15.75" customHeight="1" x14ac:dyDescent="0.25">
      <c r="B178" s="2"/>
      <c r="C178" s="2"/>
      <c r="D178" s="2"/>
      <c r="E178" s="2"/>
      <c r="F178" s="2"/>
      <c r="G178" s="2"/>
    </row>
    <row r="179" spans="2:7" ht="15.75" customHeight="1" x14ac:dyDescent="0.25">
      <c r="B179" s="2"/>
      <c r="C179" s="2"/>
      <c r="D179" s="2"/>
      <c r="E179" s="2"/>
      <c r="F179" s="2"/>
      <c r="G179" s="2"/>
    </row>
    <row r="180" spans="2:7" ht="15.75" customHeight="1" x14ac:dyDescent="0.25">
      <c r="B180" s="2"/>
      <c r="C180" s="2"/>
      <c r="D180" s="2"/>
      <c r="E180" s="2"/>
      <c r="F180" s="2"/>
      <c r="G180" s="2"/>
    </row>
    <row r="181" spans="2:7" ht="15.75" customHeight="1" x14ac:dyDescent="0.25">
      <c r="B181" s="2"/>
      <c r="C181" s="2"/>
      <c r="D181" s="2"/>
      <c r="E181" s="2"/>
      <c r="F181" s="2"/>
      <c r="G181" s="2"/>
    </row>
    <row r="182" spans="2:7" ht="15.75" customHeight="1" x14ac:dyDescent="0.25">
      <c r="B182" s="2"/>
      <c r="C182" s="2"/>
      <c r="D182" s="2"/>
      <c r="E182" s="2"/>
      <c r="F182" s="2"/>
      <c r="G182" s="2"/>
    </row>
    <row r="183" spans="2:7" ht="15.75" customHeight="1" x14ac:dyDescent="0.25">
      <c r="B183" s="2"/>
      <c r="C183" s="2"/>
      <c r="D183" s="2"/>
      <c r="E183" s="2"/>
      <c r="F183" s="2"/>
      <c r="G183" s="2"/>
    </row>
    <row r="184" spans="2:7" ht="15.75" customHeight="1" x14ac:dyDescent="0.25">
      <c r="B184" s="2"/>
      <c r="C184" s="2"/>
      <c r="D184" s="2"/>
      <c r="E184" s="2"/>
      <c r="F184" s="2"/>
      <c r="G184" s="2"/>
    </row>
    <row r="185" spans="2:7" ht="15.75" customHeight="1" x14ac:dyDescent="0.25">
      <c r="B185" s="2"/>
      <c r="C185" s="2"/>
      <c r="D185" s="2"/>
      <c r="E185" s="2"/>
      <c r="F185" s="2"/>
      <c r="G185" s="2"/>
    </row>
    <row r="186" spans="2:7" ht="15.75" customHeight="1" x14ac:dyDescent="0.25">
      <c r="B186" s="2"/>
      <c r="C186" s="2"/>
      <c r="D186" s="2"/>
      <c r="E186" s="2"/>
      <c r="F186" s="2"/>
      <c r="G186" s="2"/>
    </row>
    <row r="187" spans="2:7" ht="15.75" customHeight="1" x14ac:dyDescent="0.25">
      <c r="B187" s="2"/>
      <c r="C187" s="2"/>
      <c r="D187" s="2"/>
      <c r="E187" s="2"/>
      <c r="F187" s="2"/>
      <c r="G187" s="2"/>
    </row>
    <row r="188" spans="2:7" ht="15.75" customHeight="1" x14ac:dyDescent="0.25">
      <c r="B188" s="2"/>
      <c r="C188" s="2"/>
      <c r="D188" s="2"/>
      <c r="E188" s="2"/>
      <c r="F188" s="2"/>
      <c r="G188" s="2"/>
    </row>
    <row r="189" spans="2:7" ht="15.75" customHeight="1" x14ac:dyDescent="0.25">
      <c r="B189" s="2"/>
      <c r="C189" s="2"/>
      <c r="D189" s="2"/>
      <c r="E189" s="2"/>
      <c r="F189" s="2"/>
      <c r="G189" s="2"/>
    </row>
    <row r="190" spans="2:7" ht="15.75" customHeight="1" x14ac:dyDescent="0.25">
      <c r="B190" s="2"/>
      <c r="C190" s="2"/>
      <c r="D190" s="2"/>
      <c r="E190" s="2"/>
      <c r="F190" s="2"/>
      <c r="G190" s="2"/>
    </row>
    <row r="191" spans="2:7" ht="15.75" customHeight="1" x14ac:dyDescent="0.25">
      <c r="B191" s="2"/>
      <c r="C191" s="2"/>
      <c r="D191" s="2"/>
      <c r="E191" s="2"/>
      <c r="F191" s="2"/>
      <c r="G191" s="2"/>
    </row>
    <row r="192" spans="2:7" ht="15.75" customHeight="1" x14ac:dyDescent="0.25">
      <c r="B192" s="2"/>
      <c r="C192" s="2"/>
      <c r="D192" s="2"/>
      <c r="E192" s="2"/>
      <c r="F192" s="2"/>
      <c r="G192" s="2"/>
    </row>
    <row r="193" spans="2:7" ht="15.75" customHeight="1" x14ac:dyDescent="0.25">
      <c r="B193" s="2"/>
      <c r="C193" s="2"/>
      <c r="D193" s="2"/>
      <c r="E193" s="2"/>
      <c r="F193" s="2"/>
      <c r="G193" s="2"/>
    </row>
    <row r="194" spans="2:7" ht="15.75" customHeight="1" x14ac:dyDescent="0.25">
      <c r="B194" s="2"/>
      <c r="C194" s="2"/>
      <c r="D194" s="2"/>
      <c r="E194" s="2"/>
      <c r="F194" s="2"/>
      <c r="G194" s="2"/>
    </row>
    <row r="195" spans="2:7" ht="15.75" customHeight="1" x14ac:dyDescent="0.25">
      <c r="B195" s="2"/>
      <c r="C195" s="2"/>
      <c r="D195" s="2"/>
      <c r="E195" s="2"/>
      <c r="F195" s="2"/>
      <c r="G195" s="2"/>
    </row>
    <row r="196" spans="2:7" ht="15.75" customHeight="1" x14ac:dyDescent="0.25">
      <c r="B196" s="2"/>
      <c r="C196" s="2"/>
      <c r="D196" s="2"/>
      <c r="E196" s="2"/>
      <c r="F196" s="2"/>
      <c r="G196" s="2"/>
    </row>
    <row r="197" spans="2:7" ht="15.75" customHeight="1" x14ac:dyDescent="0.25">
      <c r="B197" s="2"/>
      <c r="C197" s="2"/>
      <c r="D197" s="2"/>
      <c r="E197" s="2"/>
      <c r="F197" s="2"/>
      <c r="G197" s="2"/>
    </row>
    <row r="198" spans="2:7" ht="15.75" customHeight="1" x14ac:dyDescent="0.25">
      <c r="B198" s="2"/>
      <c r="C198" s="2"/>
      <c r="D198" s="2"/>
      <c r="E198" s="2"/>
      <c r="F198" s="2"/>
      <c r="G198" s="2"/>
    </row>
    <row r="199" spans="2:7" ht="15.75" customHeight="1" x14ac:dyDescent="0.25">
      <c r="B199" s="2"/>
      <c r="C199" s="2"/>
      <c r="D199" s="2"/>
      <c r="E199" s="2"/>
      <c r="F199" s="2"/>
      <c r="G199" s="2"/>
    </row>
    <row r="200" spans="2:7" ht="15.75" customHeight="1" x14ac:dyDescent="0.25">
      <c r="B200" s="2"/>
      <c r="C200" s="2"/>
      <c r="D200" s="2"/>
      <c r="E200" s="2"/>
      <c r="F200" s="2"/>
      <c r="G200" s="2"/>
    </row>
    <row r="201" spans="2:7" ht="15.75" customHeight="1" x14ac:dyDescent="0.25">
      <c r="B201" s="2"/>
      <c r="C201" s="2"/>
      <c r="D201" s="2"/>
      <c r="E201" s="2"/>
      <c r="F201" s="2"/>
      <c r="G201" s="2"/>
    </row>
    <row r="202" spans="2:7" ht="15.75" customHeight="1" x14ac:dyDescent="0.25">
      <c r="B202" s="2"/>
      <c r="C202" s="2"/>
      <c r="D202" s="2"/>
      <c r="E202" s="2"/>
      <c r="F202" s="2"/>
      <c r="G202" s="2"/>
    </row>
    <row r="203" spans="2:7" ht="15.75" customHeight="1" x14ac:dyDescent="0.25">
      <c r="B203" s="2"/>
      <c r="C203" s="2"/>
      <c r="D203" s="2"/>
      <c r="E203" s="2"/>
      <c r="F203" s="2"/>
      <c r="G203" s="2"/>
    </row>
    <row r="204" spans="2:7" ht="15.75" customHeight="1" x14ac:dyDescent="0.25">
      <c r="B204" s="2"/>
      <c r="C204" s="2"/>
      <c r="D204" s="2"/>
      <c r="E204" s="2"/>
      <c r="F204" s="2"/>
      <c r="G204" s="2"/>
    </row>
    <row r="205" spans="2:7" ht="15.75" customHeight="1" x14ac:dyDescent="0.25">
      <c r="B205" s="2"/>
      <c r="C205" s="2"/>
      <c r="D205" s="2"/>
      <c r="E205" s="2"/>
      <c r="F205" s="2"/>
      <c r="G205" s="2"/>
    </row>
    <row r="206" spans="2:7" ht="15.75" customHeight="1" x14ac:dyDescent="0.25">
      <c r="B206" s="2"/>
      <c r="C206" s="2"/>
      <c r="D206" s="2"/>
      <c r="E206" s="2"/>
      <c r="F206" s="2"/>
      <c r="G206" s="2"/>
    </row>
    <row r="207" spans="2:7" ht="15.75" customHeight="1" x14ac:dyDescent="0.25">
      <c r="B207" s="2"/>
      <c r="C207" s="2"/>
      <c r="D207" s="2"/>
      <c r="E207" s="2"/>
      <c r="F207" s="2"/>
      <c r="G207" s="2"/>
    </row>
    <row r="208" spans="2:7" ht="15.75" customHeight="1" x14ac:dyDescent="0.25">
      <c r="B208" s="2"/>
      <c r="C208" s="2"/>
      <c r="D208" s="2"/>
      <c r="E208" s="2"/>
      <c r="F208" s="2"/>
      <c r="G208" s="2"/>
    </row>
    <row r="209" spans="2:7" ht="15.75" customHeight="1" x14ac:dyDescent="0.25">
      <c r="B209" s="2"/>
      <c r="C209" s="2"/>
      <c r="D209" s="2"/>
      <c r="E209" s="2"/>
      <c r="F209" s="2"/>
      <c r="G209" s="2"/>
    </row>
    <row r="210" spans="2:7" ht="15.75" customHeight="1" x14ac:dyDescent="0.25">
      <c r="B210" s="2"/>
      <c r="C210" s="2"/>
      <c r="D210" s="2"/>
      <c r="E210" s="2"/>
      <c r="F210" s="2"/>
      <c r="G210" s="2"/>
    </row>
    <row r="211" spans="2:7" ht="15.75" customHeight="1" x14ac:dyDescent="0.25">
      <c r="B211" s="2"/>
      <c r="C211" s="2"/>
      <c r="D211" s="2"/>
      <c r="E211" s="2"/>
      <c r="F211" s="2"/>
      <c r="G211" s="2"/>
    </row>
    <row r="212" spans="2:7" ht="15.75" customHeight="1" x14ac:dyDescent="0.25">
      <c r="B212" s="2"/>
      <c r="C212" s="2"/>
      <c r="D212" s="2"/>
      <c r="E212" s="2"/>
      <c r="F212" s="2"/>
      <c r="G212" s="2"/>
    </row>
    <row r="213" spans="2:7" ht="15.75" customHeight="1" x14ac:dyDescent="0.25">
      <c r="B213" s="2"/>
      <c r="C213" s="2"/>
      <c r="D213" s="2"/>
      <c r="E213" s="2"/>
      <c r="F213" s="2"/>
      <c r="G213" s="2"/>
    </row>
    <row r="214" spans="2:7" ht="15.75" customHeight="1" x14ac:dyDescent="0.25">
      <c r="B214" s="2"/>
      <c r="C214" s="2"/>
      <c r="D214" s="2"/>
      <c r="E214" s="2"/>
      <c r="F214" s="2"/>
      <c r="G214" s="2"/>
    </row>
    <row r="215" spans="2:7" ht="15.75" customHeight="1" x14ac:dyDescent="0.25">
      <c r="B215" s="2"/>
      <c r="C215" s="2"/>
      <c r="D215" s="2"/>
      <c r="E215" s="2"/>
      <c r="F215" s="2"/>
      <c r="G215" s="2"/>
    </row>
    <row r="216" spans="2:7" ht="15.75" customHeight="1" x14ac:dyDescent="0.25">
      <c r="B216" s="2"/>
      <c r="C216" s="2"/>
      <c r="D216" s="2"/>
      <c r="E216" s="2"/>
      <c r="F216" s="2"/>
      <c r="G216" s="2"/>
    </row>
    <row r="217" spans="2:7" ht="15.75" customHeight="1" x14ac:dyDescent="0.25">
      <c r="B217" s="2"/>
      <c r="C217" s="2"/>
      <c r="D217" s="2"/>
      <c r="E217" s="2"/>
      <c r="F217" s="2"/>
      <c r="G217" s="2"/>
    </row>
    <row r="218" spans="2:7" ht="15.75" customHeight="1" x14ac:dyDescent="0.25">
      <c r="B218" s="2"/>
      <c r="C218" s="2"/>
      <c r="D218" s="2"/>
      <c r="E218" s="2"/>
      <c r="F218" s="2"/>
      <c r="G218" s="2"/>
    </row>
    <row r="219" spans="2:7" ht="15.75" customHeight="1" x14ac:dyDescent="0.25">
      <c r="B219" s="2"/>
      <c r="C219" s="2"/>
      <c r="D219" s="2"/>
      <c r="E219" s="2"/>
      <c r="F219" s="2"/>
      <c r="G219" s="2"/>
    </row>
    <row r="220" spans="2:7" ht="15.75" customHeight="1" x14ac:dyDescent="0.25">
      <c r="B220" s="2"/>
      <c r="C220" s="2"/>
      <c r="D220" s="2"/>
      <c r="E220" s="2"/>
      <c r="F220" s="2"/>
      <c r="G220" s="2"/>
    </row>
    <row r="221" spans="2:7" ht="15.75" customHeight="1" x14ac:dyDescent="0.25">
      <c r="B221" s="2"/>
      <c r="C221" s="2"/>
      <c r="D221" s="2"/>
      <c r="E221" s="2"/>
      <c r="F221" s="2"/>
      <c r="G221" s="2"/>
    </row>
    <row r="222" spans="2:7" ht="15.75" customHeight="1" x14ac:dyDescent="0.25">
      <c r="B222" s="2"/>
      <c r="C222" s="2"/>
      <c r="D222" s="2"/>
      <c r="E222" s="2"/>
      <c r="F222" s="2"/>
      <c r="G222" s="2"/>
    </row>
    <row r="223" spans="2:7" ht="15.75" customHeight="1" x14ac:dyDescent="0.25">
      <c r="B223" s="2"/>
      <c r="C223" s="2"/>
      <c r="D223" s="2"/>
      <c r="E223" s="2"/>
      <c r="F223" s="2"/>
      <c r="G223" s="2"/>
    </row>
    <row r="224" spans="2:7" ht="15.75" customHeight="1" x14ac:dyDescent="0.25">
      <c r="B224" s="2"/>
      <c r="C224" s="2"/>
      <c r="D224" s="2"/>
      <c r="E224" s="2"/>
      <c r="F224" s="2"/>
      <c r="G224" s="2"/>
    </row>
    <row r="225" spans="2:7" ht="15.75" customHeight="1" x14ac:dyDescent="0.25">
      <c r="B225" s="2"/>
      <c r="C225" s="2"/>
      <c r="D225" s="2"/>
      <c r="E225" s="2"/>
      <c r="F225" s="2"/>
      <c r="G225" s="2"/>
    </row>
    <row r="226" spans="2:7" ht="15.75" customHeight="1" x14ac:dyDescent="0.25">
      <c r="B226" s="2"/>
      <c r="C226" s="2"/>
      <c r="D226" s="2"/>
      <c r="E226" s="2"/>
      <c r="F226" s="2"/>
      <c r="G226" s="2"/>
    </row>
    <row r="227" spans="2:7" ht="15.75" customHeight="1" x14ac:dyDescent="0.25">
      <c r="B227" s="2"/>
      <c r="C227" s="2"/>
      <c r="D227" s="2"/>
      <c r="E227" s="2"/>
      <c r="F227" s="2"/>
      <c r="G227" s="2"/>
    </row>
    <row r="228" spans="2:7" ht="15.75" customHeight="1" x14ac:dyDescent="0.25">
      <c r="B228" s="2"/>
      <c r="C228" s="2"/>
      <c r="D228" s="2"/>
      <c r="E228" s="2"/>
      <c r="F228" s="2"/>
      <c r="G228" s="2"/>
    </row>
    <row r="229" spans="2:7" ht="15.75" customHeight="1" x14ac:dyDescent="0.25">
      <c r="B229" s="2"/>
      <c r="C229" s="2"/>
      <c r="D229" s="2"/>
      <c r="E229" s="2"/>
      <c r="F229" s="2"/>
      <c r="G229" s="2"/>
    </row>
    <row r="230" spans="2:7" ht="15.75" customHeight="1" x14ac:dyDescent="0.25">
      <c r="B230" s="2"/>
      <c r="C230" s="2"/>
      <c r="D230" s="2"/>
      <c r="E230" s="2"/>
      <c r="F230" s="2"/>
      <c r="G230" s="2"/>
    </row>
    <row r="231" spans="2:7" ht="15.75" customHeight="1" x14ac:dyDescent="0.25">
      <c r="B231" s="2"/>
      <c r="C231" s="2"/>
      <c r="D231" s="2"/>
      <c r="E231" s="2"/>
      <c r="F231" s="2"/>
      <c r="G231" s="2"/>
    </row>
    <row r="232" spans="2:7" ht="15.75" customHeight="1" x14ac:dyDescent="0.25">
      <c r="B232" s="2"/>
      <c r="C232" s="2"/>
      <c r="D232" s="2"/>
      <c r="E232" s="2"/>
      <c r="F232" s="2"/>
      <c r="G232" s="2"/>
    </row>
    <row r="233" spans="2:7" ht="15.75" customHeight="1" x14ac:dyDescent="0.25">
      <c r="B233" s="2"/>
      <c r="C233" s="2"/>
      <c r="D233" s="2"/>
      <c r="E233" s="2"/>
      <c r="F233" s="2"/>
      <c r="G233" s="2"/>
    </row>
    <row r="234" spans="2:7" ht="15.75" customHeight="1" x14ac:dyDescent="0.25">
      <c r="B234" s="2"/>
      <c r="C234" s="2"/>
      <c r="D234" s="2"/>
      <c r="E234" s="2"/>
      <c r="F234" s="2"/>
      <c r="G234" s="2"/>
    </row>
    <row r="235" spans="2:7" ht="15.75" customHeight="1" x14ac:dyDescent="0.25">
      <c r="B235" s="2"/>
      <c r="C235" s="2"/>
      <c r="D235" s="2"/>
      <c r="E235" s="2"/>
      <c r="F235" s="2"/>
      <c r="G235" s="2"/>
    </row>
    <row r="236" spans="2:7" ht="15.75" customHeight="1" x14ac:dyDescent="0.25">
      <c r="B236" s="2"/>
      <c r="C236" s="2"/>
      <c r="D236" s="2"/>
      <c r="E236" s="2"/>
      <c r="F236" s="2"/>
      <c r="G236" s="2"/>
    </row>
    <row r="237" spans="2:7" ht="15.75" customHeight="1" x14ac:dyDescent="0.25">
      <c r="B237" s="2"/>
      <c r="C237" s="2"/>
      <c r="D237" s="2"/>
      <c r="E237" s="2"/>
      <c r="F237" s="2"/>
      <c r="G237" s="2"/>
    </row>
    <row r="238" spans="2:7" ht="15.75" customHeight="1" x14ac:dyDescent="0.25">
      <c r="B238" s="2"/>
      <c r="C238" s="2"/>
      <c r="D238" s="2"/>
      <c r="E238" s="2"/>
      <c r="F238" s="2"/>
      <c r="G238" s="2"/>
    </row>
    <row r="239" spans="2:7" ht="15.75" customHeight="1" x14ac:dyDescent="0.25">
      <c r="B239" s="2"/>
      <c r="C239" s="2"/>
      <c r="D239" s="2"/>
      <c r="E239" s="2"/>
      <c r="F239" s="2"/>
      <c r="G239" s="2"/>
    </row>
    <row r="240" spans="2:7" ht="15.75" customHeight="1" x14ac:dyDescent="0.25">
      <c r="B240" s="2"/>
      <c r="C240" s="2"/>
      <c r="D240" s="2"/>
      <c r="E240" s="2"/>
      <c r="F240" s="2"/>
      <c r="G240" s="2"/>
    </row>
    <row r="241" spans="2:7" ht="15.75" customHeight="1" x14ac:dyDescent="0.25">
      <c r="B241" s="2"/>
      <c r="C241" s="2"/>
      <c r="D241" s="2"/>
      <c r="E241" s="2"/>
      <c r="F241" s="2"/>
      <c r="G241" s="2"/>
    </row>
    <row r="242" spans="2:7" ht="15.75" customHeight="1" x14ac:dyDescent="0.25">
      <c r="B242" s="2"/>
      <c r="C242" s="2"/>
      <c r="D242" s="2"/>
      <c r="E242" s="2"/>
      <c r="F242" s="2"/>
      <c r="G242" s="2"/>
    </row>
    <row r="243" spans="2:7" ht="15.75" customHeight="1" x14ac:dyDescent="0.25">
      <c r="B243" s="2"/>
      <c r="C243" s="2"/>
      <c r="D243" s="2"/>
      <c r="E243" s="2"/>
      <c r="F243" s="2"/>
      <c r="G243" s="2"/>
    </row>
    <row r="244" spans="2:7" ht="15.75" customHeight="1" x14ac:dyDescent="0.25">
      <c r="B244" s="2"/>
      <c r="C244" s="2"/>
      <c r="D244" s="2"/>
      <c r="E244" s="2"/>
      <c r="F244" s="2"/>
      <c r="G244" s="2"/>
    </row>
    <row r="245" spans="2:7" ht="15.75" customHeight="1" x14ac:dyDescent="0.25">
      <c r="B245" s="2"/>
      <c r="C245" s="2"/>
      <c r="D245" s="2"/>
      <c r="E245" s="2"/>
      <c r="F245" s="2"/>
      <c r="G245" s="2"/>
    </row>
    <row r="246" spans="2:7" ht="15.75" customHeight="1" x14ac:dyDescent="0.25">
      <c r="B246" s="2"/>
      <c r="C246" s="2"/>
      <c r="D246" s="2"/>
      <c r="E246" s="2"/>
      <c r="F246" s="2"/>
      <c r="G246" s="2"/>
    </row>
    <row r="247" spans="2:7" ht="15.75" customHeight="1" x14ac:dyDescent="0.25">
      <c r="B247" s="2"/>
      <c r="C247" s="2"/>
      <c r="D247" s="2"/>
      <c r="E247" s="2"/>
      <c r="F247" s="2"/>
      <c r="G247" s="2"/>
    </row>
    <row r="248" spans="2:7" ht="15.75" customHeight="1" x14ac:dyDescent="0.25">
      <c r="B248" s="2"/>
      <c r="C248" s="2"/>
      <c r="D248" s="2"/>
      <c r="E248" s="2"/>
      <c r="F248" s="2"/>
      <c r="G248" s="2"/>
    </row>
    <row r="249" spans="2:7" ht="15.75" customHeight="1" x14ac:dyDescent="0.25">
      <c r="B249" s="2"/>
      <c r="C249" s="2"/>
      <c r="D249" s="2"/>
      <c r="E249" s="2"/>
      <c r="F249" s="2"/>
      <c r="G249" s="2"/>
    </row>
    <row r="250" spans="2:7" ht="15.75" customHeight="1" x14ac:dyDescent="0.25">
      <c r="B250" s="2"/>
      <c r="C250" s="2"/>
      <c r="D250" s="2"/>
      <c r="E250" s="2"/>
      <c r="F250" s="2"/>
      <c r="G250" s="2"/>
    </row>
    <row r="251" spans="2:7" ht="15.75" customHeight="1" x14ac:dyDescent="0.25">
      <c r="B251" s="2"/>
      <c r="C251" s="2"/>
      <c r="D251" s="2"/>
      <c r="E251" s="2"/>
      <c r="F251" s="2"/>
      <c r="G251" s="2"/>
    </row>
    <row r="252" spans="2:7" ht="15.75" customHeight="1" x14ac:dyDescent="0.25">
      <c r="B252" s="2"/>
      <c r="C252" s="2"/>
      <c r="D252" s="2"/>
      <c r="E252" s="2"/>
      <c r="F252" s="2"/>
      <c r="G252" s="2"/>
    </row>
    <row r="253" spans="2:7" ht="15.75" customHeight="1" x14ac:dyDescent="0.25">
      <c r="B253" s="2"/>
      <c r="C253" s="2"/>
      <c r="D253" s="2"/>
      <c r="E253" s="2"/>
      <c r="F253" s="2"/>
      <c r="G253" s="2"/>
    </row>
    <row r="254" spans="2:7" ht="15.75" customHeight="1" x14ac:dyDescent="0.25">
      <c r="B254" s="2"/>
      <c r="C254" s="2"/>
      <c r="D254" s="2"/>
      <c r="E254" s="2"/>
      <c r="F254" s="2"/>
      <c r="G254" s="2"/>
    </row>
    <row r="255" spans="2:7" ht="15.75" customHeight="1" x14ac:dyDescent="0.25">
      <c r="B255" s="2"/>
      <c r="C255" s="2"/>
      <c r="D255" s="2"/>
      <c r="E255" s="2"/>
      <c r="F255" s="2"/>
      <c r="G255" s="2"/>
    </row>
    <row r="256" spans="2:7" ht="15.75" customHeight="1" x14ac:dyDescent="0.25">
      <c r="B256" s="2"/>
      <c r="C256" s="2"/>
      <c r="D256" s="2"/>
      <c r="E256" s="2"/>
      <c r="F256" s="2"/>
      <c r="G256" s="2"/>
    </row>
    <row r="257" spans="2:7" ht="15.75" customHeight="1" x14ac:dyDescent="0.25">
      <c r="B257" s="2"/>
      <c r="C257" s="2"/>
      <c r="D257" s="2"/>
      <c r="E257" s="2"/>
      <c r="F257" s="2"/>
      <c r="G257" s="2"/>
    </row>
    <row r="258" spans="2:7" ht="15.75" customHeight="1" x14ac:dyDescent="0.25">
      <c r="B258" s="2"/>
      <c r="C258" s="2"/>
      <c r="D258" s="2"/>
      <c r="E258" s="2"/>
      <c r="F258" s="2"/>
      <c r="G258" s="2"/>
    </row>
    <row r="259" spans="2:7" ht="15.75" customHeight="1" x14ac:dyDescent="0.25">
      <c r="B259" s="2"/>
      <c r="C259" s="2"/>
      <c r="D259" s="2"/>
      <c r="E259" s="2"/>
      <c r="F259" s="2"/>
      <c r="G259" s="2"/>
    </row>
    <row r="260" spans="2:7" ht="15.75" customHeight="1" x14ac:dyDescent="0.25">
      <c r="B260" s="2"/>
      <c r="C260" s="2"/>
      <c r="D260" s="2"/>
      <c r="E260" s="2"/>
      <c r="F260" s="2"/>
      <c r="G260" s="2"/>
    </row>
    <row r="261" spans="2:7" ht="15.75" customHeight="1" x14ac:dyDescent="0.25">
      <c r="B261" s="2"/>
      <c r="C261" s="2"/>
      <c r="D261" s="2"/>
      <c r="E261" s="2"/>
      <c r="F261" s="2"/>
      <c r="G261" s="2"/>
    </row>
    <row r="262" spans="2:7" ht="15.75" customHeight="1" x14ac:dyDescent="0.25">
      <c r="B262" s="2"/>
      <c r="C262" s="2"/>
      <c r="D262" s="2"/>
      <c r="E262" s="2"/>
      <c r="F262" s="2"/>
      <c r="G262" s="2"/>
    </row>
    <row r="263" spans="2:7" ht="15.75" customHeight="1" x14ac:dyDescent="0.25">
      <c r="B263" s="2"/>
      <c r="C263" s="2"/>
      <c r="D263" s="2"/>
      <c r="E263" s="2"/>
      <c r="F263" s="2"/>
      <c r="G263" s="2"/>
    </row>
    <row r="264" spans="2:7" ht="15.75" customHeight="1" x14ac:dyDescent="0.25">
      <c r="B264" s="2"/>
      <c r="C264" s="2"/>
      <c r="D264" s="2"/>
      <c r="E264" s="2"/>
      <c r="F264" s="2"/>
      <c r="G264" s="2"/>
    </row>
    <row r="265" spans="2:7" ht="15.75" customHeight="1" x14ac:dyDescent="0.25">
      <c r="B265" s="2"/>
      <c r="C265" s="2"/>
      <c r="D265" s="2"/>
      <c r="E265" s="2"/>
      <c r="F265" s="2"/>
      <c r="G265" s="2"/>
    </row>
    <row r="266" spans="2:7" ht="15.75" customHeight="1" x14ac:dyDescent="0.25">
      <c r="B266" s="2"/>
      <c r="C266" s="2"/>
      <c r="D266" s="2"/>
      <c r="E266" s="2"/>
      <c r="F266" s="2"/>
      <c r="G266" s="2"/>
    </row>
    <row r="267" spans="2:7" ht="15.75" customHeight="1" x14ac:dyDescent="0.25">
      <c r="B267" s="2"/>
      <c r="C267" s="2"/>
      <c r="D267" s="2"/>
      <c r="E267" s="2"/>
      <c r="F267" s="2"/>
      <c r="G267" s="2"/>
    </row>
    <row r="268" spans="2:7" ht="15.75" customHeight="1" x14ac:dyDescent="0.25">
      <c r="B268" s="2"/>
      <c r="C268" s="2"/>
      <c r="D268" s="2"/>
      <c r="E268" s="2"/>
      <c r="F268" s="2"/>
      <c r="G268" s="2"/>
    </row>
    <row r="269" spans="2:7" ht="15.75" customHeight="1" x14ac:dyDescent="0.25">
      <c r="B269" s="2"/>
      <c r="C269" s="2"/>
      <c r="D269" s="2"/>
      <c r="E269" s="2"/>
      <c r="F269" s="2"/>
      <c r="G269" s="2"/>
    </row>
    <row r="270" spans="2:7" ht="15.75" customHeight="1" x14ac:dyDescent="0.25">
      <c r="B270" s="2"/>
      <c r="C270" s="2"/>
      <c r="D270" s="2"/>
      <c r="E270" s="2"/>
      <c r="F270" s="2"/>
      <c r="G270" s="2"/>
    </row>
    <row r="271" spans="2:7" ht="15.75" customHeight="1" x14ac:dyDescent="0.25">
      <c r="B271" s="2"/>
      <c r="C271" s="2"/>
      <c r="D271" s="2"/>
      <c r="E271" s="2"/>
      <c r="F271" s="2"/>
      <c r="G271" s="2"/>
    </row>
    <row r="272" spans="2:7" ht="15.75" customHeight="1" x14ac:dyDescent="0.25">
      <c r="B272" s="2"/>
      <c r="C272" s="2"/>
      <c r="D272" s="2"/>
      <c r="E272" s="2"/>
      <c r="F272" s="2"/>
      <c r="G272" s="2"/>
    </row>
    <row r="273" spans="2:7" ht="15.75" customHeight="1" x14ac:dyDescent="0.25">
      <c r="B273" s="2"/>
      <c r="C273" s="2"/>
      <c r="D273" s="2"/>
      <c r="E273" s="2"/>
      <c r="F273" s="2"/>
      <c r="G273" s="2"/>
    </row>
    <row r="274" spans="2:7" ht="15.75" customHeight="1" x14ac:dyDescent="0.25">
      <c r="B274" s="2"/>
      <c r="C274" s="2"/>
      <c r="D274" s="2"/>
      <c r="E274" s="2"/>
      <c r="F274" s="2"/>
      <c r="G274" s="2"/>
    </row>
    <row r="275" spans="2:7" ht="15.75" customHeight="1" x14ac:dyDescent="0.25">
      <c r="B275" s="2"/>
      <c r="C275" s="2"/>
      <c r="D275" s="2"/>
      <c r="E275" s="2"/>
      <c r="F275" s="2"/>
      <c r="G275" s="2"/>
    </row>
    <row r="276" spans="2:7" ht="15.75" customHeight="1" x14ac:dyDescent="0.25">
      <c r="B276" s="2"/>
      <c r="C276" s="2"/>
      <c r="D276" s="2"/>
      <c r="E276" s="2"/>
      <c r="F276" s="2"/>
      <c r="G276" s="2"/>
    </row>
    <row r="277" spans="2:7" ht="15.75" customHeight="1" x14ac:dyDescent="0.25">
      <c r="B277" s="2"/>
      <c r="C277" s="2"/>
      <c r="D277" s="2"/>
      <c r="E277" s="2"/>
      <c r="F277" s="2"/>
      <c r="G277" s="2"/>
    </row>
    <row r="278" spans="2:7" ht="15.75" customHeight="1" x14ac:dyDescent="0.25">
      <c r="B278" s="2"/>
      <c r="C278" s="2"/>
      <c r="D278" s="2"/>
      <c r="E278" s="2"/>
      <c r="F278" s="2"/>
      <c r="G278" s="2"/>
    </row>
    <row r="279" spans="2:7" ht="15.75" customHeight="1" x14ac:dyDescent="0.25">
      <c r="B279" s="2"/>
      <c r="C279" s="2"/>
      <c r="D279" s="2"/>
      <c r="E279" s="2"/>
      <c r="F279" s="2"/>
      <c r="G279" s="2"/>
    </row>
    <row r="280" spans="2:7" ht="15.75" customHeight="1" x14ac:dyDescent="0.25">
      <c r="B280" s="2"/>
      <c r="C280" s="2"/>
      <c r="D280" s="2"/>
      <c r="E280" s="2"/>
      <c r="F280" s="2"/>
      <c r="G280" s="2"/>
    </row>
    <row r="281" spans="2:7" ht="15.75" customHeight="1" x14ac:dyDescent="0.25">
      <c r="B281" s="2"/>
      <c r="C281" s="2"/>
      <c r="D281" s="2"/>
      <c r="E281" s="2"/>
      <c r="F281" s="2"/>
      <c r="G281" s="2"/>
    </row>
    <row r="282" spans="2:7" ht="15.75" customHeight="1" x14ac:dyDescent="0.25">
      <c r="B282" s="2"/>
      <c r="C282" s="2"/>
      <c r="D282" s="2"/>
      <c r="E282" s="2"/>
      <c r="F282" s="2"/>
      <c r="G282" s="2"/>
    </row>
    <row r="283" spans="2:7" ht="15.75" customHeight="1" x14ac:dyDescent="0.25">
      <c r="B283" s="2"/>
      <c r="C283" s="2"/>
      <c r="D283" s="2"/>
      <c r="E283" s="2"/>
      <c r="F283" s="2"/>
      <c r="G283" s="2"/>
    </row>
    <row r="284" spans="2:7" ht="15.75" customHeight="1" x14ac:dyDescent="0.25">
      <c r="B284" s="2"/>
      <c r="C284" s="2"/>
      <c r="D284" s="2"/>
      <c r="E284" s="2"/>
      <c r="F284" s="2"/>
      <c r="G284" s="2"/>
    </row>
    <row r="285" spans="2:7" ht="15.75" customHeight="1" x14ac:dyDescent="0.25">
      <c r="B285" s="2"/>
      <c r="C285" s="2"/>
      <c r="D285" s="2"/>
      <c r="E285" s="2"/>
      <c r="F285" s="2"/>
      <c r="G285" s="2"/>
    </row>
    <row r="286" spans="2:7" ht="15.75" customHeight="1" x14ac:dyDescent="0.25">
      <c r="B286" s="2"/>
      <c r="C286" s="2"/>
      <c r="D286" s="2"/>
      <c r="E286" s="2"/>
      <c r="F286" s="2"/>
      <c r="G286" s="2"/>
    </row>
    <row r="287" spans="2:7" ht="15.75" customHeight="1" x14ac:dyDescent="0.25">
      <c r="B287" s="2"/>
      <c r="C287" s="2"/>
      <c r="D287" s="2"/>
      <c r="E287" s="2"/>
      <c r="F287" s="2"/>
      <c r="G287" s="2"/>
    </row>
    <row r="288" spans="2:7" ht="15.75" customHeight="1" x14ac:dyDescent="0.25">
      <c r="B288" s="2"/>
      <c r="C288" s="2"/>
      <c r="D288" s="2"/>
      <c r="E288" s="2"/>
      <c r="F288" s="2"/>
      <c r="G288" s="2"/>
    </row>
    <row r="289" spans="2:7" ht="15.75" customHeight="1" x14ac:dyDescent="0.25">
      <c r="B289" s="2"/>
      <c r="C289" s="2"/>
      <c r="D289" s="2"/>
      <c r="E289" s="2"/>
      <c r="F289" s="2"/>
      <c r="G289" s="2"/>
    </row>
    <row r="290" spans="2:7" ht="15.75" customHeight="1" x14ac:dyDescent="0.25">
      <c r="B290" s="2"/>
      <c r="C290" s="2"/>
      <c r="D290" s="2"/>
      <c r="E290" s="2"/>
      <c r="F290" s="2"/>
      <c r="G290" s="2"/>
    </row>
    <row r="291" spans="2:7" ht="15.75" customHeight="1" x14ac:dyDescent="0.25">
      <c r="B291" s="2"/>
      <c r="C291" s="2"/>
      <c r="D291" s="2"/>
      <c r="E291" s="2"/>
      <c r="F291" s="2"/>
      <c r="G291" s="2"/>
    </row>
    <row r="292" spans="2:7" ht="15.75" customHeight="1" x14ac:dyDescent="0.25">
      <c r="B292" s="2"/>
      <c r="C292" s="2"/>
      <c r="D292" s="2"/>
      <c r="E292" s="2"/>
      <c r="F292" s="2"/>
      <c r="G292" s="2"/>
    </row>
    <row r="293" spans="2:7" ht="15.75" customHeight="1" x14ac:dyDescent="0.25">
      <c r="B293" s="2"/>
      <c r="C293" s="2"/>
      <c r="D293" s="2"/>
      <c r="E293" s="2"/>
      <c r="F293" s="2"/>
      <c r="G293" s="2"/>
    </row>
    <row r="294" spans="2:7" ht="15.75" customHeight="1" x14ac:dyDescent="0.25">
      <c r="B294" s="2"/>
      <c r="C294" s="2"/>
      <c r="D294" s="2"/>
      <c r="E294" s="2"/>
      <c r="F294" s="2"/>
      <c r="G294" s="2"/>
    </row>
    <row r="295" spans="2:7" ht="15.75" customHeight="1" x14ac:dyDescent="0.25">
      <c r="B295" s="2"/>
      <c r="C295" s="2"/>
      <c r="D295" s="2"/>
      <c r="E295" s="2"/>
      <c r="F295" s="2"/>
      <c r="G295" s="2"/>
    </row>
    <row r="296" spans="2:7" ht="15.75" customHeight="1" x14ac:dyDescent="0.25">
      <c r="B296" s="2"/>
      <c r="C296" s="2"/>
      <c r="D296" s="2"/>
      <c r="E296" s="2"/>
      <c r="F296" s="2"/>
      <c r="G296" s="2"/>
    </row>
    <row r="297" spans="2:7" ht="15.75" customHeight="1" x14ac:dyDescent="0.25">
      <c r="B297" s="2"/>
      <c r="C297" s="2"/>
      <c r="D297" s="2"/>
      <c r="E297" s="2"/>
      <c r="F297" s="2"/>
      <c r="G297" s="2"/>
    </row>
    <row r="298" spans="2:7" ht="15.75" customHeight="1" x14ac:dyDescent="0.25">
      <c r="B298" s="2"/>
      <c r="C298" s="2"/>
      <c r="D298" s="2"/>
      <c r="E298" s="2"/>
      <c r="F298" s="2"/>
      <c r="G298" s="2"/>
    </row>
    <row r="299" spans="2:7" ht="15.75" customHeight="1" x14ac:dyDescent="0.25">
      <c r="B299" s="2"/>
      <c r="C299" s="2"/>
      <c r="D299" s="2"/>
      <c r="E299" s="2"/>
      <c r="F299" s="2"/>
      <c r="G299" s="2"/>
    </row>
    <row r="300" spans="2:7" ht="15.75" customHeight="1" x14ac:dyDescent="0.25">
      <c r="B300" s="2"/>
      <c r="C300" s="2"/>
      <c r="D300" s="2"/>
      <c r="E300" s="2"/>
      <c r="F300" s="2"/>
      <c r="G300" s="2"/>
    </row>
    <row r="301" spans="2:7" ht="15.75" customHeight="1" x14ac:dyDescent="0.25">
      <c r="B301" s="2"/>
      <c r="C301" s="2"/>
      <c r="D301" s="2"/>
      <c r="E301" s="2"/>
      <c r="F301" s="2"/>
      <c r="G301" s="2"/>
    </row>
    <row r="302" spans="2:7" ht="15.75" customHeight="1" x14ac:dyDescent="0.25">
      <c r="B302" s="2"/>
      <c r="C302" s="2"/>
      <c r="D302" s="2"/>
      <c r="E302" s="2"/>
      <c r="F302" s="2"/>
      <c r="G302" s="2"/>
    </row>
    <row r="303" spans="2:7" ht="15.75" customHeight="1" x14ac:dyDescent="0.25">
      <c r="B303" s="2"/>
      <c r="C303" s="2"/>
      <c r="D303" s="2"/>
      <c r="E303" s="2"/>
      <c r="F303" s="2"/>
      <c r="G303" s="2"/>
    </row>
    <row r="304" spans="2:7" ht="15.75" customHeight="1" x14ac:dyDescent="0.25">
      <c r="B304" s="2"/>
      <c r="C304" s="2"/>
      <c r="D304" s="2"/>
      <c r="E304" s="2"/>
      <c r="F304" s="2"/>
      <c r="G304" s="2"/>
    </row>
    <row r="305" spans="2:7" ht="15.75" customHeight="1" x14ac:dyDescent="0.25">
      <c r="B305" s="2"/>
      <c r="C305" s="2"/>
      <c r="D305" s="2"/>
      <c r="E305" s="2"/>
      <c r="F305" s="2"/>
      <c r="G305" s="2"/>
    </row>
    <row r="306" spans="2:7" ht="15.75" customHeight="1" x14ac:dyDescent="0.25">
      <c r="B306" s="2"/>
      <c r="C306" s="2"/>
      <c r="D306" s="2"/>
      <c r="E306" s="2"/>
      <c r="F306" s="2"/>
      <c r="G306" s="2"/>
    </row>
    <row r="307" spans="2:7" ht="15.75" customHeight="1" x14ac:dyDescent="0.25">
      <c r="B307" s="2"/>
      <c r="C307" s="2"/>
      <c r="D307" s="2"/>
      <c r="E307" s="2"/>
      <c r="F307" s="2"/>
      <c r="G307" s="2"/>
    </row>
    <row r="308" spans="2:7" ht="15.75" customHeight="1" x14ac:dyDescent="0.25">
      <c r="B308" s="2"/>
      <c r="C308" s="2"/>
      <c r="D308" s="2"/>
      <c r="E308" s="2"/>
      <c r="F308" s="2"/>
      <c r="G308" s="2"/>
    </row>
    <row r="309" spans="2:7" ht="15.75" customHeight="1" x14ac:dyDescent="0.25">
      <c r="B309" s="2"/>
      <c r="C309" s="2"/>
      <c r="D309" s="2"/>
      <c r="E309" s="2"/>
      <c r="F309" s="2"/>
      <c r="G309" s="2"/>
    </row>
    <row r="310" spans="2:7" ht="15.75" customHeight="1" x14ac:dyDescent="0.25">
      <c r="B310" s="2"/>
      <c r="C310" s="2"/>
      <c r="D310" s="2"/>
      <c r="E310" s="2"/>
      <c r="F310" s="2"/>
      <c r="G310" s="2"/>
    </row>
    <row r="311" spans="2:7" ht="15.75" customHeight="1" x14ac:dyDescent="0.25">
      <c r="B311" s="2"/>
      <c r="C311" s="2"/>
      <c r="D311" s="2"/>
      <c r="E311" s="2"/>
      <c r="F311" s="2"/>
      <c r="G311" s="2"/>
    </row>
    <row r="312" spans="2:7" ht="15.75" customHeight="1" x14ac:dyDescent="0.25">
      <c r="B312" s="2"/>
      <c r="C312" s="2"/>
      <c r="D312" s="2"/>
      <c r="E312" s="2"/>
      <c r="F312" s="2"/>
      <c r="G312" s="2"/>
    </row>
    <row r="313" spans="2:7" ht="15.75" customHeight="1" x14ac:dyDescent="0.25">
      <c r="B313" s="2"/>
      <c r="C313" s="2"/>
      <c r="D313" s="2"/>
      <c r="E313" s="2"/>
      <c r="F313" s="2"/>
      <c r="G313" s="2"/>
    </row>
    <row r="314" spans="2:7" ht="15.75" customHeight="1" x14ac:dyDescent="0.25">
      <c r="B314" s="2"/>
      <c r="C314" s="2"/>
      <c r="D314" s="2"/>
      <c r="E314" s="2"/>
      <c r="F314" s="2"/>
      <c r="G314" s="2"/>
    </row>
    <row r="315" spans="2:7" ht="15.75" customHeight="1" x14ac:dyDescent="0.25">
      <c r="B315" s="2"/>
      <c r="C315" s="2"/>
      <c r="D315" s="2"/>
      <c r="E315" s="2"/>
      <c r="F315" s="2"/>
      <c r="G315" s="2"/>
    </row>
    <row r="316" spans="2:7" ht="15.75" customHeight="1" x14ac:dyDescent="0.25">
      <c r="B316" s="2"/>
      <c r="C316" s="2"/>
      <c r="D316" s="2"/>
      <c r="E316" s="2"/>
      <c r="F316" s="2"/>
      <c r="G316" s="2"/>
    </row>
    <row r="317" spans="2:7" ht="15.75" customHeight="1" x14ac:dyDescent="0.25">
      <c r="B317" s="2"/>
      <c r="C317" s="2"/>
      <c r="D317" s="2"/>
      <c r="E317" s="2"/>
      <c r="F317" s="2"/>
      <c r="G317" s="2"/>
    </row>
    <row r="318" spans="2:7" ht="15.75" customHeight="1" x14ac:dyDescent="0.25">
      <c r="B318" s="2"/>
      <c r="C318" s="2"/>
      <c r="D318" s="2"/>
      <c r="E318" s="2"/>
      <c r="F318" s="2"/>
      <c r="G318" s="2"/>
    </row>
    <row r="319" spans="2:7" ht="15.75" customHeight="1" x14ac:dyDescent="0.25">
      <c r="B319" s="2"/>
      <c r="C319" s="2"/>
      <c r="D319" s="2"/>
      <c r="E319" s="2"/>
      <c r="F319" s="2"/>
      <c r="G319" s="2"/>
    </row>
    <row r="320" spans="2:7" ht="15.75" customHeight="1" x14ac:dyDescent="0.25">
      <c r="B320" s="2"/>
      <c r="C320" s="2"/>
      <c r="D320" s="2"/>
      <c r="E320" s="2"/>
      <c r="F320" s="2"/>
      <c r="G320" s="2"/>
    </row>
    <row r="321" spans="2:7" ht="15.75" customHeight="1" x14ac:dyDescent="0.25">
      <c r="B321" s="2"/>
      <c r="C321" s="2"/>
      <c r="D321" s="2"/>
      <c r="E321" s="2"/>
      <c r="F321" s="2"/>
      <c r="G321" s="2"/>
    </row>
    <row r="322" spans="2:7" ht="15.75" customHeight="1" x14ac:dyDescent="0.25">
      <c r="B322" s="2"/>
      <c r="C322" s="2"/>
      <c r="D322" s="2"/>
      <c r="E322" s="2"/>
      <c r="F322" s="2"/>
      <c r="G322" s="2"/>
    </row>
    <row r="323" spans="2:7" ht="15.75" customHeight="1" x14ac:dyDescent="0.25">
      <c r="B323" s="2"/>
      <c r="C323" s="2"/>
      <c r="D323" s="2"/>
      <c r="E323" s="2"/>
      <c r="F323" s="2"/>
      <c r="G323" s="2"/>
    </row>
    <row r="324" spans="2:7" ht="15.75" customHeight="1" x14ac:dyDescent="0.25">
      <c r="B324" s="2"/>
      <c r="C324" s="2"/>
      <c r="D324" s="2"/>
      <c r="E324" s="2"/>
      <c r="F324" s="2"/>
      <c r="G324" s="2"/>
    </row>
    <row r="325" spans="2:7" ht="15.75" customHeight="1" x14ac:dyDescent="0.25">
      <c r="B325" s="2"/>
      <c r="C325" s="2"/>
      <c r="D325" s="2"/>
      <c r="E325" s="2"/>
      <c r="F325" s="2"/>
      <c r="G325" s="2"/>
    </row>
    <row r="326" spans="2:7" ht="15.75" customHeight="1" x14ac:dyDescent="0.25">
      <c r="B326" s="2"/>
      <c r="C326" s="2"/>
      <c r="D326" s="2"/>
      <c r="E326" s="2"/>
      <c r="F326" s="2"/>
      <c r="G326" s="2"/>
    </row>
    <row r="327" spans="2:7" ht="15.75" customHeight="1" x14ac:dyDescent="0.25">
      <c r="B327" s="2"/>
      <c r="C327" s="2"/>
      <c r="D327" s="2"/>
      <c r="E327" s="2"/>
      <c r="F327" s="2"/>
      <c r="G327" s="2"/>
    </row>
    <row r="328" spans="2:7" ht="15.75" customHeight="1" x14ac:dyDescent="0.25">
      <c r="B328" s="2"/>
      <c r="C328" s="2"/>
      <c r="D328" s="2"/>
      <c r="E328" s="2"/>
      <c r="F328" s="2"/>
      <c r="G328" s="2"/>
    </row>
    <row r="329" spans="2:7" ht="15.75" customHeight="1" x14ac:dyDescent="0.25">
      <c r="B329" s="2"/>
      <c r="C329" s="2"/>
      <c r="D329" s="2"/>
      <c r="E329" s="2"/>
      <c r="F329" s="2"/>
      <c r="G329" s="2"/>
    </row>
    <row r="330" spans="2:7" ht="15.75" customHeight="1" x14ac:dyDescent="0.25">
      <c r="B330" s="2"/>
      <c r="C330" s="2"/>
      <c r="D330" s="2"/>
      <c r="E330" s="2"/>
      <c r="F330" s="2"/>
      <c r="G330" s="2"/>
    </row>
    <row r="331" spans="2:7" ht="15.75" customHeight="1" x14ac:dyDescent="0.25">
      <c r="B331" s="2"/>
      <c r="C331" s="2"/>
      <c r="D331" s="2"/>
      <c r="E331" s="2"/>
      <c r="F331" s="2"/>
      <c r="G331" s="2"/>
    </row>
    <row r="332" spans="2:7" ht="15.75" customHeight="1" x14ac:dyDescent="0.25">
      <c r="B332" s="2"/>
      <c r="C332" s="2"/>
      <c r="D332" s="2"/>
      <c r="E332" s="2"/>
      <c r="F332" s="2"/>
      <c r="G332" s="2"/>
    </row>
    <row r="333" spans="2:7" ht="15.75" customHeight="1" x14ac:dyDescent="0.25">
      <c r="B333" s="2"/>
      <c r="C333" s="2"/>
      <c r="D333" s="2"/>
      <c r="E333" s="2"/>
      <c r="F333" s="2"/>
      <c r="G333" s="2"/>
    </row>
    <row r="334" spans="2:7" ht="15.75" customHeight="1" x14ac:dyDescent="0.25">
      <c r="B334" s="2"/>
      <c r="C334" s="2"/>
      <c r="D334" s="2"/>
      <c r="E334" s="2"/>
      <c r="F334" s="2"/>
      <c r="G334" s="2"/>
    </row>
    <row r="335" spans="2:7" ht="15.75" customHeight="1" x14ac:dyDescent="0.25">
      <c r="B335" s="2"/>
      <c r="C335" s="2"/>
      <c r="D335" s="2"/>
      <c r="E335" s="2"/>
      <c r="F335" s="2"/>
      <c r="G335" s="2"/>
    </row>
    <row r="336" spans="2:7" ht="15.75" customHeight="1" x14ac:dyDescent="0.25">
      <c r="B336" s="2"/>
      <c r="C336" s="2"/>
      <c r="D336" s="2"/>
      <c r="E336" s="2"/>
      <c r="F336" s="2"/>
      <c r="G336" s="2"/>
    </row>
    <row r="337" spans="2:7" ht="15.75" customHeight="1" x14ac:dyDescent="0.25">
      <c r="B337" s="2"/>
      <c r="C337" s="2"/>
      <c r="D337" s="2"/>
      <c r="E337" s="2"/>
      <c r="F337" s="2"/>
      <c r="G337" s="2"/>
    </row>
    <row r="338" spans="2:7" ht="15.75" customHeight="1" x14ac:dyDescent="0.25">
      <c r="B338" s="2"/>
      <c r="C338" s="2"/>
      <c r="D338" s="2"/>
      <c r="E338" s="2"/>
      <c r="F338" s="2"/>
      <c r="G338" s="2"/>
    </row>
    <row r="339" spans="2:7" ht="15.75" customHeight="1" x14ac:dyDescent="0.25">
      <c r="B339" s="2"/>
      <c r="C339" s="2"/>
      <c r="D339" s="2"/>
      <c r="E339" s="2"/>
      <c r="F339" s="2"/>
      <c r="G339" s="2"/>
    </row>
    <row r="340" spans="2:7" ht="15.75" customHeight="1" x14ac:dyDescent="0.25">
      <c r="B340" s="2"/>
      <c r="C340" s="2"/>
      <c r="D340" s="2"/>
      <c r="E340" s="2"/>
      <c r="F340" s="2"/>
      <c r="G340" s="2"/>
    </row>
    <row r="341" spans="2:7" ht="15.75" customHeight="1" x14ac:dyDescent="0.25">
      <c r="B341" s="2"/>
      <c r="C341" s="2"/>
      <c r="D341" s="2"/>
      <c r="E341" s="2"/>
      <c r="F341" s="2"/>
      <c r="G341" s="2"/>
    </row>
    <row r="342" spans="2:7" ht="15.75" customHeight="1" x14ac:dyDescent="0.25">
      <c r="B342" s="2"/>
      <c r="C342" s="2"/>
      <c r="D342" s="2"/>
      <c r="E342" s="2"/>
      <c r="F342" s="2"/>
      <c r="G342" s="2"/>
    </row>
    <row r="343" spans="2:7" ht="15.75" customHeight="1" x14ac:dyDescent="0.25">
      <c r="B343" s="2"/>
      <c r="C343" s="2"/>
      <c r="D343" s="2"/>
      <c r="E343" s="2"/>
      <c r="F343" s="2"/>
      <c r="G343" s="2"/>
    </row>
    <row r="344" spans="2:7" ht="15.75" customHeight="1" x14ac:dyDescent="0.25">
      <c r="B344" s="2"/>
      <c r="C344" s="2"/>
      <c r="D344" s="2"/>
      <c r="E344" s="2"/>
      <c r="F344" s="2"/>
      <c r="G344" s="2"/>
    </row>
    <row r="345" spans="2:7" ht="15.75" customHeight="1" x14ac:dyDescent="0.25">
      <c r="B345" s="2"/>
      <c r="C345" s="2"/>
      <c r="D345" s="2"/>
      <c r="E345" s="2"/>
      <c r="F345" s="2"/>
      <c r="G345" s="2"/>
    </row>
    <row r="346" spans="2:7" ht="15.75" customHeight="1" x14ac:dyDescent="0.25">
      <c r="B346" s="2"/>
      <c r="C346" s="2"/>
      <c r="D346" s="2"/>
      <c r="E346" s="2"/>
      <c r="F346" s="2"/>
      <c r="G346" s="2"/>
    </row>
    <row r="347" spans="2:7" ht="15.75" customHeight="1" x14ac:dyDescent="0.25">
      <c r="B347" s="2"/>
      <c r="C347" s="2"/>
      <c r="D347" s="2"/>
      <c r="E347" s="2"/>
      <c r="F347" s="2"/>
      <c r="G347" s="2"/>
    </row>
    <row r="348" spans="2:7" ht="15.75" customHeight="1" x14ac:dyDescent="0.25">
      <c r="B348" s="2"/>
      <c r="C348" s="2"/>
      <c r="D348" s="2"/>
      <c r="E348" s="2"/>
      <c r="F348" s="2"/>
      <c r="G348" s="2"/>
    </row>
    <row r="349" spans="2:7" ht="15.75" customHeight="1" x14ac:dyDescent="0.25">
      <c r="B349" s="2"/>
      <c r="C349" s="2"/>
      <c r="D349" s="2"/>
      <c r="E349" s="2"/>
      <c r="F349" s="2"/>
      <c r="G349" s="2"/>
    </row>
    <row r="350" spans="2:7" ht="15.75" customHeight="1" x14ac:dyDescent="0.25">
      <c r="B350" s="2"/>
      <c r="C350" s="2"/>
      <c r="D350" s="2"/>
      <c r="E350" s="2"/>
      <c r="F350" s="2"/>
      <c r="G350" s="2"/>
    </row>
    <row r="351" spans="2:7" ht="15.75" customHeight="1" x14ac:dyDescent="0.25">
      <c r="B351" s="2"/>
      <c r="C351" s="2"/>
      <c r="D351" s="2"/>
      <c r="E351" s="2"/>
      <c r="F351" s="2"/>
      <c r="G351" s="2"/>
    </row>
    <row r="352" spans="2:7" ht="15.75" customHeight="1" x14ac:dyDescent="0.25">
      <c r="B352" s="2"/>
      <c r="C352" s="2"/>
      <c r="D352" s="2"/>
      <c r="E352" s="2"/>
      <c r="F352" s="2"/>
      <c r="G352" s="2"/>
    </row>
    <row r="353" spans="2:7" ht="15.75" customHeight="1" x14ac:dyDescent="0.25">
      <c r="B353" s="2"/>
      <c r="C353" s="2"/>
      <c r="D353" s="2"/>
      <c r="E353" s="2"/>
      <c r="F353" s="2"/>
      <c r="G353" s="2"/>
    </row>
    <row r="354" spans="2:7" ht="15.75" customHeight="1" x14ac:dyDescent="0.25">
      <c r="B354" s="2"/>
      <c r="C354" s="2"/>
      <c r="D354" s="2"/>
      <c r="E354" s="2"/>
      <c r="F354" s="2"/>
      <c r="G354" s="2"/>
    </row>
    <row r="355" spans="2:7" ht="15.75" customHeight="1" x14ac:dyDescent="0.25">
      <c r="B355" s="2"/>
      <c r="C355" s="2"/>
      <c r="D355" s="2"/>
      <c r="E355" s="2"/>
      <c r="F355" s="2"/>
      <c r="G355" s="2"/>
    </row>
    <row r="356" spans="2:7" ht="15.75" customHeight="1" x14ac:dyDescent="0.25">
      <c r="B356" s="2"/>
      <c r="C356" s="2"/>
      <c r="D356" s="2"/>
      <c r="E356" s="2"/>
      <c r="F356" s="2"/>
      <c r="G356" s="2"/>
    </row>
    <row r="357" spans="2:7" ht="15.75" customHeight="1" x14ac:dyDescent="0.25">
      <c r="B357" s="2"/>
      <c r="C357" s="2"/>
      <c r="D357" s="2"/>
      <c r="E357" s="2"/>
      <c r="F357" s="2"/>
      <c r="G357" s="2"/>
    </row>
    <row r="358" spans="2:7" ht="15.75" customHeight="1" x14ac:dyDescent="0.25">
      <c r="B358" s="2"/>
      <c r="C358" s="2"/>
      <c r="D358" s="2"/>
      <c r="E358" s="2"/>
      <c r="F358" s="2"/>
      <c r="G358" s="2"/>
    </row>
    <row r="359" spans="2:7" ht="15.75" customHeight="1" x14ac:dyDescent="0.25">
      <c r="B359" s="2"/>
      <c r="C359" s="2"/>
      <c r="D359" s="2"/>
      <c r="E359" s="2"/>
      <c r="F359" s="2"/>
      <c r="G359" s="2"/>
    </row>
    <row r="360" spans="2:7" ht="15.75" customHeight="1" x14ac:dyDescent="0.25">
      <c r="B360" s="2"/>
      <c r="C360" s="2"/>
      <c r="D360" s="2"/>
      <c r="E360" s="2"/>
      <c r="F360" s="2"/>
      <c r="G360" s="2"/>
    </row>
    <row r="361" spans="2:7" ht="15.75" customHeight="1" x14ac:dyDescent="0.25">
      <c r="B361" s="2"/>
      <c r="C361" s="2"/>
      <c r="D361" s="2"/>
      <c r="E361" s="2"/>
      <c r="F361" s="2"/>
      <c r="G361" s="2"/>
    </row>
    <row r="362" spans="2:7" ht="15.75" customHeight="1" x14ac:dyDescent="0.25">
      <c r="B362" s="2"/>
      <c r="C362" s="2"/>
      <c r="D362" s="2"/>
      <c r="E362" s="2"/>
      <c r="F362" s="2"/>
      <c r="G362" s="2"/>
    </row>
    <row r="363" spans="2:7" ht="15.75" customHeight="1" x14ac:dyDescent="0.25">
      <c r="B363" s="2"/>
      <c r="C363" s="2"/>
      <c r="D363" s="2"/>
      <c r="E363" s="2"/>
      <c r="F363" s="2"/>
      <c r="G363" s="2"/>
    </row>
    <row r="364" spans="2:7" ht="15.75" customHeight="1" x14ac:dyDescent="0.25">
      <c r="B364" s="2"/>
      <c r="C364" s="2"/>
      <c r="D364" s="2"/>
      <c r="E364" s="2"/>
      <c r="F364" s="2"/>
      <c r="G364" s="2"/>
    </row>
    <row r="365" spans="2:7" ht="15.75" customHeight="1" x14ac:dyDescent="0.25">
      <c r="B365" s="2"/>
      <c r="C365" s="2"/>
      <c r="D365" s="2"/>
      <c r="E365" s="2"/>
      <c r="F365" s="2"/>
      <c r="G365" s="2"/>
    </row>
    <row r="366" spans="2:7" ht="15.75" customHeight="1" x14ac:dyDescent="0.25">
      <c r="B366" s="2"/>
      <c r="C366" s="2"/>
      <c r="D366" s="2"/>
      <c r="E366" s="2"/>
      <c r="F366" s="2"/>
      <c r="G366" s="2"/>
    </row>
    <row r="367" spans="2:7" ht="15.75" customHeight="1" x14ac:dyDescent="0.25">
      <c r="B367" s="2"/>
      <c r="C367" s="2"/>
      <c r="D367" s="2"/>
      <c r="E367" s="2"/>
      <c r="F367" s="2"/>
      <c r="G367" s="2"/>
    </row>
    <row r="368" spans="2:7" ht="15.75" customHeight="1" x14ac:dyDescent="0.25">
      <c r="B368" s="2"/>
      <c r="C368" s="2"/>
      <c r="D368" s="2"/>
      <c r="E368" s="2"/>
      <c r="F368" s="2"/>
      <c r="G368" s="2"/>
    </row>
    <row r="369" spans="2:7" ht="15.75" customHeight="1" x14ac:dyDescent="0.25">
      <c r="B369" s="2"/>
      <c r="C369" s="2"/>
      <c r="D369" s="2"/>
      <c r="E369" s="2"/>
      <c r="F369" s="2"/>
      <c r="G369" s="2"/>
    </row>
    <row r="370" spans="2:7" ht="15.75" customHeight="1" x14ac:dyDescent="0.25">
      <c r="B370" s="2"/>
      <c r="C370" s="2"/>
      <c r="D370" s="2"/>
      <c r="E370" s="2"/>
      <c r="F370" s="2"/>
      <c r="G370" s="2"/>
    </row>
    <row r="371" spans="2:7" ht="15.75" customHeight="1" x14ac:dyDescent="0.25">
      <c r="B371" s="2"/>
      <c r="C371" s="2"/>
      <c r="D371" s="2"/>
      <c r="E371" s="2"/>
      <c r="F371" s="2"/>
      <c r="G371" s="2"/>
    </row>
    <row r="372" spans="2:7" ht="15.75" customHeight="1" x14ac:dyDescent="0.25">
      <c r="B372" s="2"/>
      <c r="C372" s="2"/>
      <c r="D372" s="2"/>
      <c r="E372" s="2"/>
      <c r="F372" s="2"/>
      <c r="G372" s="2"/>
    </row>
    <row r="373" spans="2:7" ht="15.75" customHeight="1" x14ac:dyDescent="0.25">
      <c r="B373" s="2"/>
      <c r="C373" s="2"/>
      <c r="D373" s="2"/>
      <c r="E373" s="2"/>
      <c r="F373" s="2"/>
      <c r="G373" s="2"/>
    </row>
    <row r="374" spans="2:7" ht="15.75" customHeight="1" x14ac:dyDescent="0.25">
      <c r="B374" s="2"/>
      <c r="C374" s="2"/>
      <c r="D374" s="2"/>
      <c r="E374" s="2"/>
      <c r="F374" s="2"/>
      <c r="G374" s="2"/>
    </row>
    <row r="375" spans="2:7" ht="15.75" customHeight="1" x14ac:dyDescent="0.25">
      <c r="B375" s="2"/>
      <c r="C375" s="2"/>
      <c r="D375" s="2"/>
      <c r="E375" s="2"/>
      <c r="F375" s="2"/>
      <c r="G375" s="2"/>
    </row>
    <row r="376" spans="2:7" ht="15.75" customHeight="1" x14ac:dyDescent="0.25">
      <c r="B376" s="2"/>
      <c r="C376" s="2"/>
      <c r="D376" s="2"/>
      <c r="E376" s="2"/>
      <c r="F376" s="2"/>
      <c r="G376" s="2"/>
    </row>
    <row r="377" spans="2:7" ht="15.75" customHeight="1" x14ac:dyDescent="0.25">
      <c r="B377" s="2"/>
      <c r="C377" s="2"/>
      <c r="D377" s="2"/>
      <c r="E377" s="2"/>
      <c r="F377" s="2"/>
      <c r="G377" s="2"/>
    </row>
    <row r="378" spans="2:7" ht="15.75" customHeight="1" x14ac:dyDescent="0.25">
      <c r="B378" s="2"/>
      <c r="C378" s="2"/>
      <c r="D378" s="2"/>
      <c r="E378" s="2"/>
      <c r="F378" s="2"/>
      <c r="G378" s="2"/>
    </row>
    <row r="379" spans="2:7" ht="15.75" customHeight="1" x14ac:dyDescent="0.25">
      <c r="B379" s="2"/>
      <c r="C379" s="2"/>
      <c r="D379" s="2"/>
      <c r="E379" s="2"/>
      <c r="F379" s="2"/>
      <c r="G379" s="2"/>
    </row>
    <row r="380" spans="2:7" ht="15.75" customHeight="1" x14ac:dyDescent="0.25">
      <c r="B380" s="2"/>
      <c r="C380" s="2"/>
      <c r="D380" s="2"/>
      <c r="E380" s="2"/>
      <c r="F380" s="2"/>
      <c r="G380" s="2"/>
    </row>
    <row r="381" spans="2:7" ht="15.75" customHeight="1" x14ac:dyDescent="0.25">
      <c r="B381" s="2"/>
      <c r="C381" s="2"/>
      <c r="D381" s="2"/>
      <c r="E381" s="2"/>
      <c r="F381" s="2"/>
      <c r="G381" s="2"/>
    </row>
    <row r="382" spans="2:7" ht="15.75" customHeight="1" x14ac:dyDescent="0.25">
      <c r="B382" s="2"/>
      <c r="C382" s="2"/>
      <c r="D382" s="2"/>
      <c r="E382" s="2"/>
      <c r="F382" s="2"/>
      <c r="G382" s="2"/>
    </row>
    <row r="383" spans="2:7" ht="15.75" customHeight="1" x14ac:dyDescent="0.25">
      <c r="B383" s="2"/>
      <c r="C383" s="2"/>
      <c r="D383" s="2"/>
      <c r="E383" s="2"/>
      <c r="F383" s="2"/>
      <c r="G383" s="2"/>
    </row>
    <row r="384" spans="2:7" ht="15.75" customHeight="1" x14ac:dyDescent="0.25">
      <c r="B384" s="2"/>
      <c r="C384" s="2"/>
      <c r="D384" s="2"/>
      <c r="E384" s="2"/>
      <c r="F384" s="2"/>
      <c r="G384" s="2"/>
    </row>
    <row r="385" spans="2:7" ht="15.75" customHeight="1" x14ac:dyDescent="0.25">
      <c r="B385" s="2"/>
      <c r="C385" s="2"/>
      <c r="D385" s="2"/>
      <c r="E385" s="2"/>
      <c r="F385" s="2"/>
      <c r="G385" s="2"/>
    </row>
    <row r="386" spans="2:7" ht="15.75" customHeight="1" x14ac:dyDescent="0.25">
      <c r="B386" s="2"/>
      <c r="C386" s="2"/>
      <c r="D386" s="2"/>
      <c r="E386" s="2"/>
      <c r="F386" s="2"/>
      <c r="G386" s="2"/>
    </row>
    <row r="387" spans="2:7" ht="15.75" customHeight="1" x14ac:dyDescent="0.25">
      <c r="B387" s="2"/>
      <c r="C387" s="2"/>
      <c r="D387" s="2"/>
      <c r="E387" s="2"/>
      <c r="F387" s="2"/>
      <c r="G387" s="2"/>
    </row>
    <row r="388" spans="2:7" ht="15.75" customHeight="1" x14ac:dyDescent="0.25">
      <c r="B388" s="2"/>
      <c r="C388" s="2"/>
      <c r="D388" s="2"/>
      <c r="E388" s="2"/>
      <c r="F388" s="2"/>
      <c r="G388" s="2"/>
    </row>
    <row r="389" spans="2:7" ht="15.75" customHeight="1" x14ac:dyDescent="0.25">
      <c r="B389" s="2"/>
      <c r="C389" s="2"/>
      <c r="D389" s="2"/>
      <c r="E389" s="2"/>
      <c r="F389" s="2"/>
      <c r="G389" s="2"/>
    </row>
    <row r="390" spans="2:7" ht="15.75" customHeight="1" x14ac:dyDescent="0.25">
      <c r="B390" s="2"/>
      <c r="C390" s="2"/>
      <c r="D390" s="2"/>
      <c r="E390" s="2"/>
      <c r="F390" s="2"/>
      <c r="G390" s="2"/>
    </row>
    <row r="391" spans="2:7" ht="15.75" customHeight="1" x14ac:dyDescent="0.25">
      <c r="B391" s="2"/>
      <c r="C391" s="2"/>
      <c r="D391" s="2"/>
      <c r="E391" s="2"/>
      <c r="F391" s="2"/>
      <c r="G391" s="2"/>
    </row>
    <row r="392" spans="2:7" ht="15.75" customHeight="1" x14ac:dyDescent="0.25">
      <c r="B392" s="2"/>
      <c r="C392" s="2"/>
      <c r="D392" s="2"/>
      <c r="E392" s="2"/>
      <c r="F392" s="2"/>
      <c r="G392" s="2"/>
    </row>
    <row r="393" spans="2:7" ht="15.75" customHeight="1" x14ac:dyDescent="0.25">
      <c r="B393" s="2"/>
      <c r="C393" s="2"/>
      <c r="D393" s="2"/>
      <c r="E393" s="2"/>
      <c r="F393" s="2"/>
      <c r="G393" s="2"/>
    </row>
    <row r="394" spans="2:7" ht="15.75" customHeight="1" x14ac:dyDescent="0.25">
      <c r="B394" s="2"/>
      <c r="C394" s="2"/>
      <c r="D394" s="2"/>
      <c r="E394" s="2"/>
      <c r="F394" s="2"/>
      <c r="G394" s="2"/>
    </row>
    <row r="395" spans="2:7" ht="15.75" customHeight="1" x14ac:dyDescent="0.25">
      <c r="B395" s="2"/>
      <c r="C395" s="2"/>
      <c r="D395" s="2"/>
      <c r="E395" s="2"/>
      <c r="F395" s="2"/>
      <c r="G395" s="2"/>
    </row>
    <row r="396" spans="2:7" ht="15.75" customHeight="1" x14ac:dyDescent="0.25">
      <c r="B396" s="2"/>
      <c r="C396" s="2"/>
      <c r="D396" s="2"/>
      <c r="E396" s="2"/>
      <c r="F396" s="2"/>
      <c r="G396" s="2"/>
    </row>
    <row r="397" spans="2:7" ht="15.75" customHeight="1" x14ac:dyDescent="0.25">
      <c r="B397" s="2"/>
      <c r="C397" s="2"/>
      <c r="D397" s="2"/>
      <c r="E397" s="2"/>
      <c r="F397" s="2"/>
      <c r="G397" s="2"/>
    </row>
    <row r="398" spans="2:7" ht="15.75" customHeight="1" x14ac:dyDescent="0.25">
      <c r="B398" s="2"/>
      <c r="C398" s="2"/>
      <c r="D398" s="2"/>
      <c r="E398" s="2"/>
      <c r="F398" s="2"/>
      <c r="G398" s="2"/>
    </row>
    <row r="399" spans="2:7" ht="15.75" customHeight="1" x14ac:dyDescent="0.25">
      <c r="B399" s="2"/>
      <c r="C399" s="2"/>
      <c r="D399" s="2"/>
      <c r="E399" s="2"/>
      <c r="F399" s="2"/>
      <c r="G399" s="2"/>
    </row>
    <row r="400" spans="2:7" ht="15.75" customHeight="1" x14ac:dyDescent="0.25">
      <c r="B400" s="2"/>
      <c r="C400" s="2"/>
      <c r="D400" s="2"/>
      <c r="E400" s="2"/>
      <c r="F400" s="2"/>
      <c r="G400" s="2"/>
    </row>
    <row r="401" spans="2:7" ht="15.75" customHeight="1" x14ac:dyDescent="0.25">
      <c r="B401" s="2"/>
      <c r="C401" s="2"/>
      <c r="D401" s="2"/>
      <c r="E401" s="2"/>
      <c r="F401" s="2"/>
      <c r="G401" s="2"/>
    </row>
    <row r="402" spans="2:7" ht="15.75" customHeight="1" x14ac:dyDescent="0.25">
      <c r="B402" s="2"/>
      <c r="C402" s="2"/>
      <c r="D402" s="2"/>
      <c r="E402" s="2"/>
      <c r="F402" s="2"/>
      <c r="G402" s="2"/>
    </row>
    <row r="403" spans="2:7" ht="15.75" customHeight="1" x14ac:dyDescent="0.25">
      <c r="B403" s="2"/>
      <c r="C403" s="2"/>
      <c r="D403" s="2"/>
      <c r="E403" s="2"/>
      <c r="F403" s="2"/>
      <c r="G403" s="2"/>
    </row>
    <row r="404" spans="2:7" ht="15.75" customHeight="1" x14ac:dyDescent="0.25">
      <c r="B404" s="2"/>
      <c r="C404" s="2"/>
      <c r="D404" s="2"/>
      <c r="E404" s="2"/>
      <c r="F404" s="2"/>
      <c r="G404" s="2"/>
    </row>
    <row r="405" spans="2:7" ht="15.75" customHeight="1" x14ac:dyDescent="0.25">
      <c r="B405" s="2"/>
      <c r="C405" s="2"/>
      <c r="D405" s="2"/>
      <c r="E405" s="2"/>
      <c r="F405" s="2"/>
      <c r="G405" s="2"/>
    </row>
    <row r="406" spans="2:7" ht="15.75" customHeight="1" x14ac:dyDescent="0.25">
      <c r="B406" s="2"/>
      <c r="C406" s="2"/>
      <c r="D406" s="2"/>
      <c r="E406" s="2"/>
      <c r="F406" s="2"/>
      <c r="G406" s="2"/>
    </row>
    <row r="407" spans="2:7" ht="15.75" customHeight="1" x14ac:dyDescent="0.25">
      <c r="B407" s="2"/>
      <c r="C407" s="2"/>
      <c r="D407" s="2"/>
      <c r="E407" s="2"/>
      <c r="F407" s="2"/>
      <c r="G407" s="2"/>
    </row>
    <row r="408" spans="2:7" ht="15.75" customHeight="1" x14ac:dyDescent="0.25">
      <c r="B408" s="2"/>
      <c r="C408" s="2"/>
      <c r="D408" s="2"/>
      <c r="E408" s="2"/>
      <c r="F408" s="2"/>
      <c r="G408" s="2"/>
    </row>
    <row r="409" spans="2:7" ht="15.75" customHeight="1" x14ac:dyDescent="0.25">
      <c r="B409" s="2"/>
      <c r="C409" s="2"/>
      <c r="D409" s="2"/>
      <c r="E409" s="2"/>
      <c r="F409" s="2"/>
      <c r="G409" s="2"/>
    </row>
    <row r="410" spans="2:7" ht="15.75" customHeight="1" x14ac:dyDescent="0.25">
      <c r="B410" s="2"/>
      <c r="C410" s="2"/>
      <c r="D410" s="2"/>
      <c r="E410" s="2"/>
      <c r="F410" s="2"/>
      <c r="G410" s="2"/>
    </row>
    <row r="411" spans="2:7" ht="15.75" customHeight="1" x14ac:dyDescent="0.25">
      <c r="B411" s="2"/>
      <c r="C411" s="2"/>
      <c r="D411" s="2"/>
      <c r="E411" s="2"/>
      <c r="F411" s="2"/>
      <c r="G411" s="2"/>
    </row>
    <row r="412" spans="2:7" ht="15.75" customHeight="1" x14ac:dyDescent="0.25">
      <c r="B412" s="2"/>
      <c r="C412" s="2"/>
      <c r="D412" s="2"/>
      <c r="E412" s="2"/>
      <c r="F412" s="2"/>
      <c r="G412" s="2"/>
    </row>
    <row r="413" spans="2:7" ht="15.75" customHeight="1" x14ac:dyDescent="0.25">
      <c r="B413" s="2"/>
      <c r="C413" s="2"/>
      <c r="D413" s="2"/>
      <c r="E413" s="2"/>
      <c r="F413" s="2"/>
      <c r="G413" s="2"/>
    </row>
    <row r="414" spans="2:7" ht="15.75" customHeight="1" x14ac:dyDescent="0.25">
      <c r="B414" s="2"/>
      <c r="C414" s="2"/>
      <c r="D414" s="2"/>
      <c r="E414" s="2"/>
      <c r="F414" s="2"/>
      <c r="G414" s="2"/>
    </row>
    <row r="415" spans="2:7" ht="15.75" customHeight="1" x14ac:dyDescent="0.25">
      <c r="B415" s="2"/>
      <c r="C415" s="2"/>
      <c r="D415" s="2"/>
      <c r="E415" s="2"/>
      <c r="F415" s="2"/>
      <c r="G415" s="2"/>
    </row>
    <row r="416" spans="2:7" ht="15.75" customHeight="1" x14ac:dyDescent="0.25">
      <c r="B416" s="2"/>
      <c r="C416" s="2"/>
      <c r="D416" s="2"/>
      <c r="E416" s="2"/>
      <c r="F416" s="2"/>
      <c r="G416" s="2"/>
    </row>
    <row r="417" spans="2:7" ht="15.75" customHeight="1" x14ac:dyDescent="0.25">
      <c r="B417" s="2"/>
      <c r="C417" s="2"/>
      <c r="D417" s="2"/>
      <c r="E417" s="2"/>
      <c r="F417" s="2"/>
      <c r="G417" s="2"/>
    </row>
    <row r="418" spans="2:7" ht="15.75" customHeight="1" x14ac:dyDescent="0.25">
      <c r="B418" s="2"/>
      <c r="C418" s="2"/>
      <c r="D418" s="2"/>
      <c r="E418" s="2"/>
      <c r="F418" s="2"/>
      <c r="G418" s="2"/>
    </row>
    <row r="419" spans="2:7" ht="15.75" customHeight="1" x14ac:dyDescent="0.25">
      <c r="B419" s="2"/>
      <c r="C419" s="2"/>
      <c r="D419" s="2"/>
      <c r="E419" s="2"/>
      <c r="F419" s="2"/>
      <c r="G419" s="2"/>
    </row>
    <row r="420" spans="2:7" ht="15.75" customHeight="1" x14ac:dyDescent="0.25">
      <c r="B420" s="2"/>
      <c r="C420" s="2"/>
      <c r="D420" s="2"/>
      <c r="E420" s="2"/>
      <c r="F420" s="2"/>
      <c r="G420" s="2"/>
    </row>
    <row r="421" spans="2:7" ht="15.75" customHeight="1" x14ac:dyDescent="0.25">
      <c r="B421" s="2"/>
      <c r="C421" s="2"/>
      <c r="D421" s="2"/>
      <c r="E421" s="2"/>
      <c r="F421" s="2"/>
      <c r="G421" s="2"/>
    </row>
    <row r="422" spans="2:7" ht="15.75" customHeight="1" x14ac:dyDescent="0.25">
      <c r="B422" s="2"/>
      <c r="C422" s="2"/>
      <c r="D422" s="2"/>
      <c r="E422" s="2"/>
      <c r="F422" s="2"/>
      <c r="G422" s="2"/>
    </row>
    <row r="423" spans="2:7" ht="15.75" customHeight="1" x14ac:dyDescent="0.25">
      <c r="B423" s="2"/>
      <c r="C423" s="2"/>
      <c r="D423" s="2"/>
      <c r="E423" s="2"/>
      <c r="F423" s="2"/>
      <c r="G423" s="2"/>
    </row>
    <row r="424" spans="2:7" ht="15.75" customHeight="1" x14ac:dyDescent="0.25">
      <c r="B424" s="2"/>
      <c r="C424" s="2"/>
      <c r="D424" s="2"/>
      <c r="E424" s="2"/>
      <c r="F424" s="2"/>
      <c r="G424" s="2"/>
    </row>
    <row r="425" spans="2:7" ht="15.75" customHeight="1" x14ac:dyDescent="0.25">
      <c r="B425" s="2"/>
      <c r="C425" s="2"/>
      <c r="D425" s="2"/>
      <c r="E425" s="2"/>
      <c r="F425" s="2"/>
      <c r="G425" s="2"/>
    </row>
    <row r="426" spans="2:7" ht="15.75" customHeight="1" x14ac:dyDescent="0.25">
      <c r="B426" s="2"/>
      <c r="C426" s="2"/>
      <c r="D426" s="2"/>
      <c r="E426" s="2"/>
      <c r="F426" s="2"/>
      <c r="G426" s="2"/>
    </row>
    <row r="427" spans="2:7" ht="15.75" customHeight="1" x14ac:dyDescent="0.25">
      <c r="B427" s="2"/>
      <c r="C427" s="2"/>
      <c r="D427" s="2"/>
      <c r="E427" s="2"/>
      <c r="F427" s="2"/>
      <c r="G427" s="2"/>
    </row>
    <row r="428" spans="2:7" ht="15.75" customHeight="1" x14ac:dyDescent="0.25">
      <c r="B428" s="2"/>
      <c r="C428" s="2"/>
      <c r="D428" s="2"/>
      <c r="E428" s="2"/>
      <c r="F428" s="2"/>
      <c r="G428" s="2"/>
    </row>
    <row r="429" spans="2:7" ht="15.75" customHeight="1" x14ac:dyDescent="0.25">
      <c r="B429" s="2"/>
      <c r="C429" s="2"/>
      <c r="D429" s="2"/>
      <c r="E429" s="2"/>
      <c r="F429" s="2"/>
      <c r="G429" s="2"/>
    </row>
    <row r="430" spans="2:7" ht="15.75" customHeight="1" x14ac:dyDescent="0.25">
      <c r="B430" s="2"/>
      <c r="C430" s="2"/>
      <c r="D430" s="2"/>
      <c r="E430" s="2"/>
      <c r="F430" s="2"/>
      <c r="G430" s="2"/>
    </row>
    <row r="431" spans="2:7" ht="15.75" customHeight="1" x14ac:dyDescent="0.25">
      <c r="B431" s="2"/>
      <c r="C431" s="2"/>
      <c r="D431" s="2"/>
      <c r="E431" s="2"/>
      <c r="F431" s="2"/>
      <c r="G431" s="2"/>
    </row>
    <row r="432" spans="2:7" ht="15.75" customHeight="1" x14ac:dyDescent="0.25">
      <c r="B432" s="2"/>
      <c r="C432" s="2"/>
      <c r="D432" s="2"/>
      <c r="E432" s="2"/>
      <c r="F432" s="2"/>
      <c r="G432" s="2"/>
    </row>
    <row r="433" spans="2:7" ht="15.75" customHeight="1" x14ac:dyDescent="0.25">
      <c r="B433" s="2"/>
      <c r="C433" s="2"/>
      <c r="D433" s="2"/>
      <c r="E433" s="2"/>
      <c r="F433" s="2"/>
      <c r="G433" s="2"/>
    </row>
    <row r="434" spans="2:7" ht="15.75" customHeight="1" x14ac:dyDescent="0.25">
      <c r="B434" s="2"/>
      <c r="C434" s="2"/>
      <c r="D434" s="2"/>
      <c r="E434" s="2"/>
      <c r="F434" s="2"/>
      <c r="G434" s="2"/>
    </row>
    <row r="435" spans="2:7" ht="15.75" customHeight="1" x14ac:dyDescent="0.25">
      <c r="B435" s="2"/>
      <c r="C435" s="2"/>
      <c r="D435" s="2"/>
      <c r="E435" s="2"/>
      <c r="F435" s="2"/>
      <c r="G435" s="2"/>
    </row>
    <row r="436" spans="2:7" ht="15.75" customHeight="1" x14ac:dyDescent="0.25">
      <c r="B436" s="2"/>
      <c r="C436" s="2"/>
      <c r="D436" s="2"/>
      <c r="E436" s="2"/>
      <c r="F436" s="2"/>
      <c r="G436" s="2"/>
    </row>
    <row r="437" spans="2:7" ht="15.75" customHeight="1" x14ac:dyDescent="0.25">
      <c r="B437" s="2"/>
      <c r="C437" s="2"/>
      <c r="D437" s="2"/>
      <c r="E437" s="2"/>
      <c r="F437" s="2"/>
      <c r="G437" s="2"/>
    </row>
    <row r="438" spans="2:7" ht="15.75" customHeight="1" x14ac:dyDescent="0.25">
      <c r="B438" s="2"/>
      <c r="C438" s="2"/>
      <c r="D438" s="2"/>
      <c r="E438" s="2"/>
      <c r="F438" s="2"/>
      <c r="G438" s="2"/>
    </row>
    <row r="439" spans="2:7" ht="15.75" customHeight="1" x14ac:dyDescent="0.25">
      <c r="B439" s="2"/>
      <c r="C439" s="2"/>
      <c r="D439" s="2"/>
      <c r="E439" s="2"/>
      <c r="F439" s="2"/>
      <c r="G439" s="2"/>
    </row>
    <row r="440" spans="2:7" ht="15.75" customHeight="1" x14ac:dyDescent="0.25">
      <c r="B440" s="2"/>
      <c r="C440" s="2"/>
      <c r="D440" s="2"/>
      <c r="E440" s="2"/>
      <c r="F440" s="2"/>
      <c r="G440" s="2"/>
    </row>
    <row r="441" spans="2:7" ht="15.75" customHeight="1" x14ac:dyDescent="0.25">
      <c r="B441" s="2"/>
      <c r="C441" s="2"/>
      <c r="D441" s="2"/>
      <c r="E441" s="2"/>
      <c r="F441" s="2"/>
      <c r="G441" s="2"/>
    </row>
    <row r="442" spans="2:7" ht="15.75" customHeight="1" x14ac:dyDescent="0.25">
      <c r="B442" s="2"/>
      <c r="C442" s="2"/>
      <c r="D442" s="2"/>
      <c r="E442" s="2"/>
      <c r="F442" s="2"/>
      <c r="G442" s="2"/>
    </row>
    <row r="443" spans="2:7" ht="15.75" customHeight="1" x14ac:dyDescent="0.25">
      <c r="B443" s="2"/>
      <c r="C443" s="2"/>
      <c r="D443" s="2"/>
      <c r="E443" s="2"/>
      <c r="F443" s="2"/>
      <c r="G443" s="2"/>
    </row>
    <row r="444" spans="2:7" ht="15.75" customHeight="1" x14ac:dyDescent="0.25">
      <c r="B444" s="2"/>
      <c r="C444" s="2"/>
      <c r="D444" s="2"/>
      <c r="E444" s="2"/>
      <c r="F444" s="2"/>
      <c r="G444" s="2"/>
    </row>
    <row r="445" spans="2:7" ht="15.75" customHeight="1" x14ac:dyDescent="0.25">
      <c r="B445" s="2"/>
      <c r="C445" s="2"/>
      <c r="D445" s="2"/>
      <c r="E445" s="2"/>
      <c r="F445" s="2"/>
      <c r="G445" s="2"/>
    </row>
    <row r="446" spans="2:7" ht="15.75" customHeight="1" x14ac:dyDescent="0.25">
      <c r="B446" s="2"/>
      <c r="C446" s="2"/>
      <c r="D446" s="2"/>
      <c r="E446" s="2"/>
      <c r="F446" s="2"/>
      <c r="G446" s="2"/>
    </row>
    <row r="447" spans="2:7" ht="15.75" customHeight="1" x14ac:dyDescent="0.25">
      <c r="B447" s="2"/>
      <c r="C447" s="2"/>
      <c r="D447" s="2"/>
      <c r="E447" s="2"/>
      <c r="F447" s="2"/>
      <c r="G447" s="2"/>
    </row>
    <row r="448" spans="2:7" ht="15.75" customHeight="1" x14ac:dyDescent="0.25">
      <c r="B448" s="2"/>
      <c r="C448" s="2"/>
      <c r="D448" s="2"/>
      <c r="E448" s="2"/>
      <c r="F448" s="2"/>
      <c r="G448" s="2"/>
    </row>
    <row r="449" spans="2:7" ht="15.75" customHeight="1" x14ac:dyDescent="0.25">
      <c r="B449" s="2"/>
      <c r="C449" s="2"/>
      <c r="D449" s="2"/>
      <c r="E449" s="2"/>
      <c r="F449" s="2"/>
      <c r="G449" s="2"/>
    </row>
    <row r="450" spans="2:7" ht="15.75" customHeight="1" x14ac:dyDescent="0.25">
      <c r="B450" s="2"/>
      <c r="C450" s="2"/>
      <c r="D450" s="2"/>
      <c r="E450" s="2"/>
      <c r="F450" s="2"/>
      <c r="G450" s="2"/>
    </row>
    <row r="451" spans="2:7" ht="15.75" customHeight="1" x14ac:dyDescent="0.25">
      <c r="B451" s="2"/>
      <c r="C451" s="2"/>
      <c r="D451" s="2"/>
      <c r="E451" s="2"/>
      <c r="F451" s="2"/>
      <c r="G451" s="2"/>
    </row>
    <row r="452" spans="2:7" ht="15.75" customHeight="1" x14ac:dyDescent="0.25">
      <c r="B452" s="2"/>
      <c r="C452" s="2"/>
      <c r="D452" s="2"/>
      <c r="E452" s="2"/>
      <c r="F452" s="2"/>
      <c r="G452" s="2"/>
    </row>
    <row r="453" spans="2:7" ht="15.75" customHeight="1" x14ac:dyDescent="0.25">
      <c r="B453" s="2"/>
      <c r="C453" s="2"/>
      <c r="D453" s="2"/>
      <c r="E453" s="2"/>
      <c r="F453" s="2"/>
      <c r="G453" s="2"/>
    </row>
    <row r="454" spans="2:7" ht="15.75" customHeight="1" x14ac:dyDescent="0.25">
      <c r="B454" s="2"/>
      <c r="C454" s="2"/>
      <c r="D454" s="2"/>
      <c r="E454" s="2"/>
      <c r="F454" s="2"/>
      <c r="G454" s="2"/>
    </row>
    <row r="455" spans="2:7" ht="15.75" customHeight="1" x14ac:dyDescent="0.25">
      <c r="B455" s="2"/>
      <c r="C455" s="2"/>
      <c r="D455" s="2"/>
      <c r="E455" s="2"/>
      <c r="F455" s="2"/>
      <c r="G455" s="2"/>
    </row>
    <row r="456" spans="2:7" ht="15.75" customHeight="1" x14ac:dyDescent="0.25">
      <c r="B456" s="2"/>
      <c r="C456" s="2"/>
      <c r="D456" s="2"/>
      <c r="E456" s="2"/>
      <c r="F456" s="2"/>
      <c r="G456" s="2"/>
    </row>
    <row r="457" spans="2:7" ht="15.75" customHeight="1" x14ac:dyDescent="0.25">
      <c r="B457" s="2"/>
      <c r="C457" s="2"/>
      <c r="D457" s="2"/>
      <c r="E457" s="2"/>
      <c r="F457" s="2"/>
      <c r="G457" s="2"/>
    </row>
    <row r="458" spans="2:7" ht="15.75" customHeight="1" x14ac:dyDescent="0.25">
      <c r="B458" s="2"/>
      <c r="C458" s="2"/>
      <c r="D458" s="2"/>
      <c r="E458" s="2"/>
      <c r="F458" s="2"/>
      <c r="G458" s="2"/>
    </row>
    <row r="459" spans="2:7" ht="15.75" customHeight="1" x14ac:dyDescent="0.25">
      <c r="B459" s="2"/>
      <c r="C459" s="2"/>
      <c r="D459" s="2"/>
      <c r="E459" s="2"/>
      <c r="F459" s="2"/>
      <c r="G459" s="2"/>
    </row>
    <row r="460" spans="2:7" ht="15.75" customHeight="1" x14ac:dyDescent="0.25">
      <c r="B460" s="2"/>
      <c r="C460" s="2"/>
      <c r="D460" s="2"/>
      <c r="E460" s="2"/>
      <c r="F460" s="2"/>
      <c r="G460" s="2"/>
    </row>
    <row r="461" spans="2:7" ht="15.75" customHeight="1" x14ac:dyDescent="0.25">
      <c r="B461" s="2"/>
      <c r="C461" s="2"/>
      <c r="D461" s="2"/>
      <c r="E461" s="2"/>
      <c r="F461" s="2"/>
      <c r="G461" s="2"/>
    </row>
    <row r="462" spans="2:7" ht="15.75" customHeight="1" x14ac:dyDescent="0.25">
      <c r="B462" s="2"/>
      <c r="C462" s="2"/>
      <c r="D462" s="2"/>
      <c r="E462" s="2"/>
      <c r="F462" s="2"/>
      <c r="G462" s="2"/>
    </row>
    <row r="463" spans="2:7" ht="15.75" customHeight="1" x14ac:dyDescent="0.25">
      <c r="B463" s="2"/>
      <c r="C463" s="2"/>
      <c r="D463" s="2"/>
      <c r="E463" s="2"/>
      <c r="F463" s="2"/>
      <c r="G463" s="2"/>
    </row>
    <row r="464" spans="2:7" ht="15.75" customHeight="1" x14ac:dyDescent="0.25">
      <c r="B464" s="2"/>
      <c r="C464" s="2"/>
      <c r="D464" s="2"/>
      <c r="E464" s="2"/>
      <c r="F464" s="2"/>
      <c r="G464" s="2"/>
    </row>
    <row r="465" spans="2:7" ht="15.75" customHeight="1" x14ac:dyDescent="0.25">
      <c r="B465" s="2"/>
      <c r="C465" s="2"/>
      <c r="D465" s="2"/>
      <c r="E465" s="2"/>
      <c r="F465" s="2"/>
      <c r="G465" s="2"/>
    </row>
    <row r="466" spans="2:7" ht="15.75" customHeight="1" x14ac:dyDescent="0.25">
      <c r="B466" s="2"/>
      <c r="C466" s="2"/>
      <c r="D466" s="2"/>
      <c r="E466" s="2"/>
      <c r="F466" s="2"/>
      <c r="G466" s="2"/>
    </row>
    <row r="467" spans="2:7" ht="15.75" customHeight="1" x14ac:dyDescent="0.25">
      <c r="B467" s="2"/>
      <c r="C467" s="2"/>
      <c r="D467" s="2"/>
      <c r="E467" s="2"/>
      <c r="F467" s="2"/>
      <c r="G467" s="2"/>
    </row>
    <row r="468" spans="2:7" ht="15.75" customHeight="1" x14ac:dyDescent="0.25">
      <c r="B468" s="2"/>
      <c r="C468" s="2"/>
      <c r="D468" s="2"/>
      <c r="E468" s="2"/>
      <c r="F468" s="2"/>
      <c r="G468" s="2"/>
    </row>
    <row r="469" spans="2:7" ht="15.75" customHeight="1" x14ac:dyDescent="0.25">
      <c r="B469" s="2"/>
      <c r="C469" s="2"/>
      <c r="D469" s="2"/>
      <c r="E469" s="2"/>
      <c r="F469" s="2"/>
      <c r="G469" s="2"/>
    </row>
    <row r="470" spans="2:7" ht="15.75" customHeight="1" x14ac:dyDescent="0.25">
      <c r="B470" s="2"/>
      <c r="C470" s="2"/>
      <c r="D470" s="2"/>
      <c r="E470" s="2"/>
      <c r="F470" s="2"/>
      <c r="G470" s="2"/>
    </row>
    <row r="471" spans="2:7" ht="15.75" customHeight="1" x14ac:dyDescent="0.25">
      <c r="B471" s="2"/>
      <c r="C471" s="2"/>
      <c r="D471" s="2"/>
      <c r="E471" s="2"/>
      <c r="F471" s="2"/>
      <c r="G471" s="2"/>
    </row>
    <row r="472" spans="2:7" ht="15.75" customHeight="1" x14ac:dyDescent="0.25">
      <c r="B472" s="2"/>
      <c r="C472" s="2"/>
      <c r="D472" s="2"/>
      <c r="E472" s="2"/>
      <c r="F472" s="2"/>
      <c r="G472" s="2"/>
    </row>
    <row r="473" spans="2:7" ht="15.75" customHeight="1" x14ac:dyDescent="0.25">
      <c r="B473" s="2"/>
      <c r="C473" s="2"/>
      <c r="D473" s="2"/>
      <c r="E473" s="2"/>
      <c r="F473" s="2"/>
      <c r="G473" s="2"/>
    </row>
    <row r="474" spans="2:7" ht="15.75" customHeight="1" x14ac:dyDescent="0.25">
      <c r="B474" s="2"/>
      <c r="C474" s="2"/>
      <c r="D474" s="2"/>
      <c r="E474" s="2"/>
      <c r="F474" s="2"/>
      <c r="G474" s="2"/>
    </row>
    <row r="475" spans="2:7" ht="15.75" customHeight="1" x14ac:dyDescent="0.25">
      <c r="B475" s="2"/>
      <c r="C475" s="2"/>
      <c r="D475" s="2"/>
      <c r="E475" s="2"/>
      <c r="F475" s="2"/>
      <c r="G475" s="2"/>
    </row>
    <row r="476" spans="2:7" ht="15.75" customHeight="1" x14ac:dyDescent="0.25">
      <c r="B476" s="2"/>
      <c r="C476" s="2"/>
      <c r="D476" s="2"/>
      <c r="E476" s="2"/>
      <c r="F476" s="2"/>
      <c r="G476" s="2"/>
    </row>
    <row r="477" spans="2:7" ht="15.75" customHeight="1" x14ac:dyDescent="0.25">
      <c r="B477" s="2"/>
      <c r="C477" s="2"/>
      <c r="D477" s="2"/>
      <c r="E477" s="2"/>
      <c r="F477" s="2"/>
      <c r="G477" s="2"/>
    </row>
    <row r="478" spans="2:7" ht="15.75" customHeight="1" x14ac:dyDescent="0.25">
      <c r="B478" s="2"/>
      <c r="C478" s="2"/>
      <c r="D478" s="2"/>
      <c r="E478" s="2"/>
      <c r="F478" s="2"/>
      <c r="G478" s="2"/>
    </row>
    <row r="479" spans="2:7" ht="15.75" customHeight="1" x14ac:dyDescent="0.25">
      <c r="B479" s="2"/>
      <c r="C479" s="2"/>
      <c r="D479" s="2"/>
      <c r="E479" s="2"/>
      <c r="F479" s="2"/>
      <c r="G479" s="2"/>
    </row>
    <row r="480" spans="2:7" ht="15.75" customHeight="1" x14ac:dyDescent="0.25">
      <c r="B480" s="2"/>
      <c r="C480" s="2"/>
      <c r="D480" s="2"/>
      <c r="E480" s="2"/>
      <c r="F480" s="2"/>
      <c r="G480" s="2"/>
    </row>
    <row r="481" spans="2:7" ht="15.75" customHeight="1" x14ac:dyDescent="0.25">
      <c r="B481" s="2"/>
      <c r="C481" s="2"/>
      <c r="D481" s="2"/>
      <c r="E481" s="2"/>
      <c r="F481" s="2"/>
      <c r="G481" s="2"/>
    </row>
    <row r="482" spans="2:7" ht="15.75" customHeight="1" x14ac:dyDescent="0.25">
      <c r="B482" s="2"/>
      <c r="C482" s="2"/>
      <c r="D482" s="2"/>
      <c r="E482" s="2"/>
      <c r="F482" s="2"/>
      <c r="G482" s="2"/>
    </row>
    <row r="483" spans="2:7" ht="15.75" customHeight="1" x14ac:dyDescent="0.25">
      <c r="B483" s="2"/>
      <c r="C483" s="2"/>
      <c r="D483" s="2"/>
      <c r="E483" s="2"/>
      <c r="F483" s="2"/>
      <c r="G483" s="2"/>
    </row>
    <row r="484" spans="2:7" ht="15.75" customHeight="1" x14ac:dyDescent="0.25">
      <c r="B484" s="2"/>
      <c r="C484" s="2"/>
      <c r="D484" s="2"/>
      <c r="E484" s="2"/>
      <c r="F484" s="2"/>
      <c r="G484" s="2"/>
    </row>
    <row r="485" spans="2:7" ht="15.75" customHeight="1" x14ac:dyDescent="0.25">
      <c r="B485" s="2"/>
      <c r="C485" s="2"/>
      <c r="D485" s="2"/>
      <c r="E485" s="2"/>
      <c r="F485" s="2"/>
      <c r="G485" s="2"/>
    </row>
    <row r="486" spans="2:7" ht="15.75" customHeight="1" x14ac:dyDescent="0.25">
      <c r="B486" s="2"/>
      <c r="C486" s="2"/>
      <c r="D486" s="2"/>
      <c r="E486" s="2"/>
      <c r="F486" s="2"/>
      <c r="G486" s="2"/>
    </row>
    <row r="487" spans="2:7" ht="15.75" customHeight="1" x14ac:dyDescent="0.25">
      <c r="B487" s="2"/>
      <c r="C487" s="2"/>
      <c r="D487" s="2"/>
      <c r="E487" s="2"/>
      <c r="F487" s="2"/>
      <c r="G487" s="2"/>
    </row>
    <row r="488" spans="2:7" ht="15.75" customHeight="1" x14ac:dyDescent="0.25">
      <c r="B488" s="2"/>
      <c r="C488" s="2"/>
      <c r="D488" s="2"/>
      <c r="E488" s="2"/>
      <c r="F488" s="2"/>
      <c r="G488" s="2"/>
    </row>
    <row r="489" spans="2:7" ht="15.75" customHeight="1" x14ac:dyDescent="0.25">
      <c r="B489" s="2"/>
      <c r="C489" s="2"/>
      <c r="D489" s="2"/>
      <c r="E489" s="2"/>
      <c r="F489" s="2"/>
      <c r="G489" s="2"/>
    </row>
    <row r="490" spans="2:7" ht="15.75" customHeight="1" x14ac:dyDescent="0.25">
      <c r="B490" s="2"/>
      <c r="C490" s="2"/>
      <c r="D490" s="2"/>
      <c r="E490" s="2"/>
      <c r="F490" s="2"/>
      <c r="G490" s="2"/>
    </row>
    <row r="491" spans="2:7" ht="15.75" customHeight="1" x14ac:dyDescent="0.25">
      <c r="B491" s="2"/>
      <c r="C491" s="2"/>
      <c r="D491" s="2"/>
      <c r="E491" s="2"/>
      <c r="F491" s="2"/>
      <c r="G491" s="2"/>
    </row>
    <row r="492" spans="2:7" ht="15.75" customHeight="1" x14ac:dyDescent="0.25">
      <c r="B492" s="2"/>
      <c r="C492" s="2"/>
      <c r="D492" s="2"/>
      <c r="E492" s="2"/>
      <c r="F492" s="2"/>
      <c r="G492" s="2"/>
    </row>
    <row r="493" spans="2:7" ht="15.75" customHeight="1" x14ac:dyDescent="0.25">
      <c r="B493" s="2"/>
      <c r="C493" s="2"/>
      <c r="D493" s="2"/>
      <c r="E493" s="2"/>
      <c r="F493" s="2"/>
      <c r="G493" s="2"/>
    </row>
    <row r="494" spans="2:7" ht="15.75" customHeight="1" x14ac:dyDescent="0.25">
      <c r="B494" s="2"/>
      <c r="C494" s="2"/>
      <c r="D494" s="2"/>
      <c r="E494" s="2"/>
      <c r="F494" s="2"/>
      <c r="G494" s="2"/>
    </row>
    <row r="495" spans="2:7" ht="15.75" customHeight="1" x14ac:dyDescent="0.25">
      <c r="B495" s="2"/>
      <c r="C495" s="2"/>
      <c r="D495" s="2"/>
      <c r="E495" s="2"/>
      <c r="F495" s="2"/>
      <c r="G495" s="2"/>
    </row>
    <row r="496" spans="2:7" ht="15.75" customHeight="1" x14ac:dyDescent="0.25">
      <c r="B496" s="2"/>
      <c r="C496" s="2"/>
      <c r="D496" s="2"/>
      <c r="E496" s="2"/>
      <c r="F496" s="2"/>
      <c r="G496" s="2"/>
    </row>
    <row r="497" spans="2:7" ht="15.75" customHeight="1" x14ac:dyDescent="0.25">
      <c r="B497" s="2"/>
      <c r="C497" s="2"/>
      <c r="D497" s="2"/>
      <c r="E497" s="2"/>
      <c r="F497" s="2"/>
      <c r="G497" s="2"/>
    </row>
    <row r="498" spans="2:7" ht="15.75" customHeight="1" x14ac:dyDescent="0.25">
      <c r="B498" s="2"/>
      <c r="C498" s="2"/>
      <c r="D498" s="2"/>
      <c r="E498" s="2"/>
      <c r="F498" s="2"/>
      <c r="G498" s="2"/>
    </row>
    <row r="499" spans="2:7" ht="15.75" customHeight="1" x14ac:dyDescent="0.25">
      <c r="B499" s="2"/>
      <c r="C499" s="2"/>
      <c r="D499" s="2"/>
      <c r="E499" s="2"/>
      <c r="F499" s="2"/>
      <c r="G499" s="2"/>
    </row>
    <row r="500" spans="2:7" ht="15.75" customHeight="1" x14ac:dyDescent="0.25">
      <c r="B500" s="2"/>
      <c r="C500" s="2"/>
      <c r="D500" s="2"/>
      <c r="E500" s="2"/>
      <c r="F500" s="2"/>
      <c r="G500" s="2"/>
    </row>
    <row r="501" spans="2:7" ht="15.75" customHeight="1" x14ac:dyDescent="0.25">
      <c r="B501" s="2"/>
      <c r="C501" s="2"/>
      <c r="D501" s="2"/>
      <c r="E501" s="2"/>
      <c r="F501" s="2"/>
      <c r="G501" s="2"/>
    </row>
    <row r="502" spans="2:7" ht="15.75" customHeight="1" x14ac:dyDescent="0.25">
      <c r="B502" s="2"/>
      <c r="C502" s="2"/>
      <c r="D502" s="2"/>
      <c r="E502" s="2"/>
      <c r="F502" s="2"/>
      <c r="G502" s="2"/>
    </row>
    <row r="503" spans="2:7" ht="15.75" customHeight="1" x14ac:dyDescent="0.25">
      <c r="B503" s="2"/>
      <c r="C503" s="2"/>
      <c r="D503" s="2"/>
      <c r="E503" s="2"/>
      <c r="F503" s="2"/>
      <c r="G503" s="2"/>
    </row>
    <row r="504" spans="2:7" ht="15.75" customHeight="1" x14ac:dyDescent="0.25">
      <c r="B504" s="2"/>
      <c r="C504" s="2"/>
      <c r="D504" s="2"/>
      <c r="E504" s="2"/>
      <c r="F504" s="2"/>
      <c r="G504" s="2"/>
    </row>
    <row r="505" spans="2:7" ht="15.75" customHeight="1" x14ac:dyDescent="0.25">
      <c r="B505" s="2"/>
      <c r="C505" s="2"/>
      <c r="D505" s="2"/>
      <c r="E505" s="2"/>
      <c r="F505" s="2"/>
      <c r="G505" s="2"/>
    </row>
    <row r="506" spans="2:7" ht="15.75" customHeight="1" x14ac:dyDescent="0.25">
      <c r="B506" s="2"/>
      <c r="C506" s="2"/>
      <c r="D506" s="2"/>
      <c r="E506" s="2"/>
      <c r="F506" s="2"/>
      <c r="G506" s="2"/>
    </row>
    <row r="507" spans="2:7" ht="15.75" customHeight="1" x14ac:dyDescent="0.25">
      <c r="B507" s="2"/>
      <c r="C507" s="2"/>
      <c r="D507" s="2"/>
      <c r="E507" s="2"/>
      <c r="F507" s="2"/>
      <c r="G507" s="2"/>
    </row>
    <row r="508" spans="2:7" ht="15.75" customHeight="1" x14ac:dyDescent="0.25">
      <c r="B508" s="2"/>
      <c r="C508" s="2"/>
      <c r="D508" s="2"/>
      <c r="E508" s="2"/>
      <c r="F508" s="2"/>
      <c r="G508" s="2"/>
    </row>
    <row r="509" spans="2:7" ht="15.75" customHeight="1" x14ac:dyDescent="0.25">
      <c r="B509" s="2"/>
      <c r="C509" s="2"/>
      <c r="D509" s="2"/>
      <c r="E509" s="2"/>
      <c r="F509" s="2"/>
      <c r="G509" s="2"/>
    </row>
    <row r="510" spans="2:7" ht="15.75" customHeight="1" x14ac:dyDescent="0.25">
      <c r="B510" s="2"/>
      <c r="C510" s="2"/>
      <c r="D510" s="2"/>
      <c r="E510" s="2"/>
      <c r="F510" s="2"/>
      <c r="G510" s="2"/>
    </row>
    <row r="511" spans="2:7" ht="15.75" customHeight="1" x14ac:dyDescent="0.25">
      <c r="B511" s="2"/>
      <c r="C511" s="2"/>
      <c r="D511" s="2"/>
      <c r="E511" s="2"/>
      <c r="F511" s="2"/>
      <c r="G511" s="2"/>
    </row>
    <row r="512" spans="2:7" ht="15.75" customHeight="1" x14ac:dyDescent="0.25">
      <c r="B512" s="2"/>
      <c r="C512" s="2"/>
      <c r="D512" s="2"/>
      <c r="E512" s="2"/>
      <c r="F512" s="2"/>
      <c r="G512" s="2"/>
    </row>
    <row r="513" spans="2:7" ht="15.75" customHeight="1" x14ac:dyDescent="0.25">
      <c r="B513" s="2"/>
      <c r="C513" s="2"/>
      <c r="D513" s="2"/>
      <c r="E513" s="2"/>
      <c r="F513" s="2"/>
      <c r="G513" s="2"/>
    </row>
    <row r="514" spans="2:7" ht="15.75" customHeight="1" x14ac:dyDescent="0.25">
      <c r="B514" s="2"/>
      <c r="C514" s="2"/>
      <c r="D514" s="2"/>
      <c r="E514" s="2"/>
      <c r="F514" s="2"/>
      <c r="G514" s="2"/>
    </row>
    <row r="515" spans="2:7" ht="15.75" customHeight="1" x14ac:dyDescent="0.25">
      <c r="B515" s="2"/>
      <c r="C515" s="2"/>
      <c r="D515" s="2"/>
      <c r="E515" s="2"/>
      <c r="F515" s="2"/>
      <c r="G515" s="2"/>
    </row>
    <row r="516" spans="2:7" ht="15.75" customHeight="1" x14ac:dyDescent="0.25">
      <c r="B516" s="2"/>
      <c r="C516" s="2"/>
      <c r="D516" s="2"/>
      <c r="E516" s="2"/>
      <c r="F516" s="2"/>
      <c r="G516" s="2"/>
    </row>
    <row r="517" spans="2:7" ht="15.75" customHeight="1" x14ac:dyDescent="0.25">
      <c r="B517" s="2"/>
      <c r="C517" s="2"/>
      <c r="D517" s="2"/>
      <c r="E517" s="2"/>
      <c r="F517" s="2"/>
      <c r="G517" s="2"/>
    </row>
    <row r="518" spans="2:7" ht="15.75" customHeight="1" x14ac:dyDescent="0.25">
      <c r="B518" s="2"/>
      <c r="C518" s="2"/>
      <c r="D518" s="2"/>
      <c r="E518" s="2"/>
      <c r="F518" s="2"/>
      <c r="G518" s="2"/>
    </row>
    <row r="519" spans="2:7" ht="15.75" customHeight="1" x14ac:dyDescent="0.25">
      <c r="B519" s="2"/>
      <c r="C519" s="2"/>
      <c r="D519" s="2"/>
      <c r="E519" s="2"/>
      <c r="F519" s="2"/>
      <c r="G519" s="2"/>
    </row>
    <row r="520" spans="2:7" ht="15.75" customHeight="1" x14ac:dyDescent="0.25">
      <c r="B520" s="2"/>
      <c r="C520" s="2"/>
      <c r="D520" s="2"/>
      <c r="E520" s="2"/>
      <c r="F520" s="2"/>
      <c r="G520" s="2"/>
    </row>
    <row r="521" spans="2:7" ht="15.75" customHeight="1" x14ac:dyDescent="0.25">
      <c r="B521" s="2"/>
      <c r="C521" s="2"/>
      <c r="D521" s="2"/>
      <c r="E521" s="2"/>
      <c r="F521" s="2"/>
      <c r="G521" s="2"/>
    </row>
    <row r="522" spans="2:7" ht="15.75" customHeight="1" x14ac:dyDescent="0.25">
      <c r="B522" s="2"/>
      <c r="C522" s="2"/>
      <c r="D522" s="2"/>
      <c r="E522" s="2"/>
      <c r="F522" s="2"/>
      <c r="G522" s="2"/>
    </row>
    <row r="523" spans="2:7" ht="15.75" customHeight="1" x14ac:dyDescent="0.25">
      <c r="B523" s="2"/>
      <c r="C523" s="2"/>
      <c r="D523" s="2"/>
      <c r="E523" s="2"/>
      <c r="F523" s="2"/>
      <c r="G523" s="2"/>
    </row>
    <row r="524" spans="2:7" ht="15.75" customHeight="1" x14ac:dyDescent="0.25">
      <c r="B524" s="2"/>
      <c r="C524" s="2"/>
      <c r="D524" s="2"/>
      <c r="E524" s="2"/>
      <c r="F524" s="2"/>
      <c r="G524" s="2"/>
    </row>
    <row r="525" spans="2:7" ht="15.75" customHeight="1" x14ac:dyDescent="0.25">
      <c r="B525" s="2"/>
      <c r="C525" s="2"/>
      <c r="D525" s="2"/>
      <c r="E525" s="2"/>
      <c r="F525" s="2"/>
      <c r="G525" s="2"/>
    </row>
    <row r="526" spans="2:7" ht="15.75" customHeight="1" x14ac:dyDescent="0.25">
      <c r="B526" s="2"/>
      <c r="C526" s="2"/>
      <c r="D526" s="2"/>
      <c r="E526" s="2"/>
      <c r="F526" s="2"/>
      <c r="G526" s="2"/>
    </row>
    <row r="527" spans="2:7" ht="15.75" customHeight="1" x14ac:dyDescent="0.25">
      <c r="B527" s="2"/>
      <c r="C527" s="2"/>
      <c r="D527" s="2"/>
      <c r="E527" s="2"/>
      <c r="F527" s="2"/>
      <c r="G527" s="2"/>
    </row>
    <row r="528" spans="2:7" ht="15.75" customHeight="1" x14ac:dyDescent="0.25">
      <c r="B528" s="2"/>
      <c r="C528" s="2"/>
      <c r="D528" s="2"/>
      <c r="E528" s="2"/>
      <c r="F528" s="2"/>
      <c r="G528" s="2"/>
    </row>
    <row r="529" spans="2:7" ht="15.75" customHeight="1" x14ac:dyDescent="0.25">
      <c r="B529" s="2"/>
      <c r="C529" s="2"/>
      <c r="D529" s="2"/>
      <c r="E529" s="2"/>
      <c r="F529" s="2"/>
      <c r="G529" s="2"/>
    </row>
    <row r="530" spans="2:7" ht="15.75" customHeight="1" x14ac:dyDescent="0.25">
      <c r="B530" s="2"/>
      <c r="C530" s="2"/>
      <c r="D530" s="2"/>
      <c r="E530" s="2"/>
      <c r="F530" s="2"/>
      <c r="G530" s="2"/>
    </row>
    <row r="531" spans="2:7" ht="15.75" customHeight="1" x14ac:dyDescent="0.25">
      <c r="B531" s="2"/>
      <c r="C531" s="2"/>
      <c r="D531" s="2"/>
      <c r="E531" s="2"/>
      <c r="F531" s="2"/>
      <c r="G531" s="2"/>
    </row>
    <row r="532" spans="2:7" ht="15.75" customHeight="1" x14ac:dyDescent="0.25">
      <c r="B532" s="2"/>
      <c r="C532" s="2"/>
      <c r="D532" s="2"/>
      <c r="E532" s="2"/>
      <c r="F532" s="2"/>
      <c r="G532" s="2"/>
    </row>
    <row r="533" spans="2:7" ht="15.75" customHeight="1" x14ac:dyDescent="0.25">
      <c r="B533" s="2"/>
      <c r="C533" s="2"/>
      <c r="D533" s="2"/>
      <c r="E533" s="2"/>
      <c r="F533" s="2"/>
      <c r="G533" s="2"/>
    </row>
    <row r="534" spans="2:7" ht="15.75" customHeight="1" x14ac:dyDescent="0.25">
      <c r="B534" s="2"/>
      <c r="C534" s="2"/>
      <c r="D534" s="2"/>
      <c r="E534" s="2"/>
      <c r="F534" s="2"/>
      <c r="G534" s="2"/>
    </row>
    <row r="535" spans="2:7" ht="15.75" customHeight="1" x14ac:dyDescent="0.25">
      <c r="B535" s="2"/>
      <c r="C535" s="2"/>
      <c r="D535" s="2"/>
      <c r="E535" s="2"/>
      <c r="F535" s="2"/>
      <c r="G535" s="2"/>
    </row>
    <row r="536" spans="2:7" ht="15.75" customHeight="1" x14ac:dyDescent="0.25">
      <c r="B536" s="2"/>
      <c r="C536" s="2"/>
      <c r="D536" s="2"/>
      <c r="E536" s="2"/>
      <c r="F536" s="2"/>
      <c r="G536" s="2"/>
    </row>
    <row r="537" spans="2:7" ht="15.75" customHeight="1" x14ac:dyDescent="0.25">
      <c r="B537" s="2"/>
      <c r="C537" s="2"/>
      <c r="D537" s="2"/>
      <c r="E537" s="2"/>
      <c r="F537" s="2"/>
      <c r="G537" s="2"/>
    </row>
    <row r="538" spans="2:7" ht="15.75" customHeight="1" x14ac:dyDescent="0.25">
      <c r="B538" s="2"/>
      <c r="C538" s="2"/>
      <c r="D538" s="2"/>
      <c r="E538" s="2"/>
      <c r="F538" s="2"/>
      <c r="G538" s="2"/>
    </row>
    <row r="539" spans="2:7" ht="15.75" customHeight="1" x14ac:dyDescent="0.25">
      <c r="B539" s="2"/>
      <c r="C539" s="2"/>
      <c r="D539" s="2"/>
      <c r="E539" s="2"/>
      <c r="F539" s="2"/>
      <c r="G539" s="2"/>
    </row>
    <row r="540" spans="2:7" ht="15.75" customHeight="1" x14ac:dyDescent="0.25">
      <c r="B540" s="2"/>
      <c r="C540" s="2"/>
      <c r="D540" s="2"/>
      <c r="E540" s="2"/>
      <c r="F540" s="2"/>
      <c r="G540" s="2"/>
    </row>
    <row r="541" spans="2:7" ht="15.75" customHeight="1" x14ac:dyDescent="0.25">
      <c r="B541" s="2"/>
      <c r="C541" s="2"/>
      <c r="D541" s="2"/>
      <c r="E541" s="2"/>
      <c r="F541" s="2"/>
      <c r="G541" s="2"/>
    </row>
    <row r="542" spans="2:7" ht="15.75" customHeight="1" x14ac:dyDescent="0.25">
      <c r="B542" s="2"/>
      <c r="C542" s="2"/>
      <c r="D542" s="2"/>
      <c r="E542" s="2"/>
      <c r="F542" s="2"/>
      <c r="G542" s="2"/>
    </row>
    <row r="543" spans="2:7" ht="15.75" customHeight="1" x14ac:dyDescent="0.25">
      <c r="B543" s="2"/>
      <c r="C543" s="2"/>
      <c r="D543" s="2"/>
      <c r="E543" s="2"/>
      <c r="F543" s="2"/>
      <c r="G543" s="2"/>
    </row>
    <row r="544" spans="2:7" ht="15.75" customHeight="1" x14ac:dyDescent="0.25">
      <c r="B544" s="2"/>
      <c r="C544" s="2"/>
      <c r="D544" s="2"/>
      <c r="E544" s="2"/>
      <c r="F544" s="2"/>
      <c r="G544" s="2"/>
    </row>
    <row r="545" spans="2:7" ht="15.75" customHeight="1" x14ac:dyDescent="0.25">
      <c r="B545" s="2"/>
      <c r="C545" s="2"/>
      <c r="D545" s="2"/>
      <c r="E545" s="2"/>
      <c r="F545" s="2"/>
      <c r="G545" s="2"/>
    </row>
    <row r="546" spans="2:7" ht="15.75" customHeight="1" x14ac:dyDescent="0.25">
      <c r="B546" s="2"/>
      <c r="C546" s="2"/>
      <c r="D546" s="2"/>
      <c r="E546" s="2"/>
      <c r="F546" s="2"/>
      <c r="G546" s="2"/>
    </row>
    <row r="547" spans="2:7" ht="15.75" customHeight="1" x14ac:dyDescent="0.25">
      <c r="B547" s="2"/>
      <c r="C547" s="2"/>
      <c r="D547" s="2"/>
      <c r="E547" s="2"/>
      <c r="F547" s="2"/>
      <c r="G547" s="2"/>
    </row>
    <row r="548" spans="2:7" ht="15.75" customHeight="1" x14ac:dyDescent="0.25">
      <c r="B548" s="2"/>
      <c r="C548" s="2"/>
      <c r="D548" s="2"/>
      <c r="E548" s="2"/>
      <c r="F548" s="2"/>
      <c r="G548" s="2"/>
    </row>
    <row r="549" spans="2:7" ht="15.75" customHeight="1" x14ac:dyDescent="0.25">
      <c r="B549" s="2"/>
      <c r="C549" s="2"/>
      <c r="D549" s="2"/>
      <c r="E549" s="2"/>
      <c r="F549" s="2"/>
      <c r="G549" s="2"/>
    </row>
    <row r="550" spans="2:7" ht="15.75" customHeight="1" x14ac:dyDescent="0.25">
      <c r="B550" s="2"/>
      <c r="C550" s="2"/>
      <c r="D550" s="2"/>
      <c r="E550" s="2"/>
      <c r="F550" s="2"/>
      <c r="G550" s="2"/>
    </row>
    <row r="551" spans="2:7" ht="15.75" customHeight="1" x14ac:dyDescent="0.25">
      <c r="B551" s="2"/>
      <c r="C551" s="2"/>
      <c r="D551" s="2"/>
      <c r="E551" s="2"/>
      <c r="F551" s="2"/>
      <c r="G551" s="2"/>
    </row>
    <row r="552" spans="2:7" ht="15.75" customHeight="1" x14ac:dyDescent="0.25">
      <c r="B552" s="2"/>
      <c r="C552" s="2"/>
      <c r="D552" s="2"/>
      <c r="E552" s="2"/>
      <c r="F552" s="2"/>
      <c r="G552" s="2"/>
    </row>
    <row r="553" spans="2:7" ht="15.75" customHeight="1" x14ac:dyDescent="0.25">
      <c r="B553" s="2"/>
      <c r="C553" s="2"/>
      <c r="D553" s="2"/>
      <c r="E553" s="2"/>
      <c r="F553" s="2"/>
      <c r="G553" s="2"/>
    </row>
    <row r="554" spans="2:7" ht="15.75" customHeight="1" x14ac:dyDescent="0.25">
      <c r="B554" s="2"/>
      <c r="C554" s="2"/>
      <c r="D554" s="2"/>
      <c r="E554" s="2"/>
      <c r="F554" s="2"/>
      <c r="G554" s="2"/>
    </row>
    <row r="555" spans="2:7" ht="15.75" customHeight="1" x14ac:dyDescent="0.25">
      <c r="B555" s="2"/>
      <c r="C555" s="2"/>
      <c r="D555" s="2"/>
      <c r="E555" s="2"/>
      <c r="F555" s="2"/>
      <c r="G555" s="2"/>
    </row>
    <row r="556" spans="2:7" ht="15.75" customHeight="1" x14ac:dyDescent="0.25">
      <c r="B556" s="2"/>
      <c r="C556" s="2"/>
      <c r="D556" s="2"/>
      <c r="E556" s="2"/>
      <c r="F556" s="2"/>
      <c r="G556" s="2"/>
    </row>
    <row r="557" spans="2:7" ht="15.75" customHeight="1" x14ac:dyDescent="0.25">
      <c r="B557" s="2"/>
      <c r="C557" s="2"/>
      <c r="D557" s="2"/>
      <c r="E557" s="2"/>
      <c r="F557" s="2"/>
      <c r="G557" s="2"/>
    </row>
    <row r="558" spans="2:7" ht="15.75" customHeight="1" x14ac:dyDescent="0.25">
      <c r="B558" s="2"/>
      <c r="C558" s="2"/>
      <c r="D558" s="2"/>
      <c r="E558" s="2"/>
      <c r="F558" s="2"/>
      <c r="G558" s="2"/>
    </row>
    <row r="559" spans="2:7" ht="15.75" customHeight="1" x14ac:dyDescent="0.25">
      <c r="B559" s="2"/>
      <c r="C559" s="2"/>
      <c r="D559" s="2"/>
      <c r="E559" s="2"/>
      <c r="F559" s="2"/>
      <c r="G559" s="2"/>
    </row>
    <row r="560" spans="2:7" ht="15.75" customHeight="1" x14ac:dyDescent="0.25">
      <c r="B560" s="2"/>
      <c r="C560" s="2"/>
      <c r="D560" s="2"/>
      <c r="E560" s="2"/>
      <c r="F560" s="2"/>
      <c r="G560" s="2"/>
    </row>
    <row r="561" spans="2:7" ht="15.75" customHeight="1" x14ac:dyDescent="0.25">
      <c r="B561" s="2"/>
      <c r="C561" s="2"/>
      <c r="D561" s="2"/>
      <c r="E561" s="2"/>
      <c r="F561" s="2"/>
      <c r="G561" s="2"/>
    </row>
    <row r="562" spans="2:7" ht="15.75" customHeight="1" x14ac:dyDescent="0.25">
      <c r="B562" s="2"/>
      <c r="C562" s="2"/>
      <c r="D562" s="2"/>
      <c r="E562" s="2"/>
      <c r="F562" s="2"/>
      <c r="G562" s="2"/>
    </row>
    <row r="563" spans="2:7" ht="15.75" customHeight="1" x14ac:dyDescent="0.25">
      <c r="B563" s="2"/>
      <c r="C563" s="2"/>
      <c r="D563" s="2"/>
      <c r="E563" s="2"/>
      <c r="F563" s="2"/>
      <c r="G563" s="2"/>
    </row>
    <row r="564" spans="2:7" ht="15.75" customHeight="1" x14ac:dyDescent="0.25">
      <c r="B564" s="2"/>
      <c r="C564" s="2"/>
      <c r="D564" s="2"/>
      <c r="E564" s="2"/>
      <c r="F564" s="2"/>
      <c r="G564" s="2"/>
    </row>
    <row r="565" spans="2:7" ht="15.75" customHeight="1" x14ac:dyDescent="0.25">
      <c r="B565" s="2"/>
      <c r="C565" s="2"/>
      <c r="D565" s="2"/>
      <c r="E565" s="2"/>
      <c r="F565" s="2"/>
      <c r="G565" s="2"/>
    </row>
    <row r="566" spans="2:7" ht="15.75" customHeight="1" x14ac:dyDescent="0.25">
      <c r="B566" s="2"/>
      <c r="C566" s="2"/>
      <c r="D566" s="2"/>
      <c r="E566" s="2"/>
      <c r="F566" s="2"/>
      <c r="G566" s="2"/>
    </row>
    <row r="567" spans="2:7" ht="15.75" customHeight="1" x14ac:dyDescent="0.25">
      <c r="B567" s="2"/>
      <c r="C567" s="2"/>
      <c r="D567" s="2"/>
      <c r="E567" s="2"/>
      <c r="F567" s="2"/>
      <c r="G567" s="2"/>
    </row>
    <row r="568" spans="2:7" ht="15.75" customHeight="1" x14ac:dyDescent="0.25">
      <c r="B568" s="2"/>
      <c r="C568" s="2"/>
      <c r="D568" s="2"/>
      <c r="E568" s="2"/>
      <c r="F568" s="2"/>
      <c r="G568" s="2"/>
    </row>
    <row r="569" spans="2:7" ht="15.75" customHeight="1" x14ac:dyDescent="0.25">
      <c r="B569" s="2"/>
      <c r="C569" s="2"/>
      <c r="D569" s="2"/>
      <c r="E569" s="2"/>
      <c r="F569" s="2"/>
      <c r="G569" s="2"/>
    </row>
    <row r="570" spans="2:7" ht="15.75" customHeight="1" x14ac:dyDescent="0.25">
      <c r="B570" s="2"/>
      <c r="C570" s="2"/>
      <c r="D570" s="2"/>
      <c r="E570" s="2"/>
      <c r="F570" s="2"/>
      <c r="G570" s="2"/>
    </row>
    <row r="571" spans="2:7" ht="15.75" customHeight="1" x14ac:dyDescent="0.25">
      <c r="B571" s="2"/>
      <c r="C571" s="2"/>
      <c r="D571" s="2"/>
      <c r="E571" s="2"/>
      <c r="F571" s="2"/>
      <c r="G571" s="2"/>
    </row>
    <row r="572" spans="2:7" ht="15.75" customHeight="1" x14ac:dyDescent="0.25">
      <c r="B572" s="2"/>
      <c r="C572" s="2"/>
      <c r="D572" s="2"/>
      <c r="E572" s="2"/>
      <c r="F572" s="2"/>
      <c r="G572" s="2"/>
    </row>
    <row r="573" spans="2:7" ht="15.75" customHeight="1" x14ac:dyDescent="0.25">
      <c r="B573" s="2"/>
      <c r="C573" s="2"/>
      <c r="D573" s="2"/>
      <c r="E573" s="2"/>
      <c r="F573" s="2"/>
      <c r="G573" s="2"/>
    </row>
    <row r="574" spans="2:7" ht="15.75" customHeight="1" x14ac:dyDescent="0.25">
      <c r="B574" s="2"/>
      <c r="C574" s="2"/>
      <c r="D574" s="2"/>
      <c r="E574" s="2"/>
      <c r="F574" s="2"/>
      <c r="G574" s="2"/>
    </row>
    <row r="575" spans="2:7" ht="15.75" customHeight="1" x14ac:dyDescent="0.25">
      <c r="B575" s="2"/>
      <c r="C575" s="2"/>
      <c r="D575" s="2"/>
      <c r="E575" s="2"/>
      <c r="F575" s="2"/>
      <c r="G575" s="2"/>
    </row>
    <row r="576" spans="2:7" ht="15.75" customHeight="1" x14ac:dyDescent="0.25">
      <c r="B576" s="2"/>
      <c r="C576" s="2"/>
      <c r="D576" s="2"/>
      <c r="E576" s="2"/>
      <c r="F576" s="2"/>
      <c r="G576" s="2"/>
    </row>
    <row r="577" spans="2:7" ht="15.75" customHeight="1" x14ac:dyDescent="0.25">
      <c r="B577" s="2"/>
      <c r="C577" s="2"/>
      <c r="D577" s="2"/>
      <c r="E577" s="2"/>
      <c r="F577" s="2"/>
      <c r="G577" s="2"/>
    </row>
    <row r="578" spans="2:7" ht="15.75" customHeight="1" x14ac:dyDescent="0.25">
      <c r="B578" s="2"/>
      <c r="C578" s="2"/>
      <c r="D578" s="2"/>
      <c r="E578" s="2"/>
      <c r="F578" s="2"/>
      <c r="G578" s="2"/>
    </row>
    <row r="579" spans="2:7" ht="15.75" customHeight="1" x14ac:dyDescent="0.25">
      <c r="B579" s="2"/>
      <c r="C579" s="2"/>
      <c r="D579" s="2"/>
      <c r="E579" s="2"/>
      <c r="F579" s="2"/>
      <c r="G579" s="2"/>
    </row>
    <row r="580" spans="2:7" ht="15.75" customHeight="1" x14ac:dyDescent="0.25">
      <c r="B580" s="2"/>
      <c r="C580" s="2"/>
      <c r="D580" s="2"/>
      <c r="E580" s="2"/>
      <c r="F580" s="2"/>
      <c r="G580" s="2"/>
    </row>
    <row r="581" spans="2:7" ht="15.75" customHeight="1" x14ac:dyDescent="0.25">
      <c r="B581" s="2"/>
      <c r="C581" s="2"/>
      <c r="D581" s="2"/>
      <c r="E581" s="2"/>
      <c r="F581" s="2"/>
      <c r="G581" s="2"/>
    </row>
    <row r="582" spans="2:7" ht="15.75" customHeight="1" x14ac:dyDescent="0.25">
      <c r="B582" s="2"/>
      <c r="C582" s="2"/>
      <c r="D582" s="2"/>
      <c r="E582" s="2"/>
      <c r="F582" s="2"/>
      <c r="G582" s="2"/>
    </row>
    <row r="583" spans="2:7" ht="15.75" customHeight="1" x14ac:dyDescent="0.25">
      <c r="B583" s="2"/>
      <c r="C583" s="2"/>
      <c r="D583" s="2"/>
      <c r="E583" s="2"/>
      <c r="F583" s="2"/>
      <c r="G583" s="2"/>
    </row>
    <row r="584" spans="2:7" ht="15.75" customHeight="1" x14ac:dyDescent="0.25">
      <c r="B584" s="2"/>
      <c r="C584" s="2"/>
      <c r="D584" s="2"/>
      <c r="E584" s="2"/>
      <c r="F584" s="2"/>
      <c r="G584" s="2"/>
    </row>
    <row r="585" spans="2:7" ht="15.75" customHeight="1" x14ac:dyDescent="0.25">
      <c r="B585" s="2"/>
      <c r="C585" s="2"/>
      <c r="D585" s="2"/>
      <c r="E585" s="2"/>
      <c r="F585" s="2"/>
      <c r="G585" s="2"/>
    </row>
    <row r="586" spans="2:7" ht="15.75" customHeight="1" x14ac:dyDescent="0.25">
      <c r="B586" s="2"/>
      <c r="C586" s="2"/>
      <c r="D586" s="2"/>
      <c r="E586" s="2"/>
      <c r="F586" s="2"/>
      <c r="G586" s="2"/>
    </row>
    <row r="587" spans="2:7" ht="15.75" customHeight="1" x14ac:dyDescent="0.25">
      <c r="B587" s="2"/>
      <c r="C587" s="2"/>
      <c r="D587" s="2"/>
      <c r="E587" s="2"/>
      <c r="F587" s="2"/>
      <c r="G587" s="2"/>
    </row>
    <row r="588" spans="2:7" ht="15.75" customHeight="1" x14ac:dyDescent="0.25">
      <c r="B588" s="2"/>
      <c r="C588" s="2"/>
      <c r="D588" s="2"/>
      <c r="E588" s="2"/>
      <c r="F588" s="2"/>
      <c r="G588" s="2"/>
    </row>
    <row r="589" spans="2:7" ht="15.75" customHeight="1" x14ac:dyDescent="0.25">
      <c r="B589" s="2"/>
      <c r="C589" s="2"/>
      <c r="D589" s="2"/>
      <c r="E589" s="2"/>
      <c r="F589" s="2"/>
      <c r="G589" s="2"/>
    </row>
    <row r="590" spans="2:7" ht="15.75" customHeight="1" x14ac:dyDescent="0.25">
      <c r="B590" s="2"/>
      <c r="C590" s="2"/>
      <c r="D590" s="2"/>
      <c r="E590" s="2"/>
      <c r="F590" s="2"/>
      <c r="G590" s="2"/>
    </row>
    <row r="591" spans="2:7" ht="15.75" customHeight="1" x14ac:dyDescent="0.25">
      <c r="B591" s="2"/>
      <c r="C591" s="2"/>
      <c r="D591" s="2"/>
      <c r="E591" s="2"/>
      <c r="F591" s="2"/>
      <c r="G591" s="2"/>
    </row>
    <row r="592" spans="2:7" ht="15.75" customHeight="1" x14ac:dyDescent="0.25">
      <c r="B592" s="2"/>
      <c r="C592" s="2"/>
      <c r="D592" s="2"/>
      <c r="E592" s="2"/>
      <c r="F592" s="2"/>
      <c r="G592" s="2"/>
    </row>
    <row r="593" spans="2:7" ht="15.75" customHeight="1" x14ac:dyDescent="0.25">
      <c r="B593" s="2"/>
      <c r="C593" s="2"/>
      <c r="D593" s="2"/>
      <c r="E593" s="2"/>
      <c r="F593" s="2"/>
      <c r="G593" s="2"/>
    </row>
    <row r="594" spans="2:7" ht="15.75" customHeight="1" x14ac:dyDescent="0.25">
      <c r="B594" s="2"/>
      <c r="C594" s="2"/>
      <c r="D594" s="2"/>
      <c r="E594" s="2"/>
      <c r="F594" s="2"/>
      <c r="G594" s="2"/>
    </row>
    <row r="595" spans="2:7" ht="15.75" customHeight="1" x14ac:dyDescent="0.25">
      <c r="B595" s="2"/>
      <c r="C595" s="2"/>
      <c r="D595" s="2"/>
      <c r="E595" s="2"/>
      <c r="F595" s="2"/>
      <c r="G595" s="2"/>
    </row>
    <row r="596" spans="2:7" ht="15.75" customHeight="1" x14ac:dyDescent="0.25">
      <c r="B596" s="2"/>
      <c r="C596" s="2"/>
      <c r="D596" s="2"/>
      <c r="E596" s="2"/>
      <c r="F596" s="2"/>
      <c r="G596" s="2"/>
    </row>
    <row r="597" spans="2:7" ht="15.75" customHeight="1" x14ac:dyDescent="0.25">
      <c r="B597" s="2"/>
      <c r="C597" s="2"/>
      <c r="D597" s="2"/>
      <c r="E597" s="2"/>
      <c r="F597" s="2"/>
      <c r="G597" s="2"/>
    </row>
    <row r="598" spans="2:7" ht="15.75" customHeight="1" x14ac:dyDescent="0.25">
      <c r="B598" s="2"/>
      <c r="C598" s="2"/>
      <c r="D598" s="2"/>
      <c r="E598" s="2"/>
      <c r="F598" s="2"/>
      <c r="G598" s="2"/>
    </row>
    <row r="599" spans="2:7" ht="15.75" customHeight="1" x14ac:dyDescent="0.25">
      <c r="B599" s="2"/>
      <c r="C599" s="2"/>
      <c r="D599" s="2"/>
      <c r="E599" s="2"/>
      <c r="F599" s="2"/>
      <c r="G599" s="2"/>
    </row>
    <row r="600" spans="2:7" ht="15.75" customHeight="1" x14ac:dyDescent="0.25">
      <c r="B600" s="2"/>
      <c r="C600" s="2"/>
      <c r="D600" s="2"/>
      <c r="E600" s="2"/>
      <c r="F600" s="2"/>
      <c r="G600" s="2"/>
    </row>
    <row r="601" spans="2:7" ht="15.75" customHeight="1" x14ac:dyDescent="0.25">
      <c r="B601" s="2"/>
      <c r="C601" s="2"/>
      <c r="D601" s="2"/>
      <c r="E601" s="2"/>
      <c r="F601" s="2"/>
      <c r="G601" s="2"/>
    </row>
    <row r="602" spans="2:7" ht="15.75" customHeight="1" x14ac:dyDescent="0.25">
      <c r="B602" s="2"/>
      <c r="C602" s="2"/>
      <c r="D602" s="2"/>
      <c r="E602" s="2"/>
      <c r="F602" s="2"/>
      <c r="G602" s="2"/>
    </row>
    <row r="603" spans="2:7" ht="15.75" customHeight="1" x14ac:dyDescent="0.25">
      <c r="B603" s="2"/>
      <c r="C603" s="2"/>
      <c r="D603" s="2"/>
      <c r="E603" s="2"/>
      <c r="F603" s="2"/>
      <c r="G603" s="2"/>
    </row>
    <row r="604" spans="2:7" ht="15.75" customHeight="1" x14ac:dyDescent="0.25">
      <c r="B604" s="2"/>
      <c r="C604" s="2"/>
      <c r="D604" s="2"/>
      <c r="E604" s="2"/>
      <c r="F604" s="2"/>
      <c r="G604" s="2"/>
    </row>
    <row r="605" spans="2:7" ht="15.75" customHeight="1" x14ac:dyDescent="0.25">
      <c r="B605" s="2"/>
      <c r="C605" s="2"/>
      <c r="D605" s="2"/>
      <c r="E605" s="2"/>
      <c r="F605" s="2"/>
      <c r="G605" s="2"/>
    </row>
    <row r="606" spans="2:7" ht="15.75" customHeight="1" x14ac:dyDescent="0.25">
      <c r="B606" s="2"/>
      <c r="C606" s="2"/>
      <c r="D606" s="2"/>
      <c r="E606" s="2"/>
      <c r="F606" s="2"/>
      <c r="G606" s="2"/>
    </row>
    <row r="607" spans="2:7" ht="15.75" customHeight="1" x14ac:dyDescent="0.25">
      <c r="B607" s="2"/>
      <c r="C607" s="2"/>
      <c r="D607" s="2"/>
      <c r="E607" s="2"/>
      <c r="F607" s="2"/>
      <c r="G607" s="2"/>
    </row>
    <row r="608" spans="2:7" ht="15.75" customHeight="1" x14ac:dyDescent="0.25">
      <c r="B608" s="2"/>
      <c r="C608" s="2"/>
      <c r="D608" s="2"/>
      <c r="E608" s="2"/>
      <c r="F608" s="2"/>
      <c r="G608" s="2"/>
    </row>
    <row r="609" spans="2:7" ht="15.75" customHeight="1" x14ac:dyDescent="0.25">
      <c r="B609" s="2"/>
      <c r="C609" s="2"/>
      <c r="D609" s="2"/>
      <c r="E609" s="2"/>
      <c r="F609" s="2"/>
      <c r="G609" s="2"/>
    </row>
    <row r="610" spans="2:7" ht="15.75" customHeight="1" x14ac:dyDescent="0.25">
      <c r="B610" s="2"/>
      <c r="C610" s="2"/>
      <c r="D610" s="2"/>
      <c r="E610" s="2"/>
      <c r="F610" s="2"/>
      <c r="G610" s="2"/>
    </row>
    <row r="611" spans="2:7" ht="15.75" customHeight="1" x14ac:dyDescent="0.25">
      <c r="B611" s="2"/>
      <c r="C611" s="2"/>
      <c r="D611" s="2"/>
      <c r="E611" s="2"/>
      <c r="F611" s="2"/>
      <c r="G611" s="2"/>
    </row>
    <row r="612" spans="2:7" ht="15.75" customHeight="1" x14ac:dyDescent="0.25">
      <c r="B612" s="2"/>
      <c r="C612" s="2"/>
      <c r="D612" s="2"/>
      <c r="E612" s="2"/>
      <c r="F612" s="2"/>
      <c r="G612" s="2"/>
    </row>
    <row r="613" spans="2:7" ht="15.75" customHeight="1" x14ac:dyDescent="0.25">
      <c r="B613" s="2"/>
      <c r="C613" s="2"/>
      <c r="D613" s="2"/>
      <c r="E613" s="2"/>
      <c r="F613" s="2"/>
      <c r="G613" s="2"/>
    </row>
    <row r="614" spans="2:7" ht="15.75" customHeight="1" x14ac:dyDescent="0.25">
      <c r="B614" s="2"/>
      <c r="C614" s="2"/>
      <c r="D614" s="2"/>
      <c r="E614" s="2"/>
      <c r="F614" s="2"/>
      <c r="G614" s="2"/>
    </row>
    <row r="615" spans="2:7" ht="15.75" customHeight="1" x14ac:dyDescent="0.25">
      <c r="B615" s="2"/>
      <c r="C615" s="2"/>
      <c r="D615" s="2"/>
      <c r="E615" s="2"/>
      <c r="F615" s="2"/>
      <c r="G615" s="2"/>
    </row>
    <row r="616" spans="2:7" ht="15.75" customHeight="1" x14ac:dyDescent="0.25">
      <c r="B616" s="2"/>
      <c r="C616" s="2"/>
      <c r="D616" s="2"/>
      <c r="E616" s="2"/>
      <c r="F616" s="2"/>
      <c r="G616" s="2"/>
    </row>
    <row r="617" spans="2:7" ht="15.75" customHeight="1" x14ac:dyDescent="0.25">
      <c r="B617" s="2"/>
      <c r="C617" s="2"/>
      <c r="D617" s="2"/>
      <c r="E617" s="2"/>
      <c r="F617" s="2"/>
      <c r="G617" s="2"/>
    </row>
    <row r="618" spans="2:7" ht="15.75" customHeight="1" x14ac:dyDescent="0.25">
      <c r="B618" s="2"/>
      <c r="C618" s="2"/>
      <c r="D618" s="2"/>
      <c r="E618" s="2"/>
      <c r="F618" s="2"/>
      <c r="G618" s="2"/>
    </row>
    <row r="619" spans="2:7" ht="15.75" customHeight="1" x14ac:dyDescent="0.25">
      <c r="B619" s="2"/>
      <c r="C619" s="2"/>
      <c r="D619" s="2"/>
      <c r="E619" s="2"/>
      <c r="F619" s="2"/>
      <c r="G619" s="2"/>
    </row>
    <row r="620" spans="2:7" ht="15.75" customHeight="1" x14ac:dyDescent="0.25">
      <c r="B620" s="2"/>
      <c r="C620" s="2"/>
      <c r="D620" s="2"/>
      <c r="E620" s="2"/>
      <c r="F620" s="2"/>
      <c r="G620" s="2"/>
    </row>
    <row r="621" spans="2:7" ht="15.75" customHeight="1" x14ac:dyDescent="0.25">
      <c r="B621" s="2"/>
      <c r="C621" s="2"/>
      <c r="D621" s="2"/>
      <c r="E621" s="2"/>
      <c r="F621" s="2"/>
      <c r="G621" s="2"/>
    </row>
    <row r="622" spans="2:7" ht="15.75" customHeight="1" x14ac:dyDescent="0.25">
      <c r="B622" s="2"/>
      <c r="C622" s="2"/>
      <c r="D622" s="2"/>
      <c r="E622" s="2"/>
      <c r="F622" s="2"/>
      <c r="G622" s="2"/>
    </row>
    <row r="623" spans="2:7" ht="15.75" customHeight="1" x14ac:dyDescent="0.25">
      <c r="B623" s="2"/>
      <c r="C623" s="2"/>
      <c r="D623" s="2"/>
      <c r="E623" s="2"/>
      <c r="F623" s="2"/>
      <c r="G623" s="2"/>
    </row>
    <row r="624" spans="2:7" ht="15.75" customHeight="1" x14ac:dyDescent="0.25">
      <c r="B624" s="2"/>
      <c r="C624" s="2"/>
      <c r="D624" s="2"/>
      <c r="E624" s="2"/>
      <c r="F624" s="2"/>
      <c r="G624" s="2"/>
    </row>
    <row r="625" spans="2:7" ht="15.75" customHeight="1" x14ac:dyDescent="0.25">
      <c r="B625" s="2"/>
      <c r="C625" s="2"/>
      <c r="D625" s="2"/>
      <c r="E625" s="2"/>
      <c r="F625" s="2"/>
      <c r="G625" s="2"/>
    </row>
    <row r="626" spans="2:7" ht="15.75" customHeight="1" x14ac:dyDescent="0.25">
      <c r="B626" s="2"/>
      <c r="C626" s="2"/>
      <c r="D626" s="2"/>
      <c r="E626" s="2"/>
      <c r="F626" s="2"/>
      <c r="G626" s="2"/>
    </row>
    <row r="627" spans="2:7" ht="15.75" customHeight="1" x14ac:dyDescent="0.25">
      <c r="B627" s="2"/>
      <c r="C627" s="2"/>
      <c r="D627" s="2"/>
      <c r="E627" s="2"/>
      <c r="F627" s="2"/>
      <c r="G627" s="2"/>
    </row>
    <row r="628" spans="2:7" ht="15.75" customHeight="1" x14ac:dyDescent="0.25">
      <c r="B628" s="2"/>
      <c r="C628" s="2"/>
      <c r="D628" s="2"/>
      <c r="E628" s="2"/>
      <c r="F628" s="2"/>
      <c r="G628" s="2"/>
    </row>
    <row r="629" spans="2:7" ht="15.75" customHeight="1" x14ac:dyDescent="0.25">
      <c r="B629" s="2"/>
      <c r="C629" s="2"/>
      <c r="D629" s="2"/>
      <c r="E629" s="2"/>
      <c r="F629" s="2"/>
      <c r="G629" s="2"/>
    </row>
    <row r="630" spans="2:7" ht="15.75" customHeight="1" x14ac:dyDescent="0.25">
      <c r="B630" s="2"/>
      <c r="C630" s="2"/>
      <c r="D630" s="2"/>
      <c r="E630" s="2"/>
      <c r="F630" s="2"/>
      <c r="G630" s="2"/>
    </row>
    <row r="631" spans="2:7" ht="15.75" customHeight="1" x14ac:dyDescent="0.25">
      <c r="B631" s="2"/>
      <c r="C631" s="2"/>
      <c r="D631" s="2"/>
      <c r="E631" s="2"/>
      <c r="F631" s="2"/>
      <c r="G631" s="2"/>
    </row>
    <row r="632" spans="2:7" ht="15.75" customHeight="1" x14ac:dyDescent="0.25">
      <c r="B632" s="2"/>
      <c r="C632" s="2"/>
      <c r="D632" s="2"/>
      <c r="E632" s="2"/>
      <c r="F632" s="2"/>
      <c r="G632" s="2"/>
    </row>
    <row r="633" spans="2:7" ht="15.75" customHeight="1" x14ac:dyDescent="0.25">
      <c r="B633" s="2"/>
      <c r="C633" s="2"/>
      <c r="D633" s="2"/>
      <c r="E633" s="2"/>
      <c r="F633" s="2"/>
      <c r="G633" s="2"/>
    </row>
    <row r="634" spans="2:7" ht="15.75" customHeight="1" x14ac:dyDescent="0.25">
      <c r="B634" s="2"/>
      <c r="C634" s="2"/>
      <c r="D634" s="2"/>
      <c r="E634" s="2"/>
      <c r="F634" s="2"/>
      <c r="G634" s="2"/>
    </row>
    <row r="635" spans="2:7" ht="15.75" customHeight="1" x14ac:dyDescent="0.25">
      <c r="B635" s="2"/>
      <c r="C635" s="2"/>
      <c r="D635" s="2"/>
      <c r="E635" s="2"/>
      <c r="F635" s="2"/>
      <c r="G635" s="2"/>
    </row>
    <row r="636" spans="2:7" ht="15.75" customHeight="1" x14ac:dyDescent="0.25">
      <c r="B636" s="2"/>
      <c r="C636" s="2"/>
      <c r="D636" s="2"/>
      <c r="E636" s="2"/>
      <c r="F636" s="2"/>
      <c r="G636" s="2"/>
    </row>
    <row r="637" spans="2:7" ht="15.75" customHeight="1" x14ac:dyDescent="0.25">
      <c r="B637" s="2"/>
      <c r="C637" s="2"/>
      <c r="D637" s="2"/>
      <c r="E637" s="2"/>
      <c r="F637" s="2"/>
      <c r="G637" s="2"/>
    </row>
    <row r="638" spans="2:7" ht="15.75" customHeight="1" x14ac:dyDescent="0.25">
      <c r="B638" s="2"/>
      <c r="C638" s="2"/>
      <c r="D638" s="2"/>
      <c r="E638" s="2"/>
      <c r="F638" s="2"/>
      <c r="G638" s="2"/>
    </row>
    <row r="639" spans="2:7" ht="15.75" customHeight="1" x14ac:dyDescent="0.25">
      <c r="B639" s="2"/>
      <c r="C639" s="2"/>
      <c r="D639" s="2"/>
      <c r="E639" s="2"/>
      <c r="F639" s="2"/>
      <c r="G639" s="2"/>
    </row>
    <row r="640" spans="2:7" ht="15.75" customHeight="1" x14ac:dyDescent="0.25">
      <c r="B640" s="2"/>
      <c r="C640" s="2"/>
      <c r="D640" s="2"/>
      <c r="E640" s="2"/>
      <c r="F640" s="2"/>
      <c r="G640" s="2"/>
    </row>
    <row r="641" spans="2:7" ht="15.75" customHeight="1" x14ac:dyDescent="0.25">
      <c r="B641" s="2"/>
      <c r="C641" s="2"/>
      <c r="D641" s="2"/>
      <c r="E641" s="2"/>
      <c r="F641" s="2"/>
      <c r="G641" s="2"/>
    </row>
    <row r="642" spans="2:7" ht="15.75" customHeight="1" x14ac:dyDescent="0.25">
      <c r="B642" s="2"/>
      <c r="C642" s="2"/>
      <c r="D642" s="2"/>
      <c r="E642" s="2"/>
      <c r="F642" s="2"/>
      <c r="G642" s="2"/>
    </row>
    <row r="643" spans="2:7" ht="15.75" customHeight="1" x14ac:dyDescent="0.25">
      <c r="B643" s="2"/>
      <c r="C643" s="2"/>
      <c r="D643" s="2"/>
      <c r="E643" s="2"/>
      <c r="F643" s="2"/>
      <c r="G643" s="2"/>
    </row>
    <row r="644" spans="2:7" ht="15.75" customHeight="1" x14ac:dyDescent="0.25">
      <c r="B644" s="2"/>
      <c r="C644" s="2"/>
      <c r="D644" s="2"/>
      <c r="E644" s="2"/>
      <c r="F644" s="2"/>
      <c r="G644" s="2"/>
    </row>
    <row r="645" spans="2:7" ht="15.75" customHeight="1" x14ac:dyDescent="0.25">
      <c r="B645" s="2"/>
      <c r="C645" s="2"/>
      <c r="D645" s="2"/>
      <c r="E645" s="2"/>
      <c r="F645" s="2"/>
      <c r="G645" s="2"/>
    </row>
    <row r="646" spans="2:7" ht="15.75" customHeight="1" x14ac:dyDescent="0.25">
      <c r="B646" s="2"/>
      <c r="C646" s="2"/>
      <c r="D646" s="2"/>
      <c r="E646" s="2"/>
      <c r="F646" s="2"/>
      <c r="G646" s="2"/>
    </row>
    <row r="647" spans="2:7" ht="15.75" customHeight="1" x14ac:dyDescent="0.25">
      <c r="B647" s="2"/>
      <c r="C647" s="2"/>
      <c r="D647" s="2"/>
      <c r="E647" s="2"/>
      <c r="F647" s="2"/>
      <c r="G647" s="2"/>
    </row>
    <row r="648" spans="2:7" ht="15.75" customHeight="1" x14ac:dyDescent="0.25">
      <c r="B648" s="2"/>
      <c r="C648" s="2"/>
      <c r="D648" s="2"/>
      <c r="E648" s="2"/>
      <c r="F648" s="2"/>
      <c r="G648" s="2"/>
    </row>
    <row r="649" spans="2:7" ht="15.75" customHeight="1" x14ac:dyDescent="0.25">
      <c r="B649" s="2"/>
      <c r="C649" s="2"/>
      <c r="D649" s="2"/>
      <c r="E649" s="2"/>
      <c r="F649" s="2"/>
      <c r="G649" s="2"/>
    </row>
    <row r="650" spans="2:7" ht="15.75" customHeight="1" x14ac:dyDescent="0.25">
      <c r="B650" s="2"/>
      <c r="C650" s="2"/>
      <c r="D650" s="2"/>
      <c r="E650" s="2"/>
      <c r="F650" s="2"/>
      <c r="G650" s="2"/>
    </row>
    <row r="651" spans="2:7" ht="15.75" customHeight="1" x14ac:dyDescent="0.25">
      <c r="B651" s="2"/>
      <c r="C651" s="2"/>
      <c r="D651" s="2"/>
      <c r="E651" s="2"/>
      <c r="F651" s="2"/>
      <c r="G651" s="2"/>
    </row>
    <row r="652" spans="2:7" ht="15.75" customHeight="1" x14ac:dyDescent="0.25">
      <c r="B652" s="2"/>
      <c r="C652" s="2"/>
      <c r="D652" s="2"/>
      <c r="E652" s="2"/>
      <c r="F652" s="2"/>
      <c r="G652" s="2"/>
    </row>
    <row r="653" spans="2:7" ht="15.75" customHeight="1" x14ac:dyDescent="0.25">
      <c r="B653" s="2"/>
      <c r="C653" s="2"/>
      <c r="D653" s="2"/>
      <c r="E653" s="2"/>
      <c r="F653" s="2"/>
      <c r="G653" s="2"/>
    </row>
    <row r="654" spans="2:7" ht="15.75" customHeight="1" x14ac:dyDescent="0.25">
      <c r="B654" s="2"/>
      <c r="C654" s="2"/>
      <c r="D654" s="2"/>
      <c r="E654" s="2"/>
      <c r="F654" s="2"/>
      <c r="G654" s="2"/>
    </row>
    <row r="655" spans="2:7" ht="15.75" customHeight="1" x14ac:dyDescent="0.25">
      <c r="B655" s="2"/>
      <c r="C655" s="2"/>
      <c r="D655" s="2"/>
      <c r="E655" s="2"/>
      <c r="F655" s="2"/>
      <c r="G655" s="2"/>
    </row>
    <row r="656" spans="2:7" ht="15.75" customHeight="1" x14ac:dyDescent="0.25">
      <c r="B656" s="2"/>
      <c r="C656" s="2"/>
      <c r="D656" s="2"/>
      <c r="E656" s="2"/>
      <c r="F656" s="2"/>
      <c r="G656" s="2"/>
    </row>
    <row r="657" spans="2:7" ht="15.75" customHeight="1" x14ac:dyDescent="0.25">
      <c r="B657" s="2"/>
      <c r="C657" s="2"/>
      <c r="D657" s="2"/>
      <c r="E657" s="2"/>
      <c r="F657" s="2"/>
      <c r="G657" s="2"/>
    </row>
    <row r="658" spans="2:7" ht="15.75" customHeight="1" x14ac:dyDescent="0.25">
      <c r="B658" s="2"/>
      <c r="C658" s="2"/>
      <c r="D658" s="2"/>
      <c r="E658" s="2"/>
      <c r="F658" s="2"/>
      <c r="G658" s="2"/>
    </row>
    <row r="659" spans="2:7" ht="15.75" customHeight="1" x14ac:dyDescent="0.25">
      <c r="B659" s="2"/>
      <c r="C659" s="2"/>
      <c r="D659" s="2"/>
      <c r="E659" s="2"/>
      <c r="F659" s="2"/>
      <c r="G659" s="2"/>
    </row>
    <row r="660" spans="2:7" ht="15.75" customHeight="1" x14ac:dyDescent="0.25">
      <c r="B660" s="2"/>
      <c r="C660" s="2"/>
      <c r="D660" s="2"/>
      <c r="E660" s="2"/>
      <c r="F660" s="2"/>
      <c r="G660" s="2"/>
    </row>
    <row r="661" spans="2:7" ht="15.75" customHeight="1" x14ac:dyDescent="0.25">
      <c r="B661" s="2"/>
      <c r="C661" s="2"/>
      <c r="D661" s="2"/>
      <c r="E661" s="2"/>
      <c r="F661" s="2"/>
      <c r="G661" s="2"/>
    </row>
    <row r="662" spans="2:7" ht="15.75" customHeight="1" x14ac:dyDescent="0.25">
      <c r="B662" s="2"/>
      <c r="C662" s="2"/>
      <c r="D662" s="2"/>
      <c r="E662" s="2"/>
      <c r="F662" s="2"/>
      <c r="G662" s="2"/>
    </row>
    <row r="663" spans="2:7" ht="15.75" customHeight="1" x14ac:dyDescent="0.25">
      <c r="B663" s="2"/>
      <c r="C663" s="2"/>
      <c r="D663" s="2"/>
      <c r="E663" s="2"/>
      <c r="F663" s="2"/>
      <c r="G663" s="2"/>
    </row>
    <row r="664" spans="2:7" ht="15.75" customHeight="1" x14ac:dyDescent="0.25">
      <c r="B664" s="2"/>
      <c r="C664" s="2"/>
      <c r="D664" s="2"/>
      <c r="E664" s="2"/>
      <c r="F664" s="2"/>
      <c r="G664" s="2"/>
    </row>
    <row r="665" spans="2:7" ht="15.75" customHeight="1" x14ac:dyDescent="0.25">
      <c r="B665" s="2"/>
      <c r="C665" s="2"/>
      <c r="D665" s="2"/>
      <c r="E665" s="2"/>
      <c r="F665" s="2"/>
      <c r="G665" s="2"/>
    </row>
    <row r="666" spans="2:7" ht="15.75" customHeight="1" x14ac:dyDescent="0.25">
      <c r="B666" s="2"/>
      <c r="C666" s="2"/>
      <c r="D666" s="2"/>
      <c r="E666" s="2"/>
      <c r="F666" s="2"/>
      <c r="G666" s="2"/>
    </row>
    <row r="667" spans="2:7" ht="15.75" customHeight="1" x14ac:dyDescent="0.25">
      <c r="B667" s="2"/>
      <c r="C667" s="2"/>
      <c r="D667" s="2"/>
      <c r="E667" s="2"/>
      <c r="F667" s="2"/>
      <c r="G667" s="2"/>
    </row>
    <row r="668" spans="2:7" ht="15.75" customHeight="1" x14ac:dyDescent="0.25">
      <c r="B668" s="2"/>
      <c r="C668" s="2"/>
      <c r="D668" s="2"/>
      <c r="E668" s="2"/>
      <c r="F668" s="2"/>
      <c r="G668" s="2"/>
    </row>
    <row r="669" spans="2:7" ht="15.75" customHeight="1" x14ac:dyDescent="0.25">
      <c r="B669" s="2"/>
      <c r="C669" s="2"/>
      <c r="D669" s="2"/>
      <c r="E669" s="2"/>
      <c r="F669" s="2"/>
      <c r="G669" s="2"/>
    </row>
    <row r="670" spans="2:7" ht="15.75" customHeight="1" x14ac:dyDescent="0.25">
      <c r="B670" s="2"/>
      <c r="C670" s="2"/>
      <c r="D670" s="2"/>
      <c r="E670" s="2"/>
      <c r="F670" s="2"/>
      <c r="G670" s="2"/>
    </row>
    <row r="671" spans="2:7" ht="15.75" customHeight="1" x14ac:dyDescent="0.25">
      <c r="B671" s="2"/>
      <c r="C671" s="2"/>
      <c r="D671" s="2"/>
      <c r="E671" s="2"/>
      <c r="F671" s="2"/>
      <c r="G671" s="2"/>
    </row>
    <row r="672" spans="2:7" ht="15.75" customHeight="1" x14ac:dyDescent="0.25">
      <c r="B672" s="2"/>
      <c r="C672" s="2"/>
      <c r="D672" s="2"/>
      <c r="E672" s="2"/>
      <c r="F672" s="2"/>
      <c r="G672" s="2"/>
    </row>
    <row r="673" spans="2:7" ht="15.75" customHeight="1" x14ac:dyDescent="0.25">
      <c r="B673" s="2"/>
      <c r="C673" s="2"/>
      <c r="D673" s="2"/>
      <c r="E673" s="2"/>
      <c r="F673" s="2"/>
      <c r="G673" s="2"/>
    </row>
    <row r="674" spans="2:7" ht="15.75" customHeight="1" x14ac:dyDescent="0.25">
      <c r="B674" s="2"/>
      <c r="C674" s="2"/>
      <c r="D674" s="2"/>
      <c r="E674" s="2"/>
      <c r="F674" s="2"/>
      <c r="G674" s="2"/>
    </row>
    <row r="675" spans="2:7" ht="15.75" customHeight="1" x14ac:dyDescent="0.25">
      <c r="B675" s="2"/>
      <c r="C675" s="2"/>
      <c r="D675" s="2"/>
      <c r="E675" s="2"/>
      <c r="F675" s="2"/>
      <c r="G675" s="2"/>
    </row>
    <row r="676" spans="2:7" ht="15.75" customHeight="1" x14ac:dyDescent="0.25">
      <c r="B676" s="2"/>
      <c r="C676" s="2"/>
      <c r="D676" s="2"/>
      <c r="E676" s="2"/>
      <c r="F676" s="2"/>
      <c r="G676" s="2"/>
    </row>
    <row r="677" spans="2:7" ht="15.75" customHeight="1" x14ac:dyDescent="0.25">
      <c r="B677" s="2"/>
      <c r="C677" s="2"/>
      <c r="D677" s="2"/>
      <c r="E677" s="2"/>
      <c r="F677" s="2"/>
      <c r="G677" s="2"/>
    </row>
    <row r="678" spans="2:7" ht="15.75" customHeight="1" x14ac:dyDescent="0.25">
      <c r="B678" s="2"/>
      <c r="C678" s="2"/>
      <c r="D678" s="2"/>
      <c r="E678" s="2"/>
      <c r="F678" s="2"/>
      <c r="G678" s="2"/>
    </row>
    <row r="679" spans="2:7" ht="15.75" customHeight="1" x14ac:dyDescent="0.25">
      <c r="B679" s="2"/>
      <c r="C679" s="2"/>
      <c r="D679" s="2"/>
      <c r="E679" s="2"/>
      <c r="F679" s="2"/>
      <c r="G679" s="2"/>
    </row>
    <row r="680" spans="2:7" ht="15.75" customHeight="1" x14ac:dyDescent="0.25">
      <c r="B680" s="2"/>
      <c r="C680" s="2"/>
      <c r="D680" s="2"/>
      <c r="E680" s="2"/>
      <c r="F680" s="2"/>
      <c r="G680" s="2"/>
    </row>
    <row r="681" spans="2:7" ht="15.75" customHeight="1" x14ac:dyDescent="0.25">
      <c r="B681" s="2"/>
      <c r="C681" s="2"/>
      <c r="D681" s="2"/>
      <c r="E681" s="2"/>
      <c r="F681" s="2"/>
      <c r="G681" s="2"/>
    </row>
    <row r="682" spans="2:7" ht="15.75" customHeight="1" x14ac:dyDescent="0.25">
      <c r="B682" s="2"/>
      <c r="C682" s="2"/>
      <c r="D682" s="2"/>
      <c r="E682" s="2"/>
      <c r="F682" s="2"/>
      <c r="G682" s="2"/>
    </row>
    <row r="683" spans="2:7" ht="15.75" customHeight="1" x14ac:dyDescent="0.25">
      <c r="B683" s="2"/>
      <c r="C683" s="2"/>
      <c r="D683" s="2"/>
      <c r="E683" s="2"/>
      <c r="F683" s="2"/>
      <c r="G683" s="2"/>
    </row>
    <row r="684" spans="2:7" ht="15.75" customHeight="1" x14ac:dyDescent="0.25">
      <c r="B684" s="2"/>
      <c r="C684" s="2"/>
      <c r="D684" s="2"/>
      <c r="E684" s="2"/>
      <c r="F684" s="2"/>
      <c r="G684" s="2"/>
    </row>
    <row r="685" spans="2:7" ht="15.75" customHeight="1" x14ac:dyDescent="0.25">
      <c r="B685" s="2"/>
      <c r="C685" s="2"/>
      <c r="D685" s="2"/>
      <c r="E685" s="2"/>
      <c r="F685" s="2"/>
      <c r="G685" s="2"/>
    </row>
    <row r="686" spans="2:7" ht="15.75" customHeight="1" x14ac:dyDescent="0.25">
      <c r="B686" s="2"/>
      <c r="C686" s="2"/>
      <c r="D686" s="2"/>
      <c r="E686" s="2"/>
      <c r="F686" s="2"/>
      <c r="G686" s="2"/>
    </row>
    <row r="687" spans="2:7" ht="15.75" customHeight="1" x14ac:dyDescent="0.25">
      <c r="B687" s="2"/>
      <c r="C687" s="2"/>
      <c r="D687" s="2"/>
      <c r="E687" s="2"/>
      <c r="F687" s="2"/>
      <c r="G687" s="2"/>
    </row>
    <row r="688" spans="2:7" ht="15.75" customHeight="1" x14ac:dyDescent="0.25">
      <c r="B688" s="2"/>
      <c r="C688" s="2"/>
      <c r="D688" s="2"/>
      <c r="E688" s="2"/>
      <c r="F688" s="2"/>
      <c r="G688" s="2"/>
    </row>
    <row r="689" spans="2:7" ht="15.75" customHeight="1" x14ac:dyDescent="0.25">
      <c r="B689" s="2"/>
      <c r="C689" s="2"/>
      <c r="D689" s="2"/>
      <c r="E689" s="2"/>
      <c r="F689" s="2"/>
      <c r="G689" s="2"/>
    </row>
    <row r="690" spans="2:7" ht="15.75" customHeight="1" x14ac:dyDescent="0.25">
      <c r="B690" s="2"/>
      <c r="C690" s="2"/>
      <c r="D690" s="2"/>
      <c r="E690" s="2"/>
      <c r="F690" s="2"/>
      <c r="G690" s="2"/>
    </row>
    <row r="691" spans="2:7" ht="15.75" customHeight="1" x14ac:dyDescent="0.25">
      <c r="B691" s="2"/>
      <c r="C691" s="2"/>
      <c r="D691" s="2"/>
      <c r="E691" s="2"/>
      <c r="F691" s="2"/>
      <c r="G691" s="2"/>
    </row>
    <row r="692" spans="2:7" ht="15.75" customHeight="1" x14ac:dyDescent="0.25">
      <c r="B692" s="2"/>
      <c r="C692" s="2"/>
      <c r="D692" s="2"/>
      <c r="E692" s="2"/>
      <c r="F692" s="2"/>
      <c r="G692" s="2"/>
    </row>
    <row r="693" spans="2:7" ht="15.75" customHeight="1" x14ac:dyDescent="0.25">
      <c r="B693" s="2"/>
      <c r="C693" s="2"/>
      <c r="D693" s="2"/>
      <c r="E693" s="2"/>
      <c r="F693" s="2"/>
      <c r="G693" s="2"/>
    </row>
    <row r="694" spans="2:7" ht="15.75" customHeight="1" x14ac:dyDescent="0.25">
      <c r="B694" s="2"/>
      <c r="C694" s="2"/>
      <c r="D694" s="2"/>
      <c r="E694" s="2"/>
      <c r="F694" s="2"/>
      <c r="G694" s="2"/>
    </row>
    <row r="695" spans="2:7" ht="15.75" customHeight="1" x14ac:dyDescent="0.25">
      <c r="B695" s="2"/>
      <c r="C695" s="2"/>
      <c r="D695" s="2"/>
      <c r="E695" s="2"/>
      <c r="F695" s="2"/>
      <c r="G695" s="2"/>
    </row>
    <row r="696" spans="2:7" ht="15.75" customHeight="1" x14ac:dyDescent="0.25">
      <c r="B696" s="2"/>
      <c r="C696" s="2"/>
      <c r="D696" s="2"/>
      <c r="E696" s="2"/>
      <c r="F696" s="2"/>
      <c r="G696" s="2"/>
    </row>
    <row r="697" spans="2:7" ht="15.75" customHeight="1" x14ac:dyDescent="0.25">
      <c r="B697" s="2"/>
      <c r="C697" s="2"/>
      <c r="D697" s="2"/>
      <c r="E697" s="2"/>
      <c r="F697" s="2"/>
      <c r="G697" s="2"/>
    </row>
    <row r="698" spans="2:7" ht="15.75" customHeight="1" x14ac:dyDescent="0.25">
      <c r="B698" s="2"/>
      <c r="C698" s="2"/>
      <c r="D698" s="2"/>
      <c r="E698" s="2"/>
      <c r="F698" s="2"/>
      <c r="G698" s="2"/>
    </row>
    <row r="699" spans="2:7" ht="15.75" customHeight="1" x14ac:dyDescent="0.25">
      <c r="B699" s="2"/>
      <c r="C699" s="2"/>
      <c r="D699" s="2"/>
      <c r="E699" s="2"/>
      <c r="F699" s="2"/>
      <c r="G699" s="2"/>
    </row>
    <row r="700" spans="2:7" ht="15.75" customHeight="1" x14ac:dyDescent="0.25">
      <c r="B700" s="2"/>
      <c r="C700" s="2"/>
      <c r="D700" s="2"/>
      <c r="E700" s="2"/>
      <c r="F700" s="2"/>
      <c r="G700" s="2"/>
    </row>
    <row r="701" spans="2:7" ht="15.75" customHeight="1" x14ac:dyDescent="0.25">
      <c r="B701" s="2"/>
      <c r="C701" s="2"/>
      <c r="D701" s="2"/>
      <c r="E701" s="2"/>
      <c r="F701" s="2"/>
      <c r="G701" s="2"/>
    </row>
    <row r="702" spans="2:7" ht="15.75" customHeight="1" x14ac:dyDescent="0.25">
      <c r="B702" s="2"/>
      <c r="C702" s="2"/>
      <c r="D702" s="2"/>
      <c r="E702" s="2"/>
      <c r="F702" s="2"/>
      <c r="G702" s="2"/>
    </row>
    <row r="703" spans="2:7" ht="15.75" customHeight="1" x14ac:dyDescent="0.25">
      <c r="B703" s="2"/>
      <c r="C703" s="2"/>
      <c r="D703" s="2"/>
      <c r="E703" s="2"/>
      <c r="F703" s="2"/>
      <c r="G703" s="2"/>
    </row>
    <row r="704" spans="2:7" ht="15.75" customHeight="1" x14ac:dyDescent="0.25">
      <c r="B704" s="2"/>
      <c r="C704" s="2"/>
      <c r="D704" s="2"/>
      <c r="E704" s="2"/>
      <c r="F704" s="2"/>
      <c r="G704" s="2"/>
    </row>
    <row r="705" spans="2:7" ht="15.75" customHeight="1" x14ac:dyDescent="0.25">
      <c r="B705" s="2"/>
      <c r="C705" s="2"/>
      <c r="D705" s="2"/>
      <c r="E705" s="2"/>
      <c r="F705" s="2"/>
      <c r="G705" s="2"/>
    </row>
    <row r="706" spans="2:7" ht="15.75" customHeight="1" x14ac:dyDescent="0.25">
      <c r="B706" s="2"/>
      <c r="C706" s="2"/>
      <c r="D706" s="2"/>
      <c r="E706" s="2"/>
      <c r="F706" s="2"/>
      <c r="G706" s="2"/>
    </row>
    <row r="707" spans="2:7" ht="15.75" customHeight="1" x14ac:dyDescent="0.25">
      <c r="B707" s="2"/>
      <c r="C707" s="2"/>
      <c r="D707" s="2"/>
      <c r="E707" s="2"/>
      <c r="F707" s="2"/>
      <c r="G707" s="2"/>
    </row>
    <row r="708" spans="2:7" ht="15.75" customHeight="1" x14ac:dyDescent="0.25">
      <c r="B708" s="2"/>
      <c r="C708" s="2"/>
      <c r="D708" s="2"/>
      <c r="E708" s="2"/>
      <c r="F708" s="2"/>
      <c r="G708" s="2"/>
    </row>
    <row r="709" spans="2:7" ht="15.75" customHeight="1" x14ac:dyDescent="0.25">
      <c r="B709" s="2"/>
      <c r="C709" s="2"/>
      <c r="D709" s="2"/>
      <c r="E709" s="2"/>
      <c r="F709" s="2"/>
      <c r="G709" s="2"/>
    </row>
    <row r="710" spans="2:7" ht="15.75" customHeight="1" x14ac:dyDescent="0.25">
      <c r="B710" s="2"/>
      <c r="C710" s="2"/>
      <c r="D710" s="2"/>
      <c r="E710" s="2"/>
      <c r="F710" s="2"/>
      <c r="G710" s="2"/>
    </row>
    <row r="711" spans="2:7" ht="15.75" customHeight="1" x14ac:dyDescent="0.25">
      <c r="B711" s="2"/>
      <c r="C711" s="2"/>
      <c r="D711" s="2"/>
      <c r="E711" s="2"/>
      <c r="F711" s="2"/>
      <c r="G711" s="2"/>
    </row>
    <row r="712" spans="2:7" ht="15.75" customHeight="1" x14ac:dyDescent="0.25">
      <c r="B712" s="2"/>
      <c r="C712" s="2"/>
      <c r="D712" s="2"/>
      <c r="E712" s="2"/>
      <c r="F712" s="2"/>
      <c r="G712" s="2"/>
    </row>
    <row r="713" spans="2:7" ht="15.75" customHeight="1" x14ac:dyDescent="0.25">
      <c r="B713" s="2"/>
      <c r="C713" s="2"/>
      <c r="D713" s="2"/>
      <c r="E713" s="2"/>
      <c r="F713" s="2"/>
      <c r="G713" s="2"/>
    </row>
    <row r="714" spans="2:7" ht="15.75" customHeight="1" x14ac:dyDescent="0.25">
      <c r="B714" s="2"/>
      <c r="C714" s="2"/>
      <c r="D714" s="2"/>
      <c r="E714" s="2"/>
      <c r="F714" s="2"/>
      <c r="G714" s="2"/>
    </row>
    <row r="715" spans="2:7" ht="15.75" customHeight="1" x14ac:dyDescent="0.25">
      <c r="B715" s="2"/>
      <c r="C715" s="2"/>
      <c r="D715" s="2"/>
      <c r="E715" s="2"/>
      <c r="F715" s="2"/>
      <c r="G715" s="2"/>
    </row>
    <row r="716" spans="2:7" ht="15.75" customHeight="1" x14ac:dyDescent="0.25">
      <c r="B716" s="2"/>
      <c r="C716" s="2"/>
      <c r="D716" s="2"/>
      <c r="E716" s="2"/>
      <c r="F716" s="2"/>
      <c r="G716" s="2"/>
    </row>
    <row r="717" spans="2:7" ht="15.75" customHeight="1" x14ac:dyDescent="0.25">
      <c r="B717" s="2"/>
      <c r="C717" s="2"/>
      <c r="D717" s="2"/>
      <c r="E717" s="2"/>
      <c r="F717" s="2"/>
      <c r="G717" s="2"/>
    </row>
    <row r="718" spans="2:7" ht="15.75" customHeight="1" x14ac:dyDescent="0.25">
      <c r="B718" s="2"/>
      <c r="C718" s="2"/>
      <c r="D718" s="2"/>
      <c r="E718" s="2"/>
      <c r="F718" s="2"/>
      <c r="G718" s="2"/>
    </row>
    <row r="719" spans="2:7" ht="15.75" customHeight="1" x14ac:dyDescent="0.25">
      <c r="B719" s="2"/>
      <c r="C719" s="2"/>
      <c r="D719" s="2"/>
      <c r="E719" s="2"/>
      <c r="F719" s="2"/>
      <c r="G719" s="2"/>
    </row>
    <row r="720" spans="2:7" ht="15.75" customHeight="1" x14ac:dyDescent="0.25">
      <c r="B720" s="2"/>
      <c r="C720" s="2"/>
      <c r="D720" s="2"/>
      <c r="E720" s="2"/>
      <c r="F720" s="2"/>
      <c r="G720" s="2"/>
    </row>
    <row r="721" spans="2:7" ht="15.75" customHeight="1" x14ac:dyDescent="0.25">
      <c r="B721" s="2"/>
      <c r="C721" s="2"/>
      <c r="D721" s="2"/>
      <c r="E721" s="2"/>
      <c r="F721" s="2"/>
      <c r="G721" s="2"/>
    </row>
    <row r="722" spans="2:7" ht="15.75" customHeight="1" x14ac:dyDescent="0.25">
      <c r="B722" s="2"/>
      <c r="C722" s="2"/>
      <c r="D722" s="2"/>
      <c r="E722" s="2"/>
      <c r="F722" s="2"/>
      <c r="G722" s="2"/>
    </row>
    <row r="723" spans="2:7" ht="15.75" customHeight="1" x14ac:dyDescent="0.25">
      <c r="B723" s="2"/>
      <c r="C723" s="2"/>
      <c r="D723" s="2"/>
      <c r="E723" s="2"/>
      <c r="F723" s="2"/>
      <c r="G723" s="2"/>
    </row>
    <row r="724" spans="2:7" ht="15.75" customHeight="1" x14ac:dyDescent="0.25">
      <c r="B724" s="2"/>
      <c r="C724" s="2"/>
      <c r="D724" s="2"/>
      <c r="E724" s="2"/>
      <c r="F724" s="2"/>
      <c r="G724" s="2"/>
    </row>
    <row r="725" spans="2:7" ht="15.75" customHeight="1" x14ac:dyDescent="0.25">
      <c r="B725" s="2"/>
      <c r="C725" s="2"/>
      <c r="D725" s="2"/>
      <c r="E725" s="2"/>
      <c r="F725" s="2"/>
      <c r="G725" s="2"/>
    </row>
    <row r="726" spans="2:7" ht="15.75" customHeight="1" x14ac:dyDescent="0.25">
      <c r="B726" s="2"/>
      <c r="C726" s="2"/>
      <c r="D726" s="2"/>
      <c r="E726" s="2"/>
      <c r="F726" s="2"/>
      <c r="G726" s="2"/>
    </row>
    <row r="727" spans="2:7" ht="15.75" customHeight="1" x14ac:dyDescent="0.25">
      <c r="B727" s="2"/>
      <c r="C727" s="2"/>
      <c r="D727" s="2"/>
      <c r="E727" s="2"/>
      <c r="F727" s="2"/>
      <c r="G727" s="2"/>
    </row>
    <row r="728" spans="2:7" ht="15.75" customHeight="1" x14ac:dyDescent="0.25">
      <c r="B728" s="2"/>
      <c r="C728" s="2"/>
      <c r="D728" s="2"/>
      <c r="E728" s="2"/>
      <c r="F728" s="2"/>
      <c r="G728" s="2"/>
    </row>
    <row r="729" spans="2:7" ht="15.75" customHeight="1" x14ac:dyDescent="0.25">
      <c r="B729" s="2"/>
      <c r="C729" s="2"/>
      <c r="D729" s="2"/>
      <c r="E729" s="2"/>
      <c r="F729" s="2"/>
      <c r="G729" s="2"/>
    </row>
    <row r="730" spans="2:7" ht="15.75" customHeight="1" x14ac:dyDescent="0.25">
      <c r="B730" s="2"/>
      <c r="C730" s="2"/>
      <c r="D730" s="2"/>
      <c r="E730" s="2"/>
      <c r="F730" s="2"/>
      <c r="G730" s="2"/>
    </row>
    <row r="731" spans="2:7" ht="15.75" customHeight="1" x14ac:dyDescent="0.25">
      <c r="B731" s="2"/>
      <c r="C731" s="2"/>
      <c r="D731" s="2"/>
      <c r="E731" s="2"/>
      <c r="F731" s="2"/>
      <c r="G731" s="2"/>
    </row>
    <row r="732" spans="2:7" ht="15.75" customHeight="1" x14ac:dyDescent="0.25">
      <c r="B732" s="2"/>
      <c r="C732" s="2"/>
      <c r="D732" s="2"/>
      <c r="E732" s="2"/>
      <c r="F732" s="2"/>
      <c r="G732" s="2"/>
    </row>
    <row r="733" spans="2:7" ht="15.75" customHeight="1" x14ac:dyDescent="0.25">
      <c r="B733" s="2"/>
      <c r="C733" s="2"/>
      <c r="D733" s="2"/>
      <c r="E733" s="2"/>
      <c r="F733" s="2"/>
      <c r="G733" s="2"/>
    </row>
    <row r="734" spans="2:7" ht="15.75" customHeight="1" x14ac:dyDescent="0.25">
      <c r="B734" s="2"/>
      <c r="C734" s="2"/>
      <c r="D734" s="2"/>
      <c r="E734" s="2"/>
      <c r="F734" s="2"/>
      <c r="G734" s="2"/>
    </row>
    <row r="735" spans="2:7" ht="15.75" customHeight="1" x14ac:dyDescent="0.25">
      <c r="B735" s="2"/>
      <c r="C735" s="2"/>
      <c r="D735" s="2"/>
      <c r="E735" s="2"/>
      <c r="F735" s="2"/>
      <c r="G735" s="2"/>
    </row>
    <row r="736" spans="2:7" ht="15.75" customHeight="1" x14ac:dyDescent="0.25">
      <c r="B736" s="2"/>
      <c r="C736" s="2"/>
      <c r="D736" s="2"/>
      <c r="E736" s="2"/>
      <c r="F736" s="2"/>
      <c r="G736" s="2"/>
    </row>
    <row r="737" spans="2:7" ht="15.75" customHeight="1" x14ac:dyDescent="0.25">
      <c r="B737" s="2"/>
      <c r="C737" s="2"/>
      <c r="D737" s="2"/>
      <c r="E737" s="2"/>
      <c r="F737" s="2"/>
      <c r="G737" s="2"/>
    </row>
    <row r="738" spans="2:7" ht="15.75" customHeight="1" x14ac:dyDescent="0.25">
      <c r="B738" s="2"/>
      <c r="C738" s="2"/>
      <c r="D738" s="2"/>
      <c r="E738" s="2"/>
      <c r="F738" s="2"/>
      <c r="G738" s="2"/>
    </row>
    <row r="739" spans="2:7" ht="15.75" customHeight="1" x14ac:dyDescent="0.25">
      <c r="B739" s="2"/>
      <c r="C739" s="2"/>
      <c r="D739" s="2"/>
      <c r="E739" s="2"/>
      <c r="F739" s="2"/>
      <c r="G739" s="2"/>
    </row>
    <row r="740" spans="2:7" ht="15.75" customHeight="1" x14ac:dyDescent="0.25">
      <c r="B740" s="2"/>
      <c r="C740" s="2"/>
      <c r="D740" s="2"/>
      <c r="E740" s="2"/>
      <c r="F740" s="2"/>
      <c r="G740" s="2"/>
    </row>
    <row r="741" spans="2:7" ht="15.75" customHeight="1" x14ac:dyDescent="0.25">
      <c r="B741" s="2"/>
      <c r="C741" s="2"/>
      <c r="D741" s="2"/>
      <c r="E741" s="2"/>
      <c r="F741" s="2"/>
      <c r="G741" s="2"/>
    </row>
    <row r="742" spans="2:7" ht="15.75" customHeight="1" x14ac:dyDescent="0.25">
      <c r="B742" s="2"/>
      <c r="C742" s="2"/>
      <c r="D742" s="2"/>
      <c r="E742" s="2"/>
      <c r="F742" s="2"/>
      <c r="G742" s="2"/>
    </row>
    <row r="743" spans="2:7" ht="15.75" customHeight="1" x14ac:dyDescent="0.25">
      <c r="B743" s="2"/>
      <c r="C743" s="2"/>
      <c r="D743" s="2"/>
      <c r="E743" s="2"/>
      <c r="F743" s="2"/>
      <c r="G743" s="2"/>
    </row>
    <row r="744" spans="2:7" ht="15.75" customHeight="1" x14ac:dyDescent="0.25">
      <c r="B744" s="2"/>
      <c r="C744" s="2"/>
      <c r="D744" s="2"/>
      <c r="E744" s="2"/>
      <c r="F744" s="2"/>
      <c r="G744" s="2"/>
    </row>
    <row r="745" spans="2:7" ht="15.75" customHeight="1" x14ac:dyDescent="0.25">
      <c r="B745" s="2"/>
      <c r="C745" s="2"/>
      <c r="D745" s="2"/>
      <c r="E745" s="2"/>
      <c r="F745" s="2"/>
      <c r="G745" s="2"/>
    </row>
    <row r="746" spans="2:7" ht="15.75" customHeight="1" x14ac:dyDescent="0.25">
      <c r="B746" s="2"/>
      <c r="C746" s="2"/>
      <c r="D746" s="2"/>
      <c r="E746" s="2"/>
      <c r="F746" s="2"/>
      <c r="G746" s="2"/>
    </row>
    <row r="747" spans="2:7" ht="15.75" customHeight="1" x14ac:dyDescent="0.25">
      <c r="B747" s="2"/>
      <c r="C747" s="2"/>
      <c r="D747" s="2"/>
      <c r="E747" s="2"/>
      <c r="F747" s="2"/>
      <c r="G747" s="2"/>
    </row>
    <row r="748" spans="2:7" ht="15.75" customHeight="1" x14ac:dyDescent="0.25">
      <c r="B748" s="2"/>
      <c r="C748" s="2"/>
      <c r="D748" s="2"/>
      <c r="E748" s="2"/>
      <c r="F748" s="2"/>
      <c r="G748" s="2"/>
    </row>
    <row r="749" spans="2:7" ht="15.75" customHeight="1" x14ac:dyDescent="0.25">
      <c r="B749" s="2"/>
      <c r="C749" s="2"/>
      <c r="D749" s="2"/>
      <c r="E749" s="2"/>
      <c r="F749" s="2"/>
      <c r="G749" s="2"/>
    </row>
    <row r="750" spans="2:7" ht="15.75" customHeight="1" x14ac:dyDescent="0.25">
      <c r="B750" s="2"/>
      <c r="C750" s="2"/>
      <c r="D750" s="2"/>
      <c r="E750" s="2"/>
      <c r="F750" s="2"/>
      <c r="G750" s="2"/>
    </row>
    <row r="751" spans="2:7" ht="15.75" customHeight="1" x14ac:dyDescent="0.25">
      <c r="B751" s="2"/>
      <c r="C751" s="2"/>
      <c r="D751" s="2"/>
      <c r="E751" s="2"/>
      <c r="F751" s="2"/>
      <c r="G751" s="2"/>
    </row>
    <row r="752" spans="2:7" ht="15.75" customHeight="1" x14ac:dyDescent="0.25">
      <c r="B752" s="2"/>
      <c r="C752" s="2"/>
      <c r="D752" s="2"/>
      <c r="E752" s="2"/>
      <c r="F752" s="2"/>
      <c r="G752" s="2"/>
    </row>
    <row r="753" spans="2:7" ht="15.75" customHeight="1" x14ac:dyDescent="0.25">
      <c r="B753" s="2"/>
      <c r="C753" s="2"/>
      <c r="D753" s="2"/>
      <c r="E753" s="2"/>
      <c r="F753" s="2"/>
      <c r="G753" s="2"/>
    </row>
    <row r="754" spans="2:7" ht="15.75" customHeight="1" x14ac:dyDescent="0.25">
      <c r="B754" s="2"/>
      <c r="C754" s="2"/>
      <c r="D754" s="2"/>
      <c r="E754" s="2"/>
      <c r="F754" s="2"/>
      <c r="G754" s="2"/>
    </row>
    <row r="755" spans="2:7" ht="15.75" customHeight="1" x14ac:dyDescent="0.25">
      <c r="B755" s="2"/>
      <c r="C755" s="2"/>
      <c r="D755" s="2"/>
      <c r="E755" s="2"/>
      <c r="F755" s="2"/>
      <c r="G755" s="2"/>
    </row>
    <row r="756" spans="2:7" ht="15.75" customHeight="1" x14ac:dyDescent="0.25">
      <c r="B756" s="2"/>
      <c r="C756" s="2"/>
      <c r="D756" s="2"/>
      <c r="E756" s="2"/>
      <c r="F756" s="2"/>
      <c r="G756" s="2"/>
    </row>
    <row r="757" spans="2:7" ht="15.75" customHeight="1" x14ac:dyDescent="0.25">
      <c r="B757" s="2"/>
      <c r="C757" s="2"/>
      <c r="D757" s="2"/>
      <c r="E757" s="2"/>
      <c r="F757" s="2"/>
      <c r="G757" s="2"/>
    </row>
    <row r="758" spans="2:7" ht="15.75" customHeight="1" x14ac:dyDescent="0.25">
      <c r="B758" s="2"/>
      <c r="C758" s="2"/>
      <c r="D758" s="2"/>
      <c r="E758" s="2"/>
      <c r="F758" s="2"/>
      <c r="G758" s="2"/>
    </row>
    <row r="759" spans="2:7" ht="15.75" customHeight="1" x14ac:dyDescent="0.25">
      <c r="B759" s="2"/>
      <c r="C759" s="2"/>
      <c r="D759" s="2"/>
      <c r="E759" s="2"/>
      <c r="F759" s="2"/>
      <c r="G759" s="2"/>
    </row>
    <row r="760" spans="2:7" ht="15.75" customHeight="1" x14ac:dyDescent="0.25">
      <c r="B760" s="2"/>
      <c r="C760" s="2"/>
      <c r="D760" s="2"/>
      <c r="E760" s="2"/>
      <c r="F760" s="2"/>
      <c r="G760" s="2"/>
    </row>
    <row r="761" spans="2:7" ht="15.75" customHeight="1" x14ac:dyDescent="0.25">
      <c r="B761" s="2"/>
      <c r="C761" s="2"/>
      <c r="D761" s="2"/>
      <c r="E761" s="2"/>
      <c r="F761" s="2"/>
      <c r="G761" s="2"/>
    </row>
    <row r="762" spans="2:7" ht="15.75" customHeight="1" x14ac:dyDescent="0.25">
      <c r="B762" s="2"/>
      <c r="C762" s="2"/>
      <c r="D762" s="2"/>
      <c r="E762" s="2"/>
      <c r="F762" s="2"/>
      <c r="G762" s="2"/>
    </row>
    <row r="763" spans="2:7" ht="15.75" customHeight="1" x14ac:dyDescent="0.25">
      <c r="B763" s="2"/>
      <c r="C763" s="2"/>
      <c r="D763" s="2"/>
      <c r="E763" s="2"/>
      <c r="F763" s="2"/>
      <c r="G763" s="2"/>
    </row>
    <row r="764" spans="2:7" ht="15.75" customHeight="1" x14ac:dyDescent="0.25">
      <c r="B764" s="2"/>
      <c r="C764" s="2"/>
      <c r="D764" s="2"/>
      <c r="E764" s="2"/>
      <c r="F764" s="2"/>
      <c r="G764" s="2"/>
    </row>
    <row r="765" spans="2:7" ht="15.75" customHeight="1" x14ac:dyDescent="0.25">
      <c r="B765" s="2"/>
      <c r="C765" s="2"/>
      <c r="D765" s="2"/>
      <c r="E765" s="2"/>
      <c r="F765" s="2"/>
      <c r="G765" s="2"/>
    </row>
    <row r="766" spans="2:7" ht="15.75" customHeight="1" x14ac:dyDescent="0.25">
      <c r="B766" s="2"/>
      <c r="C766" s="2"/>
      <c r="D766" s="2"/>
      <c r="E766" s="2"/>
      <c r="F766" s="2"/>
      <c r="G766" s="2"/>
    </row>
    <row r="767" spans="2:7" ht="15.75" customHeight="1" x14ac:dyDescent="0.25">
      <c r="B767" s="2"/>
      <c r="C767" s="2"/>
      <c r="D767" s="2"/>
      <c r="E767" s="2"/>
      <c r="F767" s="2"/>
      <c r="G767" s="2"/>
    </row>
    <row r="768" spans="2:7" ht="15.75" customHeight="1" x14ac:dyDescent="0.25">
      <c r="B768" s="2"/>
      <c r="C768" s="2"/>
      <c r="D768" s="2"/>
      <c r="E768" s="2"/>
      <c r="F768" s="2"/>
      <c r="G768" s="2"/>
    </row>
    <row r="769" spans="2:7" ht="15.75" customHeight="1" x14ac:dyDescent="0.25">
      <c r="B769" s="2"/>
      <c r="C769" s="2"/>
      <c r="D769" s="2"/>
      <c r="E769" s="2"/>
      <c r="F769" s="2"/>
      <c r="G769" s="2"/>
    </row>
    <row r="770" spans="2:7" ht="15.75" customHeight="1" x14ac:dyDescent="0.25">
      <c r="B770" s="2"/>
      <c r="C770" s="2"/>
      <c r="D770" s="2"/>
      <c r="E770" s="2"/>
      <c r="F770" s="2"/>
      <c r="G770" s="2"/>
    </row>
    <row r="771" spans="2:7" ht="15.75" customHeight="1" x14ac:dyDescent="0.25">
      <c r="B771" s="2"/>
      <c r="C771" s="2"/>
      <c r="D771" s="2"/>
      <c r="E771" s="2"/>
      <c r="F771" s="2"/>
      <c r="G771" s="2"/>
    </row>
    <row r="772" spans="2:7" ht="15.75" customHeight="1" x14ac:dyDescent="0.25">
      <c r="B772" s="2"/>
      <c r="C772" s="2"/>
      <c r="D772" s="2"/>
      <c r="E772" s="2"/>
      <c r="F772" s="2"/>
      <c r="G772" s="2"/>
    </row>
    <row r="773" spans="2:7" ht="15.75" customHeight="1" x14ac:dyDescent="0.25">
      <c r="B773" s="2"/>
      <c r="C773" s="2"/>
      <c r="D773" s="2"/>
      <c r="E773" s="2"/>
      <c r="F773" s="2"/>
      <c r="G773" s="2"/>
    </row>
    <row r="774" spans="2:7" ht="15.75" customHeight="1" x14ac:dyDescent="0.25">
      <c r="B774" s="2"/>
      <c r="C774" s="2"/>
      <c r="D774" s="2"/>
      <c r="E774" s="2"/>
      <c r="F774" s="2"/>
      <c r="G774" s="2"/>
    </row>
    <row r="775" spans="2:7" ht="15.75" customHeight="1" x14ac:dyDescent="0.25">
      <c r="B775" s="2"/>
      <c r="C775" s="2"/>
      <c r="D775" s="2"/>
      <c r="E775" s="2"/>
      <c r="F775" s="2"/>
      <c r="G775" s="2"/>
    </row>
    <row r="776" spans="2:7" ht="15.75" customHeight="1" x14ac:dyDescent="0.25">
      <c r="B776" s="2"/>
      <c r="C776" s="2"/>
      <c r="D776" s="2"/>
      <c r="E776" s="2"/>
      <c r="F776" s="2"/>
      <c r="G776" s="2"/>
    </row>
    <row r="777" spans="2:7" ht="15.75" customHeight="1" x14ac:dyDescent="0.25">
      <c r="B777" s="2"/>
      <c r="C777" s="2"/>
      <c r="D777" s="2"/>
      <c r="E777" s="2"/>
      <c r="F777" s="2"/>
      <c r="G777" s="2"/>
    </row>
    <row r="778" spans="2:7" ht="15.75" customHeight="1" x14ac:dyDescent="0.25">
      <c r="B778" s="2"/>
      <c r="C778" s="2"/>
      <c r="D778" s="2"/>
      <c r="E778" s="2"/>
      <c r="F778" s="2"/>
      <c r="G778" s="2"/>
    </row>
    <row r="779" spans="2:7" ht="15.75" customHeight="1" x14ac:dyDescent="0.25">
      <c r="B779" s="2"/>
      <c r="C779" s="2"/>
      <c r="D779" s="2"/>
      <c r="E779" s="2"/>
      <c r="F779" s="2"/>
      <c r="G779" s="2"/>
    </row>
    <row r="780" spans="2:7" ht="15.75" customHeight="1" x14ac:dyDescent="0.25">
      <c r="B780" s="2"/>
      <c r="C780" s="2"/>
      <c r="D780" s="2"/>
      <c r="E780" s="2"/>
      <c r="F780" s="2"/>
      <c r="G780" s="2"/>
    </row>
    <row r="781" spans="2:7" ht="15.75" customHeight="1" x14ac:dyDescent="0.25">
      <c r="B781" s="2"/>
      <c r="C781" s="2"/>
      <c r="D781" s="2"/>
      <c r="E781" s="2"/>
      <c r="F781" s="2"/>
      <c r="G781" s="2"/>
    </row>
    <row r="782" spans="2:7" ht="15.75" customHeight="1" x14ac:dyDescent="0.25">
      <c r="B782" s="2"/>
      <c r="C782" s="2"/>
      <c r="D782" s="2"/>
      <c r="E782" s="2"/>
      <c r="F782" s="2"/>
      <c r="G782" s="2"/>
    </row>
    <row r="783" spans="2:7" ht="15.75" customHeight="1" x14ac:dyDescent="0.25">
      <c r="B783" s="2"/>
      <c r="C783" s="2"/>
      <c r="D783" s="2"/>
      <c r="E783" s="2"/>
      <c r="F783" s="2"/>
      <c r="G783" s="2"/>
    </row>
    <row r="784" spans="2:7" ht="15.75" customHeight="1" x14ac:dyDescent="0.25">
      <c r="B784" s="2"/>
      <c r="C784" s="2"/>
      <c r="D784" s="2"/>
      <c r="E784" s="2"/>
      <c r="F784" s="2"/>
      <c r="G784" s="2"/>
    </row>
    <row r="785" spans="2:7" ht="15.75" customHeight="1" x14ac:dyDescent="0.25">
      <c r="B785" s="2"/>
      <c r="C785" s="2"/>
      <c r="D785" s="2"/>
      <c r="E785" s="2"/>
      <c r="F785" s="2"/>
      <c r="G785" s="2"/>
    </row>
    <row r="786" spans="2:7" ht="15.75" customHeight="1" x14ac:dyDescent="0.25">
      <c r="B786" s="2"/>
      <c r="C786" s="2"/>
      <c r="D786" s="2"/>
      <c r="E786" s="2"/>
      <c r="F786" s="2"/>
      <c r="G786" s="2"/>
    </row>
    <row r="787" spans="2:7" ht="15.75" customHeight="1" x14ac:dyDescent="0.25">
      <c r="B787" s="2"/>
      <c r="C787" s="2"/>
      <c r="D787" s="2"/>
      <c r="E787" s="2"/>
      <c r="F787" s="2"/>
      <c r="G787" s="2"/>
    </row>
    <row r="788" spans="2:7" ht="15.75" customHeight="1" x14ac:dyDescent="0.25">
      <c r="B788" s="2"/>
      <c r="C788" s="2"/>
      <c r="D788" s="2"/>
      <c r="E788" s="2"/>
      <c r="F788" s="2"/>
      <c r="G788" s="2"/>
    </row>
    <row r="789" spans="2:7" ht="15.75" customHeight="1" x14ac:dyDescent="0.25">
      <c r="B789" s="2"/>
      <c r="C789" s="2"/>
      <c r="D789" s="2"/>
      <c r="E789" s="2"/>
      <c r="F789" s="2"/>
      <c r="G789" s="2"/>
    </row>
    <row r="790" spans="2:7" ht="15.75" customHeight="1" x14ac:dyDescent="0.25">
      <c r="B790" s="2"/>
      <c r="C790" s="2"/>
      <c r="D790" s="2"/>
      <c r="E790" s="2"/>
      <c r="F790" s="2"/>
      <c r="G790" s="2"/>
    </row>
    <row r="791" spans="2:7" ht="15.75" customHeight="1" x14ac:dyDescent="0.25">
      <c r="B791" s="2"/>
      <c r="C791" s="2"/>
      <c r="D791" s="2"/>
      <c r="E791" s="2"/>
      <c r="F791" s="2"/>
      <c r="G791" s="2"/>
    </row>
    <row r="792" spans="2:7" ht="15.75" customHeight="1" x14ac:dyDescent="0.25">
      <c r="B792" s="2"/>
      <c r="C792" s="2"/>
      <c r="D792" s="2"/>
      <c r="E792" s="2"/>
      <c r="F792" s="2"/>
      <c r="G792" s="2"/>
    </row>
    <row r="793" spans="2:7" ht="15.75" customHeight="1" x14ac:dyDescent="0.25">
      <c r="B793" s="2"/>
      <c r="C793" s="2"/>
      <c r="D793" s="2"/>
      <c r="E793" s="2"/>
      <c r="F793" s="2"/>
      <c r="G793" s="2"/>
    </row>
    <row r="794" spans="2:7" ht="15.75" customHeight="1" x14ac:dyDescent="0.25">
      <c r="B794" s="2"/>
      <c r="C794" s="2"/>
      <c r="D794" s="2"/>
      <c r="E794" s="2"/>
      <c r="F794" s="2"/>
      <c r="G794" s="2"/>
    </row>
    <row r="795" spans="2:7" ht="15.75" customHeight="1" x14ac:dyDescent="0.25">
      <c r="B795" s="2"/>
      <c r="C795" s="2"/>
      <c r="D795" s="2"/>
      <c r="E795" s="2"/>
      <c r="F795" s="2"/>
      <c r="G795" s="2"/>
    </row>
    <row r="796" spans="2:7" ht="15.75" customHeight="1" x14ac:dyDescent="0.25">
      <c r="B796" s="2"/>
      <c r="C796" s="2"/>
      <c r="D796" s="2"/>
      <c r="E796" s="2"/>
      <c r="F796" s="2"/>
      <c r="G796" s="2"/>
    </row>
    <row r="797" spans="2:7" ht="15.75" customHeight="1" x14ac:dyDescent="0.25">
      <c r="B797" s="2"/>
      <c r="C797" s="2"/>
      <c r="D797" s="2"/>
      <c r="E797" s="2"/>
      <c r="F797" s="2"/>
      <c r="G797" s="2"/>
    </row>
    <row r="798" spans="2:7" ht="15.75" customHeight="1" x14ac:dyDescent="0.25">
      <c r="B798" s="2"/>
      <c r="C798" s="2"/>
      <c r="D798" s="2"/>
      <c r="E798" s="2"/>
      <c r="F798" s="2"/>
      <c r="G798" s="2"/>
    </row>
    <row r="799" spans="2:7" ht="15.75" customHeight="1" x14ac:dyDescent="0.25">
      <c r="B799" s="2"/>
      <c r="C799" s="2"/>
      <c r="D799" s="2"/>
      <c r="E799" s="2"/>
      <c r="F799" s="2"/>
      <c r="G799" s="2"/>
    </row>
    <row r="800" spans="2:7" ht="15.75" customHeight="1" x14ac:dyDescent="0.25">
      <c r="B800" s="2"/>
      <c r="C800" s="2"/>
      <c r="D800" s="2"/>
      <c r="E800" s="2"/>
      <c r="F800" s="2"/>
      <c r="G800" s="2"/>
    </row>
    <row r="801" spans="2:7" ht="15.75" customHeight="1" x14ac:dyDescent="0.25">
      <c r="B801" s="2"/>
      <c r="C801" s="2"/>
      <c r="D801" s="2"/>
      <c r="E801" s="2"/>
      <c r="F801" s="2"/>
      <c r="G801" s="2"/>
    </row>
    <row r="802" spans="2:7" ht="15.75" customHeight="1" x14ac:dyDescent="0.25">
      <c r="B802" s="2"/>
      <c r="C802" s="2"/>
      <c r="D802" s="2"/>
      <c r="E802" s="2"/>
      <c r="F802" s="2"/>
      <c r="G802" s="2"/>
    </row>
    <row r="803" spans="2:7" ht="15.75" customHeight="1" x14ac:dyDescent="0.25">
      <c r="B803" s="2"/>
      <c r="C803" s="2"/>
      <c r="D803" s="2"/>
      <c r="E803" s="2"/>
      <c r="F803" s="2"/>
      <c r="G803" s="2"/>
    </row>
    <row r="804" spans="2:7" ht="15.75" customHeight="1" x14ac:dyDescent="0.25">
      <c r="B804" s="2"/>
      <c r="C804" s="2"/>
      <c r="D804" s="2"/>
      <c r="E804" s="2"/>
      <c r="F804" s="2"/>
      <c r="G804" s="2"/>
    </row>
    <row r="805" spans="2:7" ht="15.75" customHeight="1" x14ac:dyDescent="0.25">
      <c r="B805" s="2"/>
      <c r="C805" s="2"/>
      <c r="D805" s="2"/>
      <c r="E805" s="2"/>
      <c r="F805" s="2"/>
      <c r="G805" s="2"/>
    </row>
    <row r="806" spans="2:7" ht="15.75" customHeight="1" x14ac:dyDescent="0.25">
      <c r="B806" s="2"/>
      <c r="C806" s="2"/>
      <c r="D806" s="2"/>
      <c r="E806" s="2"/>
      <c r="F806" s="2"/>
      <c r="G806" s="2"/>
    </row>
    <row r="807" spans="2:7" ht="15.75" customHeight="1" x14ac:dyDescent="0.25">
      <c r="B807" s="2"/>
      <c r="C807" s="2"/>
      <c r="D807" s="2"/>
      <c r="E807" s="2"/>
      <c r="F807" s="2"/>
      <c r="G807" s="2"/>
    </row>
    <row r="808" spans="2:7" ht="15.75" customHeight="1" x14ac:dyDescent="0.25">
      <c r="B808" s="2"/>
      <c r="C808" s="2"/>
      <c r="D808" s="2"/>
      <c r="E808" s="2"/>
      <c r="F808" s="2"/>
      <c r="G808" s="2"/>
    </row>
    <row r="809" spans="2:7" ht="15.75" customHeight="1" x14ac:dyDescent="0.25">
      <c r="B809" s="2"/>
      <c r="C809" s="2"/>
      <c r="D809" s="2"/>
      <c r="E809" s="2"/>
      <c r="F809" s="2"/>
      <c r="G809" s="2"/>
    </row>
    <row r="810" spans="2:7" ht="15.75" customHeight="1" x14ac:dyDescent="0.25">
      <c r="B810" s="2"/>
      <c r="C810" s="2"/>
      <c r="D810" s="2"/>
      <c r="E810" s="2"/>
      <c r="F810" s="2"/>
      <c r="G810" s="2"/>
    </row>
    <row r="811" spans="2:7" ht="15.75" customHeight="1" x14ac:dyDescent="0.25">
      <c r="B811" s="2"/>
      <c r="C811" s="2"/>
      <c r="D811" s="2"/>
      <c r="E811" s="2"/>
      <c r="F811" s="2"/>
      <c r="G811" s="2"/>
    </row>
    <row r="812" spans="2:7" ht="15.75" customHeight="1" x14ac:dyDescent="0.25">
      <c r="B812" s="2"/>
      <c r="C812" s="2"/>
      <c r="D812" s="2"/>
      <c r="E812" s="2"/>
      <c r="F812" s="2"/>
      <c r="G812" s="2"/>
    </row>
    <row r="813" spans="2:7" ht="15.75" customHeight="1" x14ac:dyDescent="0.25">
      <c r="B813" s="2"/>
      <c r="C813" s="2"/>
      <c r="D813" s="2"/>
      <c r="E813" s="2"/>
      <c r="F813" s="2"/>
      <c r="G813" s="2"/>
    </row>
    <row r="814" spans="2:7" ht="15.75" customHeight="1" x14ac:dyDescent="0.25">
      <c r="B814" s="2"/>
      <c r="C814" s="2"/>
      <c r="D814" s="2"/>
      <c r="E814" s="2"/>
      <c r="F814" s="2"/>
      <c r="G814" s="2"/>
    </row>
    <row r="815" spans="2:7" ht="15.75" customHeight="1" x14ac:dyDescent="0.25">
      <c r="B815" s="2"/>
      <c r="C815" s="2"/>
      <c r="D815" s="2"/>
      <c r="E815" s="2"/>
      <c r="F815" s="2"/>
      <c r="G815" s="2"/>
    </row>
    <row r="816" spans="2:7" ht="15.75" customHeight="1" x14ac:dyDescent="0.25">
      <c r="B816" s="2"/>
      <c r="C816" s="2"/>
      <c r="D816" s="2"/>
      <c r="E816" s="2"/>
      <c r="F816" s="2"/>
      <c r="G816" s="2"/>
    </row>
    <row r="817" spans="2:7" ht="15.75" customHeight="1" x14ac:dyDescent="0.25">
      <c r="B817" s="2"/>
      <c r="C817" s="2"/>
      <c r="D817" s="2"/>
      <c r="E817" s="2"/>
      <c r="F817" s="2"/>
      <c r="G817" s="2"/>
    </row>
    <row r="818" spans="2:7" ht="15.75" customHeight="1" x14ac:dyDescent="0.25">
      <c r="B818" s="2"/>
      <c r="C818" s="2"/>
      <c r="D818" s="2"/>
      <c r="E818" s="2"/>
      <c r="F818" s="2"/>
      <c r="G818" s="2"/>
    </row>
    <row r="819" spans="2:7" ht="15.75" customHeight="1" x14ac:dyDescent="0.25">
      <c r="B819" s="2"/>
      <c r="C819" s="2"/>
      <c r="D819" s="2"/>
      <c r="E819" s="2"/>
      <c r="F819" s="2"/>
      <c r="G819" s="2"/>
    </row>
    <row r="820" spans="2:7" ht="15.75" customHeight="1" x14ac:dyDescent="0.25">
      <c r="B820" s="2"/>
      <c r="C820" s="2"/>
      <c r="D820" s="2"/>
      <c r="E820" s="2"/>
      <c r="F820" s="2"/>
      <c r="G820" s="2"/>
    </row>
    <row r="821" spans="2:7" ht="15.75" customHeight="1" x14ac:dyDescent="0.25">
      <c r="B821" s="2"/>
      <c r="C821" s="2"/>
      <c r="D821" s="2"/>
      <c r="E821" s="2"/>
      <c r="F821" s="2"/>
      <c r="G821" s="2"/>
    </row>
    <row r="822" spans="2:7" ht="15.75" customHeight="1" x14ac:dyDescent="0.25">
      <c r="B822" s="2"/>
      <c r="C822" s="2"/>
      <c r="D822" s="2"/>
      <c r="E822" s="2"/>
      <c r="F822" s="2"/>
      <c r="G822" s="2"/>
    </row>
    <row r="823" spans="2:7" ht="15.75" customHeight="1" x14ac:dyDescent="0.25">
      <c r="B823" s="2"/>
      <c r="C823" s="2"/>
      <c r="D823" s="2"/>
      <c r="E823" s="2"/>
      <c r="F823" s="2"/>
      <c r="G823" s="2"/>
    </row>
    <row r="824" spans="2:7" ht="15.75" customHeight="1" x14ac:dyDescent="0.25">
      <c r="B824" s="2"/>
      <c r="C824" s="2"/>
      <c r="D824" s="2"/>
      <c r="E824" s="2"/>
      <c r="F824" s="2"/>
      <c r="G824" s="2"/>
    </row>
    <row r="825" spans="2:7" ht="15.75" customHeight="1" x14ac:dyDescent="0.25">
      <c r="B825" s="2"/>
      <c r="C825" s="2"/>
      <c r="D825" s="2"/>
      <c r="E825" s="2"/>
      <c r="F825" s="2"/>
      <c r="G825" s="2"/>
    </row>
    <row r="826" spans="2:7" ht="15.75" customHeight="1" x14ac:dyDescent="0.25">
      <c r="B826" s="2"/>
      <c r="C826" s="2"/>
      <c r="D826" s="2"/>
      <c r="E826" s="2"/>
      <c r="F826" s="2"/>
      <c r="G826" s="2"/>
    </row>
    <row r="827" spans="2:7" ht="15.75" customHeight="1" x14ac:dyDescent="0.25">
      <c r="B827" s="2"/>
      <c r="C827" s="2"/>
      <c r="D827" s="2"/>
      <c r="E827" s="2"/>
      <c r="F827" s="2"/>
      <c r="G827" s="2"/>
    </row>
    <row r="828" spans="2:7" ht="15.75" customHeight="1" x14ac:dyDescent="0.25">
      <c r="B828" s="2"/>
      <c r="C828" s="2"/>
      <c r="D828" s="2"/>
      <c r="E828" s="2"/>
      <c r="F828" s="2"/>
      <c r="G828" s="2"/>
    </row>
    <row r="829" spans="2:7" ht="15.75" customHeight="1" x14ac:dyDescent="0.25">
      <c r="B829" s="2"/>
      <c r="C829" s="2"/>
      <c r="D829" s="2"/>
      <c r="E829" s="2"/>
      <c r="F829" s="2"/>
      <c r="G829" s="2"/>
    </row>
    <row r="830" spans="2:7" ht="15.75" customHeight="1" x14ac:dyDescent="0.25">
      <c r="B830" s="2"/>
      <c r="C830" s="2"/>
      <c r="D830" s="2"/>
      <c r="E830" s="2"/>
      <c r="F830" s="2"/>
      <c r="G830" s="2"/>
    </row>
    <row r="831" spans="2:7" ht="15.75" customHeight="1" x14ac:dyDescent="0.25">
      <c r="B831" s="2"/>
      <c r="C831" s="2"/>
      <c r="D831" s="2"/>
      <c r="E831" s="2"/>
      <c r="F831" s="2"/>
      <c r="G831" s="2"/>
    </row>
    <row r="832" spans="2:7" ht="15.75" customHeight="1" x14ac:dyDescent="0.25">
      <c r="B832" s="2"/>
      <c r="C832" s="2"/>
      <c r="D832" s="2"/>
      <c r="E832" s="2"/>
      <c r="F832" s="2"/>
      <c r="G832" s="2"/>
    </row>
    <row r="833" spans="2:7" ht="15.75" customHeight="1" x14ac:dyDescent="0.25">
      <c r="B833" s="2"/>
      <c r="C833" s="2"/>
      <c r="D833" s="2"/>
      <c r="E833" s="2"/>
      <c r="F833" s="2"/>
      <c r="G833" s="2"/>
    </row>
    <row r="834" spans="2:7" ht="15.75" customHeight="1" x14ac:dyDescent="0.25">
      <c r="B834" s="2"/>
      <c r="C834" s="2"/>
      <c r="D834" s="2"/>
      <c r="E834" s="2"/>
      <c r="F834" s="2"/>
      <c r="G834" s="2"/>
    </row>
    <row r="835" spans="2:7" ht="15.75" customHeight="1" x14ac:dyDescent="0.25">
      <c r="B835" s="2"/>
      <c r="C835" s="2"/>
      <c r="D835" s="2"/>
      <c r="E835" s="2"/>
      <c r="F835" s="2"/>
      <c r="G835" s="2"/>
    </row>
    <row r="836" spans="2:7" ht="15.75" customHeight="1" x14ac:dyDescent="0.25">
      <c r="B836" s="2"/>
      <c r="C836" s="2"/>
      <c r="D836" s="2"/>
      <c r="E836" s="2"/>
      <c r="F836" s="2"/>
      <c r="G836" s="2"/>
    </row>
    <row r="837" spans="2:7" ht="15.75" customHeight="1" x14ac:dyDescent="0.25">
      <c r="B837" s="2"/>
      <c r="C837" s="2"/>
      <c r="D837" s="2"/>
      <c r="E837" s="2"/>
      <c r="F837" s="2"/>
      <c r="G837" s="2"/>
    </row>
    <row r="838" spans="2:7" ht="15.75" customHeight="1" x14ac:dyDescent="0.25">
      <c r="B838" s="2"/>
      <c r="C838" s="2"/>
      <c r="D838" s="2"/>
      <c r="E838" s="2"/>
      <c r="F838" s="2"/>
      <c r="G838" s="2"/>
    </row>
    <row r="839" spans="2:7" ht="15.75" customHeight="1" x14ac:dyDescent="0.25">
      <c r="B839" s="2"/>
      <c r="C839" s="2"/>
      <c r="D839" s="2"/>
      <c r="E839" s="2"/>
      <c r="F839" s="2"/>
      <c r="G839" s="2"/>
    </row>
    <row r="840" spans="2:7" ht="15.75" customHeight="1" x14ac:dyDescent="0.25">
      <c r="B840" s="2"/>
      <c r="C840" s="2"/>
      <c r="D840" s="2"/>
      <c r="E840" s="2"/>
      <c r="F840" s="2"/>
      <c r="G840" s="2"/>
    </row>
    <row r="841" spans="2:7" ht="15.75" customHeight="1" x14ac:dyDescent="0.25">
      <c r="B841" s="2"/>
      <c r="C841" s="2"/>
      <c r="D841" s="2"/>
      <c r="E841" s="2"/>
      <c r="F841" s="2"/>
      <c r="G841" s="2"/>
    </row>
    <row r="842" spans="2:7" ht="15.75" customHeight="1" x14ac:dyDescent="0.25">
      <c r="B842" s="2"/>
      <c r="C842" s="2"/>
      <c r="D842" s="2"/>
      <c r="E842" s="2"/>
      <c r="F842" s="2"/>
      <c r="G842" s="2"/>
    </row>
    <row r="843" spans="2:7" ht="15.75" customHeight="1" x14ac:dyDescent="0.25">
      <c r="B843" s="2"/>
      <c r="C843" s="2"/>
      <c r="D843" s="2"/>
      <c r="E843" s="2"/>
      <c r="F843" s="2"/>
      <c r="G843" s="2"/>
    </row>
    <row r="844" spans="2:7" ht="15.75" customHeight="1" x14ac:dyDescent="0.25">
      <c r="B844" s="2"/>
      <c r="C844" s="2"/>
      <c r="D844" s="2"/>
      <c r="E844" s="2"/>
      <c r="F844" s="2"/>
      <c r="G844" s="2"/>
    </row>
    <row r="845" spans="2:7" ht="15.75" customHeight="1" x14ac:dyDescent="0.25">
      <c r="B845" s="2"/>
      <c r="C845" s="2"/>
      <c r="D845" s="2"/>
      <c r="E845" s="2"/>
      <c r="F845" s="2"/>
      <c r="G845" s="2"/>
    </row>
    <row r="846" spans="2:7" ht="15.75" customHeight="1" x14ac:dyDescent="0.25">
      <c r="B846" s="2"/>
      <c r="C846" s="2"/>
      <c r="D846" s="2"/>
      <c r="E846" s="2"/>
      <c r="F846" s="2"/>
      <c r="G846" s="2"/>
    </row>
    <row r="847" spans="2:7" ht="15.75" customHeight="1" x14ac:dyDescent="0.25">
      <c r="B847" s="2"/>
      <c r="C847" s="2"/>
      <c r="D847" s="2"/>
      <c r="E847" s="2"/>
      <c r="F847" s="2"/>
      <c r="G847" s="2"/>
    </row>
    <row r="848" spans="2:7" ht="15.75" customHeight="1" x14ac:dyDescent="0.25">
      <c r="B848" s="2"/>
      <c r="C848" s="2"/>
      <c r="D848" s="2"/>
      <c r="E848" s="2"/>
      <c r="F848" s="2"/>
      <c r="G848" s="2"/>
    </row>
    <row r="849" spans="2:7" ht="15.75" customHeight="1" x14ac:dyDescent="0.25">
      <c r="B849" s="2"/>
      <c r="C849" s="2"/>
      <c r="D849" s="2"/>
      <c r="E849" s="2"/>
      <c r="F849" s="2"/>
      <c r="G849" s="2"/>
    </row>
    <row r="850" spans="2:7" ht="15.75" customHeight="1" x14ac:dyDescent="0.25">
      <c r="B850" s="2"/>
      <c r="C850" s="2"/>
      <c r="D850" s="2"/>
      <c r="E850" s="2"/>
      <c r="F850" s="2"/>
      <c r="G850" s="2"/>
    </row>
    <row r="851" spans="2:7" ht="15.75" customHeight="1" x14ac:dyDescent="0.25">
      <c r="B851" s="2"/>
      <c r="C851" s="2"/>
      <c r="D851" s="2"/>
      <c r="E851" s="2"/>
      <c r="F851" s="2"/>
      <c r="G851" s="2"/>
    </row>
    <row r="852" spans="2:7" ht="15.75" customHeight="1" x14ac:dyDescent="0.25">
      <c r="B852" s="2"/>
      <c r="C852" s="2"/>
      <c r="D852" s="2"/>
      <c r="E852" s="2"/>
      <c r="F852" s="2"/>
      <c r="G852" s="2"/>
    </row>
    <row r="853" spans="2:7" ht="15.75" customHeight="1" x14ac:dyDescent="0.25">
      <c r="B853" s="2"/>
      <c r="C853" s="2"/>
      <c r="D853" s="2"/>
      <c r="E853" s="2"/>
      <c r="F853" s="2"/>
      <c r="G853" s="2"/>
    </row>
    <row r="854" spans="2:7" ht="15.75" customHeight="1" x14ac:dyDescent="0.25">
      <c r="B854" s="2"/>
      <c r="C854" s="2"/>
      <c r="D854" s="2"/>
      <c r="E854" s="2"/>
      <c r="F854" s="2"/>
      <c r="G854" s="2"/>
    </row>
    <row r="855" spans="2:7" ht="15.75" customHeight="1" x14ac:dyDescent="0.25">
      <c r="B855" s="2"/>
      <c r="C855" s="2"/>
      <c r="D855" s="2"/>
      <c r="E855" s="2"/>
      <c r="F855" s="2"/>
      <c r="G855" s="2"/>
    </row>
    <row r="856" spans="2:7" ht="15.75" customHeight="1" x14ac:dyDescent="0.25">
      <c r="B856" s="2"/>
      <c r="C856" s="2"/>
      <c r="D856" s="2"/>
      <c r="E856" s="2"/>
      <c r="F856" s="2"/>
      <c r="G856" s="2"/>
    </row>
    <row r="857" spans="2:7" ht="15.75" customHeight="1" x14ac:dyDescent="0.25">
      <c r="B857" s="2"/>
      <c r="C857" s="2"/>
      <c r="D857" s="2"/>
      <c r="E857" s="2"/>
      <c r="F857" s="2"/>
      <c r="G857" s="2"/>
    </row>
    <row r="858" spans="2:7" ht="15.75" customHeight="1" x14ac:dyDescent="0.25">
      <c r="B858" s="2"/>
      <c r="C858" s="2"/>
      <c r="D858" s="2"/>
      <c r="E858" s="2"/>
      <c r="F858" s="2"/>
      <c r="G858" s="2"/>
    </row>
    <row r="859" spans="2:7" ht="15.75" customHeight="1" x14ac:dyDescent="0.25">
      <c r="B859" s="2"/>
      <c r="C859" s="2"/>
      <c r="D859" s="2"/>
      <c r="E859" s="2"/>
      <c r="F859" s="2"/>
      <c r="G859" s="2"/>
    </row>
    <row r="860" spans="2:7" ht="15.75" customHeight="1" x14ac:dyDescent="0.25">
      <c r="B860" s="2"/>
      <c r="C860" s="2"/>
      <c r="D860" s="2"/>
      <c r="E860" s="2"/>
      <c r="F860" s="2"/>
      <c r="G860" s="2"/>
    </row>
    <row r="861" spans="2:7" ht="15.75" customHeight="1" x14ac:dyDescent="0.25">
      <c r="B861" s="2"/>
      <c r="C861" s="2"/>
      <c r="D861" s="2"/>
      <c r="E861" s="2"/>
      <c r="F861" s="2"/>
      <c r="G861" s="2"/>
    </row>
    <row r="862" spans="2:7" ht="15.75" customHeight="1" x14ac:dyDescent="0.25">
      <c r="B862" s="2"/>
      <c r="C862" s="2"/>
      <c r="D862" s="2"/>
      <c r="E862" s="2"/>
      <c r="F862" s="2"/>
      <c r="G862" s="2"/>
    </row>
    <row r="863" spans="2:7" ht="15.75" customHeight="1" x14ac:dyDescent="0.25">
      <c r="B863" s="2"/>
      <c r="C863" s="2"/>
      <c r="D863" s="2"/>
      <c r="E863" s="2"/>
      <c r="F863" s="2"/>
      <c r="G863" s="2"/>
    </row>
    <row r="864" spans="2:7" ht="15.75" customHeight="1" x14ac:dyDescent="0.25">
      <c r="B864" s="2"/>
      <c r="C864" s="2"/>
      <c r="D864" s="2"/>
      <c r="E864" s="2"/>
      <c r="F864" s="2"/>
      <c r="G864" s="2"/>
    </row>
    <row r="865" spans="2:7" ht="15.75" customHeight="1" x14ac:dyDescent="0.25">
      <c r="B865" s="2"/>
      <c r="C865" s="2"/>
      <c r="D865" s="2"/>
      <c r="E865" s="2"/>
      <c r="F865" s="2"/>
      <c r="G865" s="2"/>
    </row>
    <row r="866" spans="2:7" ht="15.75" customHeight="1" x14ac:dyDescent="0.25">
      <c r="B866" s="2"/>
      <c r="C866" s="2"/>
      <c r="D866" s="2"/>
      <c r="E866" s="2"/>
      <c r="F866" s="2"/>
      <c r="G866" s="2"/>
    </row>
    <row r="867" spans="2:7" ht="15.75" customHeight="1" x14ac:dyDescent="0.25">
      <c r="B867" s="2"/>
      <c r="C867" s="2"/>
      <c r="D867" s="2"/>
      <c r="E867" s="2"/>
      <c r="F867" s="2"/>
      <c r="G867" s="2"/>
    </row>
    <row r="868" spans="2:7" ht="15.75" customHeight="1" x14ac:dyDescent="0.25">
      <c r="B868" s="2"/>
      <c r="C868" s="2"/>
      <c r="D868" s="2"/>
      <c r="E868" s="2"/>
      <c r="F868" s="2"/>
      <c r="G868" s="2"/>
    </row>
    <row r="869" spans="2:7" ht="15.75" customHeight="1" x14ac:dyDescent="0.25">
      <c r="B869" s="2"/>
      <c r="C869" s="2"/>
      <c r="D869" s="2"/>
      <c r="E869" s="2"/>
      <c r="F869" s="2"/>
      <c r="G869" s="2"/>
    </row>
    <row r="870" spans="2:7" ht="15.75" customHeight="1" x14ac:dyDescent="0.25">
      <c r="B870" s="2"/>
      <c r="C870" s="2"/>
      <c r="D870" s="2"/>
      <c r="E870" s="2"/>
      <c r="F870" s="2"/>
      <c r="G870" s="2"/>
    </row>
    <row r="871" spans="2:7" ht="15.75" customHeight="1" x14ac:dyDescent="0.25">
      <c r="B871" s="2"/>
      <c r="C871" s="2"/>
      <c r="D871" s="2"/>
      <c r="E871" s="2"/>
      <c r="F871" s="2"/>
      <c r="G871" s="2"/>
    </row>
    <row r="872" spans="2:7" ht="15.75" customHeight="1" x14ac:dyDescent="0.25">
      <c r="B872" s="2"/>
      <c r="C872" s="2"/>
      <c r="D872" s="2"/>
      <c r="E872" s="2"/>
      <c r="F872" s="2"/>
      <c r="G872" s="2"/>
    </row>
    <row r="873" spans="2:7" ht="15.75" customHeight="1" x14ac:dyDescent="0.25">
      <c r="B873" s="2"/>
      <c r="C873" s="2"/>
      <c r="D873" s="2"/>
      <c r="E873" s="2"/>
      <c r="F873" s="2"/>
      <c r="G873" s="2"/>
    </row>
    <row r="874" spans="2:7" ht="15.75" customHeight="1" x14ac:dyDescent="0.25">
      <c r="B874" s="2"/>
      <c r="C874" s="2"/>
      <c r="D874" s="2"/>
      <c r="E874" s="2"/>
      <c r="F874" s="2"/>
      <c r="G874" s="2"/>
    </row>
    <row r="875" spans="2:7" ht="15.75" customHeight="1" x14ac:dyDescent="0.25">
      <c r="B875" s="2"/>
      <c r="C875" s="2"/>
      <c r="D875" s="2"/>
      <c r="E875" s="2"/>
      <c r="F875" s="2"/>
      <c r="G875" s="2"/>
    </row>
    <row r="876" spans="2:7" ht="15.75" customHeight="1" x14ac:dyDescent="0.25">
      <c r="B876" s="2"/>
      <c r="C876" s="2"/>
      <c r="D876" s="2"/>
      <c r="E876" s="2"/>
      <c r="F876" s="2"/>
      <c r="G876" s="2"/>
    </row>
    <row r="877" spans="2:7" ht="15.75" customHeight="1" x14ac:dyDescent="0.25">
      <c r="B877" s="2"/>
      <c r="C877" s="2"/>
      <c r="D877" s="2"/>
      <c r="E877" s="2"/>
      <c r="F877" s="2"/>
      <c r="G877" s="2"/>
    </row>
    <row r="878" spans="2:7" ht="15.75" customHeight="1" x14ac:dyDescent="0.25">
      <c r="B878" s="2"/>
      <c r="C878" s="2"/>
      <c r="D878" s="2"/>
      <c r="E878" s="2"/>
      <c r="F878" s="2"/>
      <c r="G878" s="2"/>
    </row>
    <row r="879" spans="2:7" ht="15.75" customHeight="1" x14ac:dyDescent="0.25">
      <c r="B879" s="2"/>
      <c r="C879" s="2"/>
      <c r="D879" s="2"/>
      <c r="E879" s="2"/>
      <c r="F879" s="2"/>
      <c r="G879" s="2"/>
    </row>
    <row r="880" spans="2:7" ht="15.75" customHeight="1" x14ac:dyDescent="0.25">
      <c r="B880" s="2"/>
      <c r="C880" s="2"/>
      <c r="D880" s="2"/>
      <c r="E880" s="2"/>
      <c r="F880" s="2"/>
      <c r="G880" s="2"/>
    </row>
    <row r="881" spans="2:7" ht="15.75" customHeight="1" x14ac:dyDescent="0.25">
      <c r="B881" s="2"/>
      <c r="C881" s="2"/>
      <c r="D881" s="2"/>
      <c r="E881" s="2"/>
      <c r="F881" s="2"/>
      <c r="G881" s="2"/>
    </row>
    <row r="882" spans="2:7" ht="15.75" customHeight="1" x14ac:dyDescent="0.25">
      <c r="B882" s="2"/>
      <c r="C882" s="2"/>
      <c r="D882" s="2"/>
      <c r="E882" s="2"/>
      <c r="F882" s="2"/>
      <c r="G882" s="2"/>
    </row>
    <row r="883" spans="2:7" ht="15.75" customHeight="1" x14ac:dyDescent="0.25">
      <c r="B883" s="2"/>
      <c r="C883" s="2"/>
      <c r="D883" s="2"/>
      <c r="E883" s="2"/>
      <c r="F883" s="2"/>
      <c r="G883" s="2"/>
    </row>
    <row r="884" spans="2:7" ht="15.75" customHeight="1" x14ac:dyDescent="0.25">
      <c r="B884" s="2"/>
      <c r="C884" s="2"/>
      <c r="D884" s="2"/>
      <c r="E884" s="2"/>
      <c r="F884" s="2"/>
      <c r="G884" s="2"/>
    </row>
    <row r="885" spans="2:7" ht="15.75" customHeight="1" x14ac:dyDescent="0.25">
      <c r="B885" s="2"/>
      <c r="C885" s="2"/>
      <c r="D885" s="2"/>
      <c r="E885" s="2"/>
      <c r="F885" s="2"/>
      <c r="G885" s="2"/>
    </row>
    <row r="886" spans="2:7" ht="15.75" customHeight="1" x14ac:dyDescent="0.25">
      <c r="B886" s="2"/>
      <c r="C886" s="2"/>
      <c r="D886" s="2"/>
      <c r="E886" s="2"/>
      <c r="F886" s="2"/>
      <c r="G886" s="2"/>
    </row>
    <row r="887" spans="2:7" ht="15.75" customHeight="1" x14ac:dyDescent="0.25">
      <c r="B887" s="2"/>
      <c r="C887" s="2"/>
      <c r="D887" s="2"/>
      <c r="E887" s="2"/>
      <c r="F887" s="2"/>
      <c r="G887" s="2"/>
    </row>
    <row r="888" spans="2:7" ht="15.75" customHeight="1" x14ac:dyDescent="0.25">
      <c r="B888" s="2"/>
      <c r="C888" s="2"/>
      <c r="D888" s="2"/>
      <c r="E888" s="2"/>
      <c r="F888" s="2"/>
      <c r="G888" s="2"/>
    </row>
    <row r="889" spans="2:7" ht="15.75" customHeight="1" x14ac:dyDescent="0.25">
      <c r="B889" s="2"/>
      <c r="C889" s="2"/>
      <c r="D889" s="2"/>
      <c r="E889" s="2"/>
      <c r="F889" s="2"/>
      <c r="G889" s="2"/>
    </row>
    <row r="890" spans="2:7" ht="15.75" customHeight="1" x14ac:dyDescent="0.25">
      <c r="B890" s="2"/>
      <c r="C890" s="2"/>
      <c r="D890" s="2"/>
      <c r="E890" s="2"/>
      <c r="F890" s="2"/>
      <c r="G890" s="2"/>
    </row>
    <row r="891" spans="2:7" ht="15.75" customHeight="1" x14ac:dyDescent="0.25">
      <c r="B891" s="2"/>
      <c r="C891" s="2"/>
      <c r="D891" s="2"/>
      <c r="E891" s="2"/>
      <c r="F891" s="2"/>
      <c r="G891" s="2"/>
    </row>
    <row r="892" spans="2:7" ht="15.75" customHeight="1" x14ac:dyDescent="0.25">
      <c r="B892" s="2"/>
      <c r="C892" s="2"/>
      <c r="D892" s="2"/>
      <c r="E892" s="2"/>
      <c r="F892" s="2"/>
      <c r="G892" s="2"/>
    </row>
    <row r="893" spans="2:7" ht="15.75" customHeight="1" x14ac:dyDescent="0.25">
      <c r="B893" s="2"/>
      <c r="C893" s="2"/>
      <c r="D893" s="2"/>
      <c r="E893" s="2"/>
      <c r="F893" s="2"/>
      <c r="G893" s="2"/>
    </row>
    <row r="894" spans="2:7" ht="15.75" customHeight="1" x14ac:dyDescent="0.25">
      <c r="B894" s="2"/>
      <c r="C894" s="2"/>
      <c r="D894" s="2"/>
      <c r="E894" s="2"/>
      <c r="F894" s="2"/>
      <c r="G894" s="2"/>
    </row>
    <row r="895" spans="2:7" ht="15.75" customHeight="1" x14ac:dyDescent="0.25">
      <c r="B895" s="2"/>
      <c r="C895" s="2"/>
      <c r="D895" s="2"/>
      <c r="E895" s="2"/>
      <c r="F895" s="2"/>
      <c r="G895" s="2"/>
    </row>
    <row r="896" spans="2:7" ht="15.75" customHeight="1" x14ac:dyDescent="0.25">
      <c r="B896" s="2"/>
      <c r="C896" s="2"/>
      <c r="D896" s="2"/>
      <c r="E896" s="2"/>
      <c r="F896" s="2"/>
      <c r="G896" s="2"/>
    </row>
    <row r="897" spans="2:7" ht="15.75" customHeight="1" x14ac:dyDescent="0.25">
      <c r="B897" s="2"/>
      <c r="C897" s="2"/>
      <c r="D897" s="2"/>
      <c r="E897" s="2"/>
      <c r="F897" s="2"/>
      <c r="G897" s="2"/>
    </row>
    <row r="898" spans="2:7" ht="15.75" customHeight="1" x14ac:dyDescent="0.25">
      <c r="B898" s="2"/>
      <c r="C898" s="2"/>
      <c r="D898" s="2"/>
      <c r="E898" s="2"/>
      <c r="F898" s="2"/>
      <c r="G898" s="2"/>
    </row>
    <row r="899" spans="2:7" ht="15.75" customHeight="1" x14ac:dyDescent="0.25">
      <c r="B899" s="2"/>
      <c r="C899" s="2"/>
      <c r="D899" s="2"/>
      <c r="E899" s="2"/>
      <c r="F899" s="2"/>
      <c r="G899" s="2"/>
    </row>
    <row r="900" spans="2:7" ht="15.75" customHeight="1" x14ac:dyDescent="0.25">
      <c r="B900" s="2"/>
      <c r="C900" s="2"/>
      <c r="D900" s="2"/>
      <c r="E900" s="2"/>
      <c r="F900" s="2"/>
      <c r="G900" s="2"/>
    </row>
    <row r="901" spans="2:7" ht="15.75" customHeight="1" x14ac:dyDescent="0.25">
      <c r="B901" s="2"/>
      <c r="C901" s="2"/>
      <c r="D901" s="2"/>
      <c r="E901" s="2"/>
      <c r="F901" s="2"/>
      <c r="G901" s="2"/>
    </row>
    <row r="902" spans="2:7" ht="15.75" customHeight="1" x14ac:dyDescent="0.25">
      <c r="B902" s="2"/>
      <c r="C902" s="2"/>
      <c r="D902" s="2"/>
      <c r="E902" s="2"/>
      <c r="F902" s="2"/>
      <c r="G902" s="2"/>
    </row>
    <row r="903" spans="2:7" ht="15.75" customHeight="1" x14ac:dyDescent="0.25">
      <c r="B903" s="2"/>
      <c r="C903" s="2"/>
      <c r="D903" s="2"/>
      <c r="E903" s="2"/>
      <c r="F903" s="2"/>
      <c r="G903" s="2"/>
    </row>
    <row r="904" spans="2:7" ht="15.75" customHeight="1" x14ac:dyDescent="0.25">
      <c r="B904" s="2"/>
      <c r="C904" s="2"/>
      <c r="D904" s="2"/>
      <c r="E904" s="2"/>
      <c r="F904" s="2"/>
      <c r="G904" s="2"/>
    </row>
    <row r="905" spans="2:7" ht="15.75" customHeight="1" x14ac:dyDescent="0.25">
      <c r="B905" s="2"/>
      <c r="C905" s="2"/>
      <c r="D905" s="2"/>
      <c r="E905" s="2"/>
      <c r="F905" s="2"/>
      <c r="G905" s="2"/>
    </row>
    <row r="906" spans="2:7" ht="15.75" customHeight="1" x14ac:dyDescent="0.25">
      <c r="B906" s="2"/>
      <c r="C906" s="2"/>
      <c r="D906" s="2"/>
      <c r="E906" s="2"/>
      <c r="F906" s="2"/>
      <c r="G906" s="2"/>
    </row>
    <row r="907" spans="2:7" ht="15.75" customHeight="1" x14ac:dyDescent="0.25">
      <c r="B907" s="2"/>
      <c r="C907" s="2"/>
      <c r="D907" s="2"/>
      <c r="E907" s="2"/>
      <c r="F907" s="2"/>
      <c r="G907" s="2"/>
    </row>
    <row r="908" spans="2:7" ht="15.75" customHeight="1" x14ac:dyDescent="0.25">
      <c r="B908" s="2"/>
      <c r="C908" s="2"/>
      <c r="D908" s="2"/>
      <c r="E908" s="2"/>
      <c r="F908" s="2"/>
      <c r="G908" s="2"/>
    </row>
    <row r="909" spans="2:7" ht="15.75" customHeight="1" x14ac:dyDescent="0.25">
      <c r="B909" s="2"/>
      <c r="C909" s="2"/>
      <c r="D909" s="2"/>
      <c r="E909" s="2"/>
      <c r="F909" s="2"/>
      <c r="G909" s="2"/>
    </row>
    <row r="910" spans="2:7" ht="15.75" customHeight="1" x14ac:dyDescent="0.25">
      <c r="B910" s="2"/>
      <c r="C910" s="2"/>
      <c r="D910" s="2"/>
      <c r="E910" s="2"/>
      <c r="F910" s="2"/>
      <c r="G910" s="2"/>
    </row>
    <row r="911" spans="2:7" ht="15.75" customHeight="1" x14ac:dyDescent="0.25">
      <c r="B911" s="2"/>
      <c r="C911" s="2"/>
      <c r="D911" s="2"/>
      <c r="E911" s="2"/>
      <c r="F911" s="2"/>
      <c r="G911" s="2"/>
    </row>
    <row r="912" spans="2:7" ht="15.75" customHeight="1" x14ac:dyDescent="0.25">
      <c r="B912" s="2"/>
      <c r="C912" s="2"/>
      <c r="D912" s="2"/>
      <c r="E912" s="2"/>
      <c r="F912" s="2"/>
      <c r="G912" s="2"/>
    </row>
    <row r="913" spans="2:7" ht="15.75" customHeight="1" x14ac:dyDescent="0.25">
      <c r="B913" s="2"/>
      <c r="C913" s="2"/>
      <c r="D913" s="2"/>
      <c r="E913" s="2"/>
      <c r="F913" s="2"/>
      <c r="G913" s="2"/>
    </row>
    <row r="914" spans="2:7" ht="15.75" customHeight="1" x14ac:dyDescent="0.25">
      <c r="B914" s="2"/>
      <c r="C914" s="2"/>
      <c r="D914" s="2"/>
      <c r="E914" s="2"/>
      <c r="F914" s="2"/>
      <c r="G914" s="2"/>
    </row>
    <row r="915" spans="2:7" ht="15.75" customHeight="1" x14ac:dyDescent="0.25">
      <c r="B915" s="2"/>
      <c r="C915" s="2"/>
      <c r="D915" s="2"/>
      <c r="E915" s="2"/>
      <c r="F915" s="2"/>
      <c r="G915" s="2"/>
    </row>
    <row r="916" spans="2:7" ht="15.75" customHeight="1" x14ac:dyDescent="0.25">
      <c r="B916" s="2"/>
      <c r="C916" s="2"/>
      <c r="D916" s="2"/>
      <c r="E916" s="2"/>
      <c r="F916" s="2"/>
      <c r="G916" s="2"/>
    </row>
    <row r="917" spans="2:7" ht="15.75" customHeight="1" x14ac:dyDescent="0.25">
      <c r="B917" s="2"/>
      <c r="C917" s="2"/>
      <c r="D917" s="2"/>
      <c r="E917" s="2"/>
      <c r="F917" s="2"/>
      <c r="G917" s="2"/>
    </row>
    <row r="918" spans="2:7" ht="15.75" customHeight="1" x14ac:dyDescent="0.25">
      <c r="B918" s="2"/>
      <c r="C918" s="2"/>
      <c r="D918" s="2"/>
      <c r="E918" s="2"/>
      <c r="F918" s="2"/>
      <c r="G918" s="2"/>
    </row>
    <row r="919" spans="2:7" ht="15.75" customHeight="1" x14ac:dyDescent="0.25">
      <c r="B919" s="2"/>
      <c r="C919" s="2"/>
      <c r="D919" s="2"/>
      <c r="E919" s="2"/>
      <c r="F919" s="2"/>
      <c r="G919" s="2"/>
    </row>
    <row r="920" spans="2:7" ht="15.75" customHeight="1" x14ac:dyDescent="0.25">
      <c r="B920" s="2"/>
      <c r="C920" s="2"/>
      <c r="D920" s="2"/>
      <c r="E920" s="2"/>
      <c r="F920" s="2"/>
      <c r="G920" s="2"/>
    </row>
    <row r="921" spans="2:7" ht="15.75" customHeight="1" x14ac:dyDescent="0.25">
      <c r="B921" s="2"/>
      <c r="C921" s="2"/>
      <c r="D921" s="2"/>
      <c r="E921" s="2"/>
      <c r="F921" s="2"/>
      <c r="G921" s="2"/>
    </row>
    <row r="922" spans="2:7" ht="15.75" customHeight="1" x14ac:dyDescent="0.25">
      <c r="B922" s="2"/>
      <c r="C922" s="2"/>
      <c r="D922" s="2"/>
      <c r="E922" s="2"/>
      <c r="F922" s="2"/>
      <c r="G922" s="2"/>
    </row>
    <row r="923" spans="2:7" ht="15.75" customHeight="1" x14ac:dyDescent="0.25">
      <c r="B923" s="2"/>
      <c r="C923" s="2"/>
      <c r="D923" s="2"/>
      <c r="E923" s="2"/>
      <c r="F923" s="2"/>
      <c r="G923" s="2"/>
    </row>
    <row r="924" spans="2:7" ht="15.75" customHeight="1" x14ac:dyDescent="0.25">
      <c r="B924" s="2"/>
      <c r="C924" s="2"/>
      <c r="D924" s="2"/>
      <c r="E924" s="2"/>
      <c r="F924" s="2"/>
      <c r="G924" s="2"/>
    </row>
    <row r="925" spans="2:7" ht="15.75" customHeight="1" x14ac:dyDescent="0.25">
      <c r="B925" s="2"/>
      <c r="C925" s="2"/>
      <c r="D925" s="2"/>
      <c r="E925" s="2"/>
      <c r="F925" s="2"/>
      <c r="G925" s="2"/>
    </row>
    <row r="926" spans="2:7" ht="15.75" customHeight="1" x14ac:dyDescent="0.25">
      <c r="B926" s="2"/>
      <c r="C926" s="2"/>
      <c r="D926" s="2"/>
      <c r="E926" s="2"/>
      <c r="F926" s="2"/>
      <c r="G926" s="2"/>
    </row>
    <row r="927" spans="2:7" ht="15.75" customHeight="1" x14ac:dyDescent="0.25">
      <c r="B927" s="2"/>
      <c r="C927" s="2"/>
      <c r="D927" s="2"/>
      <c r="E927" s="2"/>
      <c r="F927" s="2"/>
      <c r="G927" s="2"/>
    </row>
    <row r="928" spans="2:7" ht="15.75" customHeight="1" x14ac:dyDescent="0.25">
      <c r="B928" s="2"/>
      <c r="C928" s="2"/>
      <c r="D928" s="2"/>
      <c r="E928" s="2"/>
      <c r="F928" s="2"/>
      <c r="G928" s="2"/>
    </row>
    <row r="929" spans="2:7" ht="15.75" customHeight="1" x14ac:dyDescent="0.25">
      <c r="B929" s="2"/>
      <c r="C929" s="2"/>
      <c r="D929" s="2"/>
      <c r="E929" s="2"/>
      <c r="F929" s="2"/>
      <c r="G929" s="2"/>
    </row>
    <row r="930" spans="2:7" ht="15.75" customHeight="1" x14ac:dyDescent="0.25">
      <c r="B930" s="2"/>
      <c r="C930" s="2"/>
      <c r="D930" s="2"/>
      <c r="E930" s="2"/>
      <c r="F930" s="2"/>
      <c r="G930" s="2"/>
    </row>
    <row r="931" spans="2:7" ht="15.75" customHeight="1" x14ac:dyDescent="0.25">
      <c r="B931" s="2"/>
      <c r="C931" s="2"/>
      <c r="D931" s="2"/>
      <c r="E931" s="2"/>
      <c r="F931" s="2"/>
      <c r="G931" s="2"/>
    </row>
    <row r="932" spans="2:7" ht="15.75" customHeight="1" x14ac:dyDescent="0.25">
      <c r="B932" s="2"/>
      <c r="C932" s="2"/>
      <c r="D932" s="2"/>
      <c r="E932" s="2"/>
      <c r="F932" s="2"/>
      <c r="G932" s="2"/>
    </row>
    <row r="933" spans="2:7" ht="15.75" customHeight="1" x14ac:dyDescent="0.25">
      <c r="B933" s="2"/>
      <c r="C933" s="2"/>
      <c r="D933" s="2"/>
      <c r="E933" s="2"/>
      <c r="F933" s="2"/>
      <c r="G933" s="2"/>
    </row>
    <row r="934" spans="2:7" ht="15.75" customHeight="1" x14ac:dyDescent="0.25">
      <c r="B934" s="2"/>
      <c r="C934" s="2"/>
      <c r="D934" s="2"/>
      <c r="E934" s="2"/>
      <c r="F934" s="2"/>
      <c r="G934" s="2"/>
    </row>
    <row r="935" spans="2:7" ht="15.75" customHeight="1" x14ac:dyDescent="0.25">
      <c r="B935" s="2"/>
      <c r="C935" s="2"/>
      <c r="D935" s="2"/>
      <c r="E935" s="2"/>
      <c r="F935" s="2"/>
      <c r="G935" s="2"/>
    </row>
    <row r="936" spans="2:7" ht="15.75" customHeight="1" x14ac:dyDescent="0.25">
      <c r="B936" s="2"/>
      <c r="C936" s="2"/>
      <c r="D936" s="2"/>
      <c r="E936" s="2"/>
      <c r="F936" s="2"/>
      <c r="G936" s="2"/>
    </row>
    <row r="937" spans="2:7" ht="15.75" customHeight="1" x14ac:dyDescent="0.25">
      <c r="B937" s="2"/>
      <c r="C937" s="2"/>
      <c r="D937" s="2"/>
      <c r="E937" s="2"/>
      <c r="F937" s="2"/>
      <c r="G937" s="2"/>
    </row>
    <row r="938" spans="2:7" ht="15.75" customHeight="1" x14ac:dyDescent="0.25">
      <c r="B938" s="2"/>
      <c r="C938" s="2"/>
      <c r="D938" s="2"/>
      <c r="E938" s="2"/>
      <c r="F938" s="2"/>
      <c r="G938" s="2"/>
    </row>
    <row r="939" spans="2:7" ht="15.75" customHeight="1" x14ac:dyDescent="0.25">
      <c r="B939" s="2"/>
      <c r="C939" s="2"/>
      <c r="D939" s="2"/>
      <c r="E939" s="2"/>
      <c r="F939" s="2"/>
      <c r="G939" s="2"/>
    </row>
    <row r="940" spans="2:7" ht="15.75" customHeight="1" x14ac:dyDescent="0.25">
      <c r="B940" s="2"/>
      <c r="C940" s="2"/>
      <c r="D940" s="2"/>
      <c r="E940" s="2"/>
      <c r="F940" s="2"/>
      <c r="G940" s="2"/>
    </row>
    <row r="941" spans="2:7" ht="15.75" customHeight="1" x14ac:dyDescent="0.25">
      <c r="B941" s="2"/>
      <c r="C941" s="2"/>
      <c r="D941" s="2"/>
      <c r="E941" s="2"/>
      <c r="F941" s="2"/>
      <c r="G941" s="2"/>
    </row>
    <row r="942" spans="2:7" ht="15.75" customHeight="1" x14ac:dyDescent="0.25">
      <c r="B942" s="2"/>
      <c r="C942" s="2"/>
      <c r="D942" s="2"/>
      <c r="E942" s="2"/>
      <c r="F942" s="2"/>
      <c r="G942" s="2"/>
    </row>
    <row r="943" spans="2:7" ht="15.75" customHeight="1" x14ac:dyDescent="0.25">
      <c r="B943" s="2"/>
      <c r="C943" s="2"/>
      <c r="D943" s="2"/>
      <c r="E943" s="2"/>
      <c r="F943" s="2"/>
      <c r="G943" s="2"/>
    </row>
    <row r="944" spans="2:7" ht="15.75" customHeight="1" x14ac:dyDescent="0.25">
      <c r="B944" s="2"/>
      <c r="C944" s="2"/>
      <c r="D944" s="2"/>
      <c r="E944" s="2"/>
      <c r="F944" s="2"/>
      <c r="G944" s="2"/>
    </row>
    <row r="945" spans="2:7" ht="15.75" customHeight="1" x14ac:dyDescent="0.25">
      <c r="B945" s="2"/>
      <c r="C945" s="2"/>
      <c r="D945" s="2"/>
      <c r="E945" s="2"/>
      <c r="F945" s="2"/>
      <c r="G945" s="2"/>
    </row>
    <row r="946" spans="2:7" ht="15.75" customHeight="1" x14ac:dyDescent="0.25">
      <c r="B946" s="2"/>
      <c r="C946" s="2"/>
      <c r="D946" s="2"/>
      <c r="E946" s="2"/>
      <c r="F946" s="2"/>
      <c r="G946" s="2"/>
    </row>
    <row r="947" spans="2:7" ht="15.75" customHeight="1" x14ac:dyDescent="0.25">
      <c r="B947" s="2"/>
      <c r="C947" s="2"/>
      <c r="D947" s="2"/>
      <c r="E947" s="2"/>
      <c r="F947" s="2"/>
      <c r="G947" s="2"/>
    </row>
    <row r="948" spans="2:7" ht="15.75" customHeight="1" x14ac:dyDescent="0.25">
      <c r="B948" s="2"/>
      <c r="C948" s="2"/>
      <c r="D948" s="2"/>
      <c r="E948" s="2"/>
      <c r="F948" s="2"/>
      <c r="G948" s="2"/>
    </row>
    <row r="949" spans="2:7" ht="15.75" customHeight="1" x14ac:dyDescent="0.25">
      <c r="B949" s="2"/>
      <c r="C949" s="2"/>
      <c r="D949" s="2"/>
      <c r="E949" s="2"/>
      <c r="F949" s="2"/>
      <c r="G949" s="2"/>
    </row>
    <row r="950" spans="2:7" ht="15.75" customHeight="1" x14ac:dyDescent="0.25">
      <c r="B950" s="2"/>
      <c r="C950" s="2"/>
      <c r="D950" s="2"/>
      <c r="E950" s="2"/>
      <c r="F950" s="2"/>
      <c r="G950" s="2"/>
    </row>
    <row r="951" spans="2:7" ht="15.75" customHeight="1" x14ac:dyDescent="0.25">
      <c r="B951" s="2"/>
      <c r="C951" s="2"/>
      <c r="D951" s="2"/>
      <c r="E951" s="2"/>
      <c r="F951" s="2"/>
      <c r="G951" s="2"/>
    </row>
    <row r="952" spans="2:7" ht="15.75" customHeight="1" x14ac:dyDescent="0.25">
      <c r="B952" s="2"/>
      <c r="C952" s="2"/>
      <c r="D952" s="2"/>
      <c r="E952" s="2"/>
      <c r="F952" s="2"/>
      <c r="G952" s="2"/>
    </row>
    <row r="953" spans="2:7" ht="15.75" customHeight="1" x14ac:dyDescent="0.25">
      <c r="B953" s="2"/>
      <c r="C953" s="2"/>
      <c r="D953" s="2"/>
      <c r="E953" s="2"/>
      <c r="F953" s="2"/>
      <c r="G953" s="2"/>
    </row>
    <row r="954" spans="2:7" ht="15.75" customHeight="1" x14ac:dyDescent="0.25">
      <c r="B954" s="2"/>
      <c r="C954" s="2"/>
      <c r="D954" s="2"/>
      <c r="E954" s="2"/>
      <c r="F954" s="2"/>
      <c r="G954" s="2"/>
    </row>
    <row r="955" spans="2:7" ht="15.75" customHeight="1" x14ac:dyDescent="0.25">
      <c r="B955" s="2"/>
      <c r="C955" s="2"/>
      <c r="D955" s="2"/>
      <c r="E955" s="2"/>
      <c r="F955" s="2"/>
      <c r="G955" s="2"/>
    </row>
    <row r="956" spans="2:7" ht="15.75" customHeight="1" x14ac:dyDescent="0.25">
      <c r="B956" s="2"/>
      <c r="C956" s="2"/>
      <c r="D956" s="2"/>
      <c r="E956" s="2"/>
      <c r="F956" s="2"/>
      <c r="G956" s="2"/>
    </row>
    <row r="957" spans="2:7" ht="15.75" customHeight="1" x14ac:dyDescent="0.25">
      <c r="B957" s="2"/>
      <c r="C957" s="2"/>
      <c r="D957" s="2"/>
      <c r="E957" s="2"/>
      <c r="F957" s="2"/>
      <c r="G957" s="2"/>
    </row>
    <row r="958" spans="2:7" ht="15.75" customHeight="1" x14ac:dyDescent="0.25">
      <c r="B958" s="2"/>
      <c r="C958" s="2"/>
      <c r="D958" s="2"/>
      <c r="E958" s="2"/>
      <c r="F958" s="2"/>
      <c r="G958" s="2"/>
    </row>
    <row r="959" spans="2:7" ht="15.75" customHeight="1" x14ac:dyDescent="0.25">
      <c r="B959" s="2"/>
      <c r="C959" s="2"/>
      <c r="D959" s="2"/>
      <c r="E959" s="2"/>
      <c r="F959" s="2"/>
      <c r="G959" s="2"/>
    </row>
    <row r="960" spans="2:7" ht="15.75" customHeight="1" x14ac:dyDescent="0.25">
      <c r="B960" s="2"/>
      <c r="C960" s="2"/>
      <c r="D960" s="2"/>
      <c r="E960" s="2"/>
      <c r="F960" s="2"/>
      <c r="G960" s="2"/>
    </row>
    <row r="961" spans="2:7" ht="15.75" customHeight="1" x14ac:dyDescent="0.25">
      <c r="B961" s="2"/>
      <c r="C961" s="2"/>
      <c r="D961" s="2"/>
      <c r="E961" s="2"/>
      <c r="F961" s="2"/>
      <c r="G961" s="2"/>
    </row>
    <row r="962" spans="2:7" ht="15.75" customHeight="1" x14ac:dyDescent="0.25">
      <c r="B962" s="2"/>
      <c r="C962" s="2"/>
      <c r="D962" s="2"/>
      <c r="E962" s="2"/>
      <c r="F962" s="2"/>
      <c r="G962" s="2"/>
    </row>
    <row r="963" spans="2:7" ht="15.75" customHeight="1" x14ac:dyDescent="0.25">
      <c r="B963" s="2"/>
      <c r="C963" s="2"/>
      <c r="D963" s="2"/>
      <c r="E963" s="2"/>
      <c r="F963" s="2"/>
      <c r="G963" s="2"/>
    </row>
    <row r="964" spans="2:7" ht="15.75" customHeight="1" x14ac:dyDescent="0.25">
      <c r="B964" s="2"/>
      <c r="C964" s="2"/>
      <c r="D964" s="2"/>
      <c r="E964" s="2"/>
      <c r="F964" s="2"/>
      <c r="G964" s="2"/>
    </row>
    <row r="965" spans="2:7" ht="15.75" customHeight="1" x14ac:dyDescent="0.25">
      <c r="B965" s="2"/>
      <c r="C965" s="2"/>
      <c r="D965" s="2"/>
      <c r="E965" s="2"/>
      <c r="F965" s="2"/>
      <c r="G965" s="2"/>
    </row>
    <row r="966" spans="2:7" ht="15.75" customHeight="1" x14ac:dyDescent="0.25">
      <c r="B966" s="2"/>
      <c r="C966" s="2"/>
      <c r="D966" s="2"/>
      <c r="E966" s="2"/>
      <c r="F966" s="2"/>
      <c r="G966" s="2"/>
    </row>
    <row r="967" spans="2:7" ht="15.75" customHeight="1" x14ac:dyDescent="0.25">
      <c r="B967" s="2"/>
      <c r="C967" s="2"/>
      <c r="D967" s="2"/>
      <c r="E967" s="2"/>
      <c r="F967" s="2"/>
      <c r="G967" s="2"/>
    </row>
    <row r="968" spans="2:7" ht="15.75" customHeight="1" x14ac:dyDescent="0.25">
      <c r="B968" s="2"/>
      <c r="C968" s="2"/>
      <c r="D968" s="2"/>
      <c r="E968" s="2"/>
      <c r="F968" s="2"/>
      <c r="G968" s="2"/>
    </row>
    <row r="969" spans="2:7" ht="15.75" customHeight="1" x14ac:dyDescent="0.25">
      <c r="B969" s="2"/>
      <c r="C969" s="2"/>
      <c r="D969" s="2"/>
      <c r="E969" s="2"/>
      <c r="F969" s="2"/>
      <c r="G969" s="2"/>
    </row>
    <row r="970" spans="2:7" ht="15.75" customHeight="1" x14ac:dyDescent="0.25">
      <c r="B970" s="2"/>
      <c r="C970" s="2"/>
      <c r="D970" s="2"/>
      <c r="E970" s="2"/>
      <c r="F970" s="2"/>
      <c r="G970" s="2"/>
    </row>
    <row r="971" spans="2:7" ht="15.75" customHeight="1" x14ac:dyDescent="0.25">
      <c r="B971" s="2"/>
      <c r="C971" s="2"/>
      <c r="D971" s="2"/>
      <c r="E971" s="2"/>
      <c r="F971" s="2"/>
      <c r="G971" s="2"/>
    </row>
    <row r="972" spans="2:7" ht="15.75" customHeight="1" x14ac:dyDescent="0.25">
      <c r="B972" s="2"/>
      <c r="C972" s="2"/>
      <c r="D972" s="2"/>
      <c r="E972" s="2"/>
      <c r="F972" s="2"/>
      <c r="G972" s="2"/>
    </row>
    <row r="973" spans="2:7" ht="15.75" customHeight="1" x14ac:dyDescent="0.25">
      <c r="B973" s="2"/>
      <c r="C973" s="2"/>
      <c r="D973" s="2"/>
      <c r="E973" s="2"/>
      <c r="F973" s="2"/>
      <c r="G973" s="2"/>
    </row>
    <row r="974" spans="2:7" ht="15.75" customHeight="1" x14ac:dyDescent="0.25">
      <c r="B974" s="2"/>
      <c r="C974" s="2"/>
      <c r="D974" s="2"/>
      <c r="E974" s="2"/>
      <c r="F974" s="2"/>
      <c r="G974" s="2"/>
    </row>
    <row r="975" spans="2:7" ht="15.75" customHeight="1" x14ac:dyDescent="0.25">
      <c r="B975" s="2"/>
      <c r="C975" s="2"/>
      <c r="D975" s="2"/>
      <c r="E975" s="2"/>
      <c r="F975" s="2"/>
      <c r="G975" s="2"/>
    </row>
    <row r="976" spans="2:7" ht="15.75" customHeight="1" x14ac:dyDescent="0.25">
      <c r="B976" s="2"/>
      <c r="C976" s="2"/>
      <c r="D976" s="2"/>
      <c r="E976" s="2"/>
      <c r="F976" s="2"/>
      <c r="G976" s="2"/>
    </row>
    <row r="977" spans="2:7" ht="15.75" customHeight="1" x14ac:dyDescent="0.25">
      <c r="B977" s="2"/>
      <c r="C977" s="2"/>
      <c r="D977" s="2"/>
      <c r="E977" s="2"/>
      <c r="F977" s="2"/>
      <c r="G977" s="2"/>
    </row>
    <row r="978" spans="2:7" ht="15.75" customHeight="1" x14ac:dyDescent="0.25">
      <c r="B978" s="2"/>
      <c r="C978" s="2"/>
      <c r="D978" s="2"/>
      <c r="E978" s="2"/>
      <c r="F978" s="2"/>
      <c r="G978" s="2"/>
    </row>
    <row r="979" spans="2:7" ht="15.75" customHeight="1" x14ac:dyDescent="0.25">
      <c r="B979" s="2"/>
      <c r="C979" s="2"/>
      <c r="D979" s="2"/>
      <c r="E979" s="2"/>
      <c r="F979" s="2"/>
      <c r="G979" s="2"/>
    </row>
    <row r="980" spans="2:7" ht="15.75" customHeight="1" x14ac:dyDescent="0.25">
      <c r="B980" s="2"/>
      <c r="C980" s="2"/>
      <c r="D980" s="2"/>
      <c r="E980" s="2"/>
      <c r="F980" s="2"/>
      <c r="G980" s="2"/>
    </row>
    <row r="981" spans="2:7" ht="15.75" customHeight="1" x14ac:dyDescent="0.25">
      <c r="B981" s="2"/>
      <c r="C981" s="2"/>
      <c r="D981" s="2"/>
      <c r="E981" s="2"/>
      <c r="F981" s="2"/>
      <c r="G981" s="2"/>
    </row>
    <row r="982" spans="2:7" ht="15.75" customHeight="1" x14ac:dyDescent="0.25">
      <c r="B982" s="2"/>
      <c r="C982" s="2"/>
      <c r="D982" s="2"/>
      <c r="E982" s="2"/>
      <c r="F982" s="2"/>
      <c r="G982" s="2"/>
    </row>
    <row r="983" spans="2:7" ht="15.75" customHeight="1" x14ac:dyDescent="0.25">
      <c r="B983" s="2"/>
      <c r="C983" s="2"/>
      <c r="D983" s="2"/>
      <c r="E983" s="2"/>
      <c r="F983" s="2"/>
      <c r="G983" s="2"/>
    </row>
    <row r="984" spans="2:7" ht="15.75" customHeight="1" x14ac:dyDescent="0.25">
      <c r="B984" s="2"/>
      <c r="C984" s="2"/>
      <c r="D984" s="2"/>
      <c r="E984" s="2"/>
      <c r="F984" s="2"/>
      <c r="G984" s="2"/>
    </row>
    <row r="985" spans="2:7" ht="15.75" customHeight="1" x14ac:dyDescent="0.25">
      <c r="B985" s="2"/>
      <c r="C985" s="2"/>
      <c r="D985" s="2"/>
      <c r="E985" s="2"/>
      <c r="F985" s="2"/>
      <c r="G985" s="2"/>
    </row>
    <row r="986" spans="2:7" ht="15.75" customHeight="1" x14ac:dyDescent="0.25">
      <c r="B986" s="2"/>
      <c r="C986" s="2"/>
      <c r="D986" s="2"/>
      <c r="E986" s="2"/>
      <c r="F986" s="2"/>
      <c r="G986" s="2"/>
    </row>
    <row r="987" spans="2:7" ht="15.75" customHeight="1" x14ac:dyDescent="0.25">
      <c r="B987" s="2"/>
      <c r="C987" s="2"/>
      <c r="D987" s="2"/>
      <c r="E987" s="2"/>
      <c r="F987" s="2"/>
      <c r="G987" s="2"/>
    </row>
    <row r="988" spans="2:7" ht="15.75" customHeight="1" x14ac:dyDescent="0.25">
      <c r="B988" s="2"/>
      <c r="C988" s="2"/>
      <c r="D988" s="2"/>
      <c r="E988" s="2"/>
      <c r="F988" s="2"/>
      <c r="G988" s="2"/>
    </row>
    <row r="989" spans="2:7" ht="15.75" customHeight="1" x14ac:dyDescent="0.25">
      <c r="B989" s="2"/>
      <c r="C989" s="2"/>
      <c r="D989" s="2"/>
      <c r="E989" s="2"/>
      <c r="F989" s="2"/>
      <c r="G989" s="2"/>
    </row>
    <row r="990" spans="2:7" ht="15.75" customHeight="1" x14ac:dyDescent="0.25">
      <c r="B990" s="2"/>
      <c r="C990" s="2"/>
      <c r="D990" s="2"/>
      <c r="E990" s="2"/>
      <c r="F990" s="2"/>
      <c r="G990" s="2"/>
    </row>
    <row r="991" spans="2:7" ht="15.75" customHeight="1" x14ac:dyDescent="0.25">
      <c r="B991" s="2"/>
      <c r="C991" s="2"/>
      <c r="D991" s="2"/>
      <c r="E991" s="2"/>
      <c r="F991" s="2"/>
      <c r="G991" s="2"/>
    </row>
    <row r="992" spans="2:7" ht="15.75" customHeight="1" x14ac:dyDescent="0.25">
      <c r="B992" s="2"/>
      <c r="C992" s="2"/>
      <c r="D992" s="2"/>
      <c r="E992" s="2"/>
      <c r="F992" s="2"/>
      <c r="G992" s="2"/>
    </row>
    <row r="993" spans="2:7" ht="15.75" customHeight="1" x14ac:dyDescent="0.25">
      <c r="B993" s="2"/>
      <c r="C993" s="2"/>
      <c r="D993" s="2"/>
      <c r="E993" s="2"/>
      <c r="F993" s="2"/>
      <c r="G993" s="2"/>
    </row>
    <row r="994" spans="2:7" ht="15.75" customHeight="1" x14ac:dyDescent="0.25">
      <c r="B994" s="2"/>
      <c r="C994" s="2"/>
      <c r="D994" s="2"/>
      <c r="E994" s="2"/>
      <c r="F994" s="2"/>
      <c r="G994" s="2"/>
    </row>
    <row r="995" spans="2:7" ht="15.75" customHeight="1" x14ac:dyDescent="0.25">
      <c r="B995" s="2"/>
      <c r="C995" s="2"/>
      <c r="D995" s="2"/>
      <c r="E995" s="2"/>
      <c r="F995" s="2"/>
      <c r="G995" s="2"/>
    </row>
    <row r="996" spans="2:7" ht="15.75" customHeight="1" x14ac:dyDescent="0.25">
      <c r="B996" s="2"/>
      <c r="C996" s="2"/>
      <c r="D996" s="2"/>
      <c r="E996" s="2"/>
      <c r="F996" s="2"/>
      <c r="G996" s="2"/>
    </row>
    <row r="997" spans="2:7" ht="15.75" customHeight="1" x14ac:dyDescent="0.25">
      <c r="B997" s="2"/>
      <c r="C997" s="2"/>
      <c r="D997" s="2"/>
      <c r="E997" s="2"/>
      <c r="F997" s="2"/>
      <c r="G997" s="2"/>
    </row>
    <row r="998" spans="2:7" ht="15.75" customHeight="1" x14ac:dyDescent="0.25">
      <c r="B998" s="2"/>
      <c r="C998" s="2"/>
      <c r="D998" s="2"/>
      <c r="E998" s="2"/>
      <c r="F998" s="2"/>
      <c r="G998" s="2"/>
    </row>
    <row r="999" spans="2:7" ht="15.75" customHeight="1" x14ac:dyDescent="0.25">
      <c r="B999" s="2"/>
      <c r="C999" s="2"/>
      <c r="D999" s="2"/>
      <c r="E999" s="2"/>
      <c r="F999" s="2"/>
      <c r="G999" s="2"/>
    </row>
    <row r="1000" spans="2:7" ht="15.75" customHeight="1" x14ac:dyDescent="0.25">
      <c r="B1000" s="2"/>
      <c r="C1000" s="2"/>
      <c r="D1000" s="2"/>
      <c r="E1000" s="2"/>
      <c r="F1000" s="2"/>
      <c r="G1000" s="2"/>
    </row>
  </sheetData>
  <mergeCells count="2">
    <mergeCell ref="A1:A2"/>
    <mergeCell ref="B1:G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D71C-52AC-4656-9123-1EB0369143E8}">
  <sheetPr>
    <tabColor theme="7" tint="0.79998168889431442"/>
  </sheetPr>
  <dimension ref="A2:R38"/>
  <sheetViews>
    <sheetView topLeftCell="A11" zoomScaleNormal="100" workbookViewId="0">
      <selection activeCell="C28" sqref="C28"/>
    </sheetView>
  </sheetViews>
  <sheetFormatPr baseColWidth="10" defaultColWidth="9.140625" defaultRowHeight="15" x14ac:dyDescent="0.25"/>
  <cols>
    <col min="1" max="1" width="25.42578125" customWidth="1"/>
    <col min="2" max="2" width="16.42578125" bestFit="1" customWidth="1"/>
    <col min="3" max="6" width="16.42578125" customWidth="1"/>
    <col min="7" max="10" width="16.42578125" bestFit="1" customWidth="1"/>
    <col min="11" max="12" width="15.5703125" customWidth="1"/>
    <col min="13" max="13" width="16.42578125" bestFit="1" customWidth="1"/>
    <col min="14" max="14" width="15.5703125" customWidth="1"/>
  </cols>
  <sheetData>
    <row r="2" spans="1:18" s="60" customFormat="1" ht="24" x14ac:dyDescent="0.25">
      <c r="A2" s="123" t="s">
        <v>173</v>
      </c>
      <c r="B2" s="124" t="s">
        <v>174</v>
      </c>
      <c r="C2" s="124" t="s">
        <v>175</v>
      </c>
      <c r="D2" s="124" t="s">
        <v>176</v>
      </c>
      <c r="E2" s="124" t="s">
        <v>177</v>
      </c>
      <c r="F2" s="124" t="s">
        <v>178</v>
      </c>
      <c r="G2" s="124" t="s">
        <v>179</v>
      </c>
      <c r="H2" s="124" t="s">
        <v>180</v>
      </c>
      <c r="I2" s="124" t="s">
        <v>181</v>
      </c>
      <c r="J2" s="125" t="s">
        <v>182</v>
      </c>
      <c r="K2" s="125" t="s">
        <v>183</v>
      </c>
      <c r="L2" s="125" t="s">
        <v>184</v>
      </c>
      <c r="M2" s="125" t="s">
        <v>185</v>
      </c>
      <c r="N2" s="126" t="s">
        <v>186</v>
      </c>
    </row>
    <row r="3" spans="1:18" x14ac:dyDescent="0.25">
      <c r="A3" s="477" t="s">
        <v>187</v>
      </c>
      <c r="B3" s="214">
        <f>'1 - INVERSIONES'!B11</f>
        <v>1260000</v>
      </c>
      <c r="C3" s="116">
        <f>$B$3/$B$34</f>
        <v>126000</v>
      </c>
      <c r="D3" s="116">
        <f t="shared" ref="D3:L3" si="0">$B$3/$B$34</f>
        <v>126000</v>
      </c>
      <c r="E3" s="116">
        <f t="shared" si="0"/>
        <v>126000</v>
      </c>
      <c r="F3" s="116">
        <f t="shared" si="0"/>
        <v>126000</v>
      </c>
      <c r="G3" s="116">
        <f t="shared" si="0"/>
        <v>126000</v>
      </c>
      <c r="H3" s="116">
        <f t="shared" si="0"/>
        <v>126000</v>
      </c>
      <c r="I3" s="116">
        <f t="shared" si="0"/>
        <v>126000</v>
      </c>
      <c r="J3" s="119">
        <f t="shared" si="0"/>
        <v>126000</v>
      </c>
      <c r="K3" s="62">
        <f t="shared" si="0"/>
        <v>126000</v>
      </c>
      <c r="L3" s="62">
        <f t="shared" si="0"/>
        <v>126000</v>
      </c>
      <c r="M3" s="63">
        <f>SUM(C3:L3)</f>
        <v>1260000</v>
      </c>
      <c r="N3" s="64">
        <f t="shared" ref="N3:N19" si="1">+B3-M3</f>
        <v>0</v>
      </c>
    </row>
    <row r="4" spans="1:18" x14ac:dyDescent="0.25">
      <c r="A4" s="477" t="s">
        <v>188</v>
      </c>
      <c r="B4" s="6">
        <f>'1 - INVERSIONES'!C11</f>
        <v>1800000</v>
      </c>
      <c r="C4" s="114"/>
      <c r="D4" s="116">
        <f>+$B$4/$B$34</f>
        <v>180000</v>
      </c>
      <c r="E4" s="116">
        <f t="shared" ref="E4:L4" si="2">+$B$4/$B$34</f>
        <v>180000</v>
      </c>
      <c r="F4" s="116">
        <f t="shared" si="2"/>
        <v>180000</v>
      </c>
      <c r="G4" s="116">
        <f t="shared" si="2"/>
        <v>180000</v>
      </c>
      <c r="H4" s="116">
        <f t="shared" si="2"/>
        <v>180000</v>
      </c>
      <c r="I4" s="116">
        <f t="shared" si="2"/>
        <v>180000</v>
      </c>
      <c r="J4" s="119">
        <f t="shared" si="2"/>
        <v>180000</v>
      </c>
      <c r="K4" s="62">
        <f t="shared" si="2"/>
        <v>180000</v>
      </c>
      <c r="L4" s="62">
        <f t="shared" si="2"/>
        <v>180000</v>
      </c>
      <c r="M4" s="63">
        <f>SUM(D4:L4)</f>
        <v>1620000</v>
      </c>
      <c r="N4" s="64">
        <f t="shared" si="1"/>
        <v>180000</v>
      </c>
    </row>
    <row r="5" spans="1:18" x14ac:dyDescent="0.25">
      <c r="A5" s="122" t="s">
        <v>189</v>
      </c>
      <c r="B5" s="214">
        <f>'1 - INVERSIONES'!B12</f>
        <v>3600000</v>
      </c>
      <c r="C5" s="116">
        <f>$B$5/$B$34</f>
        <v>360000</v>
      </c>
      <c r="D5" s="116">
        <f t="shared" ref="D5:L5" si="3">$B$5/$B$34</f>
        <v>360000</v>
      </c>
      <c r="E5" s="116">
        <f t="shared" si="3"/>
        <v>360000</v>
      </c>
      <c r="F5" s="116">
        <f t="shared" si="3"/>
        <v>360000</v>
      </c>
      <c r="G5" s="116">
        <f t="shared" si="3"/>
        <v>360000</v>
      </c>
      <c r="H5" s="116">
        <f t="shared" si="3"/>
        <v>360000</v>
      </c>
      <c r="I5" s="116">
        <f t="shared" si="3"/>
        <v>360000</v>
      </c>
      <c r="J5" s="120">
        <f t="shared" si="3"/>
        <v>360000</v>
      </c>
      <c r="K5" s="113">
        <f t="shared" si="3"/>
        <v>360000</v>
      </c>
      <c r="L5" s="113">
        <f t="shared" si="3"/>
        <v>360000</v>
      </c>
      <c r="M5" s="63">
        <f>SUM(C5:L5)</f>
        <v>3600000</v>
      </c>
      <c r="N5" s="64">
        <f t="shared" si="1"/>
        <v>0</v>
      </c>
    </row>
    <row r="6" spans="1:18" x14ac:dyDescent="0.25">
      <c r="A6" s="122" t="s">
        <v>190</v>
      </c>
      <c r="B6" s="6">
        <f>'1 - INVERSIONES'!C12</f>
        <v>2000000</v>
      </c>
      <c r="C6" s="114"/>
      <c r="D6" s="116">
        <f>$B$6/$B$34</f>
        <v>200000</v>
      </c>
      <c r="E6" s="116">
        <f t="shared" ref="E6:L6" si="4">$B$6/$B$34</f>
        <v>200000</v>
      </c>
      <c r="F6" s="116">
        <f t="shared" si="4"/>
        <v>200000</v>
      </c>
      <c r="G6" s="116">
        <f t="shared" si="4"/>
        <v>200000</v>
      </c>
      <c r="H6" s="116">
        <f t="shared" si="4"/>
        <v>200000</v>
      </c>
      <c r="I6" s="116">
        <f t="shared" si="4"/>
        <v>200000</v>
      </c>
      <c r="J6" s="120">
        <f t="shared" si="4"/>
        <v>200000</v>
      </c>
      <c r="K6" s="113">
        <f t="shared" si="4"/>
        <v>200000</v>
      </c>
      <c r="L6" s="113">
        <f t="shared" si="4"/>
        <v>200000</v>
      </c>
      <c r="M6" s="63">
        <f>SUM(D6:L6)</f>
        <v>1800000</v>
      </c>
      <c r="N6" s="64">
        <f t="shared" si="1"/>
        <v>200000</v>
      </c>
    </row>
    <row r="7" spans="1:18" x14ac:dyDescent="0.25">
      <c r="A7" s="122" t="s">
        <v>191</v>
      </c>
      <c r="B7" s="6">
        <f>'1 - INVERSIONES'!D12</f>
        <v>2800000</v>
      </c>
      <c r="C7" s="114"/>
      <c r="D7" s="114"/>
      <c r="E7" s="116">
        <f>$B$7/$B$34</f>
        <v>280000</v>
      </c>
      <c r="F7" s="116">
        <f t="shared" ref="F7:L7" si="5">$B$7/$B$34</f>
        <v>280000</v>
      </c>
      <c r="G7" s="116">
        <f t="shared" si="5"/>
        <v>280000</v>
      </c>
      <c r="H7" s="116">
        <f t="shared" si="5"/>
        <v>280000</v>
      </c>
      <c r="I7" s="116">
        <f t="shared" si="5"/>
        <v>280000</v>
      </c>
      <c r="J7" s="120">
        <f t="shared" si="5"/>
        <v>280000</v>
      </c>
      <c r="K7" s="113">
        <f t="shared" si="5"/>
        <v>280000</v>
      </c>
      <c r="L7" s="113">
        <f t="shared" si="5"/>
        <v>280000</v>
      </c>
      <c r="M7" s="63">
        <f>SUM(E7:L7)</f>
        <v>2240000</v>
      </c>
      <c r="N7" s="64">
        <f t="shared" si="1"/>
        <v>560000</v>
      </c>
    </row>
    <row r="8" spans="1:18" x14ac:dyDescent="0.25">
      <c r="A8" s="122" t="s">
        <v>192</v>
      </c>
      <c r="B8" s="6">
        <f>'1 - INVERSIONES'!E12</f>
        <v>18000000</v>
      </c>
      <c r="C8" s="114"/>
      <c r="D8" s="114"/>
      <c r="E8" s="114"/>
      <c r="F8" s="116">
        <f>+$B$8/$B$36</f>
        <v>3600000</v>
      </c>
      <c r="G8" s="116">
        <f>+$B$8/$B$36</f>
        <v>3600000</v>
      </c>
      <c r="H8" s="116">
        <f>+$B$8/$B$36</f>
        <v>3600000</v>
      </c>
      <c r="I8" s="116">
        <f>+$B$8/$B$36</f>
        <v>3600000</v>
      </c>
      <c r="J8" s="115">
        <f>+$B$8/$B$36</f>
        <v>3600000</v>
      </c>
      <c r="K8" s="65"/>
      <c r="L8" s="65"/>
      <c r="M8" s="63">
        <f>SUM(F8:L8)</f>
        <v>18000000</v>
      </c>
      <c r="N8" s="64">
        <f t="shared" si="1"/>
        <v>0</v>
      </c>
    </row>
    <row r="9" spans="1:18" x14ac:dyDescent="0.25">
      <c r="A9" s="122" t="s">
        <v>193</v>
      </c>
      <c r="B9" s="6">
        <f>'1 - INVERSIONES'!D15</f>
        <v>13000000</v>
      </c>
      <c r="C9" s="117"/>
      <c r="D9" s="116">
        <f t="shared" ref="D9:L9" si="6">$B$9/$B$34</f>
        <v>1300000</v>
      </c>
      <c r="E9" s="116">
        <f t="shared" si="6"/>
        <v>1300000</v>
      </c>
      <c r="F9" s="116">
        <f t="shared" si="6"/>
        <v>1300000</v>
      </c>
      <c r="G9" s="116">
        <f t="shared" si="6"/>
        <v>1300000</v>
      </c>
      <c r="H9" s="116">
        <f t="shared" si="6"/>
        <v>1300000</v>
      </c>
      <c r="I9" s="116">
        <f t="shared" si="6"/>
        <v>1300000</v>
      </c>
      <c r="J9" s="121">
        <f t="shared" si="6"/>
        <v>1300000</v>
      </c>
      <c r="K9" s="116">
        <f t="shared" si="6"/>
        <v>1300000</v>
      </c>
      <c r="L9" s="116">
        <f t="shared" si="6"/>
        <v>1300000</v>
      </c>
      <c r="M9" s="63">
        <f t="shared" ref="M9:M14" si="7">SUM(C9:L9)</f>
        <v>11700000</v>
      </c>
      <c r="N9" s="64">
        <f t="shared" si="1"/>
        <v>1300000</v>
      </c>
    </row>
    <row r="10" spans="1:18" x14ac:dyDescent="0.25">
      <c r="A10" s="122" t="s">
        <v>194</v>
      </c>
      <c r="B10" s="214">
        <f>'1 - INVERSIONES'!B13</f>
        <v>460000</v>
      </c>
      <c r="C10" s="116">
        <f>+$B$10/$B$36</f>
        <v>92000</v>
      </c>
      <c r="D10" s="116">
        <f t="shared" ref="D10:G10" si="8">+$B$10/$B$36</f>
        <v>92000</v>
      </c>
      <c r="E10" s="116">
        <f t="shared" si="8"/>
        <v>92000</v>
      </c>
      <c r="F10" s="116">
        <f t="shared" si="8"/>
        <v>92000</v>
      </c>
      <c r="G10" s="116">
        <f t="shared" si="8"/>
        <v>92000</v>
      </c>
      <c r="H10" s="116"/>
      <c r="I10" s="116"/>
      <c r="J10" s="115"/>
      <c r="K10" s="65"/>
      <c r="L10" s="65"/>
      <c r="M10" s="63">
        <f t="shared" si="7"/>
        <v>460000</v>
      </c>
      <c r="N10" s="64">
        <f t="shared" si="1"/>
        <v>0</v>
      </c>
    </row>
    <row r="11" spans="1:18" x14ac:dyDescent="0.25">
      <c r="A11" s="122" t="s">
        <v>195</v>
      </c>
      <c r="B11" s="214">
        <f>'1 - INVERSIONES'!B14</f>
        <v>110000</v>
      </c>
      <c r="C11" s="116">
        <f>+$B$11/$B$36</f>
        <v>22000</v>
      </c>
      <c r="D11" s="116">
        <f>+$B$11/$B$36</f>
        <v>22000</v>
      </c>
      <c r="E11" s="116">
        <f>+$B$11/$B$36</f>
        <v>22000</v>
      </c>
      <c r="F11" s="116">
        <f>+$B$11/$B$36</f>
        <v>22000</v>
      </c>
      <c r="G11" s="116">
        <f>+$B$11/$B$36</f>
        <v>22000</v>
      </c>
      <c r="H11" s="116"/>
      <c r="I11" s="116"/>
      <c r="J11" s="115"/>
      <c r="K11" s="65"/>
      <c r="L11" s="65"/>
      <c r="M11" s="63">
        <f t="shared" si="7"/>
        <v>110000</v>
      </c>
      <c r="N11" s="64">
        <f t="shared" si="1"/>
        <v>0</v>
      </c>
    </row>
    <row r="12" spans="1:18" x14ac:dyDescent="0.25">
      <c r="A12" s="122" t="s">
        <v>196</v>
      </c>
      <c r="B12" s="214">
        <f>'1 - INVERSIONES'!B16</f>
        <v>600000</v>
      </c>
      <c r="C12" s="116">
        <f>+$B$12/$B$36</f>
        <v>120000</v>
      </c>
      <c r="D12" s="116">
        <f>+$B$12/$B$36</f>
        <v>120000</v>
      </c>
      <c r="E12" s="116">
        <f>+$B$12/$B$36</f>
        <v>120000</v>
      </c>
      <c r="F12" s="116">
        <f>+$B$12/$B$36</f>
        <v>120000</v>
      </c>
      <c r="G12" s="116">
        <f>+$B$12/$B$36</f>
        <v>120000</v>
      </c>
      <c r="H12" s="116"/>
      <c r="I12" s="116"/>
      <c r="J12" s="115"/>
      <c r="K12" s="65"/>
      <c r="L12" s="65"/>
      <c r="M12" s="63">
        <f t="shared" si="7"/>
        <v>600000</v>
      </c>
      <c r="N12" s="64">
        <f t="shared" si="1"/>
        <v>0</v>
      </c>
    </row>
    <row r="13" spans="1:18" x14ac:dyDescent="0.25">
      <c r="A13" s="122" t="s">
        <v>197</v>
      </c>
      <c r="B13" s="214">
        <f>'1 - INVERSIONES'!B17</f>
        <v>600000</v>
      </c>
      <c r="C13" s="116">
        <f t="shared" ref="C13:L13" si="9">+$B$13/$B$34</f>
        <v>60000</v>
      </c>
      <c r="D13" s="116">
        <f t="shared" si="9"/>
        <v>60000</v>
      </c>
      <c r="E13" s="116">
        <f t="shared" si="9"/>
        <v>60000</v>
      </c>
      <c r="F13" s="116">
        <f t="shared" si="9"/>
        <v>60000</v>
      </c>
      <c r="G13" s="116">
        <f t="shared" si="9"/>
        <v>60000</v>
      </c>
      <c r="H13" s="116">
        <f t="shared" si="9"/>
        <v>60000</v>
      </c>
      <c r="I13" s="116">
        <f t="shared" si="9"/>
        <v>60000</v>
      </c>
      <c r="J13" s="115">
        <f t="shared" si="9"/>
        <v>60000</v>
      </c>
      <c r="K13" s="65">
        <f t="shared" si="9"/>
        <v>60000</v>
      </c>
      <c r="L13" s="65">
        <f t="shared" si="9"/>
        <v>60000</v>
      </c>
      <c r="M13" s="63">
        <f t="shared" si="7"/>
        <v>600000</v>
      </c>
      <c r="N13" s="64">
        <f t="shared" si="1"/>
        <v>0</v>
      </c>
      <c r="O13" s="66"/>
      <c r="P13" s="66"/>
      <c r="Q13" s="66"/>
      <c r="R13" s="66"/>
    </row>
    <row r="14" spans="1:18" x14ac:dyDescent="0.25">
      <c r="A14" s="122" t="s">
        <v>198</v>
      </c>
      <c r="B14" s="214">
        <f>'1 - INVERSIONES'!B18</f>
        <v>1600000</v>
      </c>
      <c r="C14" s="116">
        <f>$B$14/$B$37</f>
        <v>533333.33333333337</v>
      </c>
      <c r="D14" s="116">
        <f t="shared" ref="D14:E14" si="10">$B$14/$B$37</f>
        <v>533333.33333333337</v>
      </c>
      <c r="E14" s="116">
        <f t="shared" si="10"/>
        <v>533333.33333333337</v>
      </c>
      <c r="F14" s="116"/>
      <c r="G14" s="116"/>
      <c r="H14" s="116"/>
      <c r="I14" s="116"/>
      <c r="J14" s="115"/>
      <c r="K14" s="65"/>
      <c r="L14" s="65"/>
      <c r="M14" s="63">
        <f t="shared" si="7"/>
        <v>1600000</v>
      </c>
      <c r="N14" s="64">
        <f t="shared" si="1"/>
        <v>0</v>
      </c>
    </row>
    <row r="15" spans="1:18" x14ac:dyDescent="0.25">
      <c r="A15" s="122" t="s">
        <v>199</v>
      </c>
      <c r="B15" s="6">
        <f>'1 - INVERSIONES'!F18</f>
        <v>4000000</v>
      </c>
      <c r="C15" s="114"/>
      <c r="D15" s="114"/>
      <c r="E15" s="114"/>
      <c r="F15" s="117"/>
      <c r="G15" s="116">
        <f>+$B$15/$B$37</f>
        <v>1333333.3333333333</v>
      </c>
      <c r="H15" s="116">
        <f>+$B$15/$B$37</f>
        <v>1333333.3333333333</v>
      </c>
      <c r="I15" s="116">
        <f>+$B$15/$B$37</f>
        <v>1333333.3333333333</v>
      </c>
      <c r="J15" s="115"/>
      <c r="K15" s="65"/>
      <c r="L15" s="65"/>
      <c r="M15" s="63">
        <f>SUM(F15:L15)</f>
        <v>4000000</v>
      </c>
      <c r="N15" s="64">
        <f t="shared" si="1"/>
        <v>0</v>
      </c>
    </row>
    <row r="16" spans="1:18" x14ac:dyDescent="0.25">
      <c r="A16" s="122" t="s">
        <v>200</v>
      </c>
      <c r="B16" s="214">
        <v>1600000</v>
      </c>
      <c r="C16" s="116">
        <f>$B$16/$B$37</f>
        <v>533333.33333333337</v>
      </c>
      <c r="D16" s="116">
        <f t="shared" ref="D16:E17" si="11">$B$16/$B$37</f>
        <v>533333.33333333337</v>
      </c>
      <c r="E16" s="116">
        <f t="shared" si="11"/>
        <v>533333.33333333337</v>
      </c>
      <c r="F16" s="116"/>
      <c r="G16" s="116"/>
      <c r="H16" s="116"/>
      <c r="I16" s="116"/>
      <c r="J16" s="115"/>
      <c r="K16" s="65"/>
      <c r="L16" s="65"/>
      <c r="M16" s="63">
        <f>SUM(C16:L16)</f>
        <v>1600000</v>
      </c>
      <c r="N16" s="64">
        <f t="shared" si="1"/>
        <v>0</v>
      </c>
    </row>
    <row r="17" spans="1:14" x14ac:dyDescent="0.25">
      <c r="A17" s="122" t="s">
        <v>201</v>
      </c>
      <c r="B17" s="214">
        <v>1600000</v>
      </c>
      <c r="C17" s="116">
        <f>$B$17/$B$37</f>
        <v>533333.33333333337</v>
      </c>
      <c r="D17" s="116">
        <f t="shared" si="11"/>
        <v>533333.33333333337</v>
      </c>
      <c r="E17" s="116">
        <f t="shared" si="11"/>
        <v>533333.33333333337</v>
      </c>
      <c r="F17" s="116"/>
      <c r="G17" s="116"/>
      <c r="H17" s="116"/>
      <c r="I17" s="116"/>
      <c r="J17" s="115"/>
      <c r="K17" s="65"/>
      <c r="L17" s="65"/>
      <c r="M17" s="63">
        <f>SUM(C17:L17)</f>
        <v>1600000</v>
      </c>
      <c r="N17" s="64">
        <f t="shared" si="1"/>
        <v>0</v>
      </c>
    </row>
    <row r="18" spans="1:14" x14ac:dyDescent="0.25">
      <c r="A18" s="122" t="s">
        <v>202</v>
      </c>
      <c r="B18" s="214">
        <f>'1 - INVERSIONES'!B20</f>
        <v>1000000</v>
      </c>
      <c r="C18" s="116">
        <f>$B$18/$B$37</f>
        <v>333333.33333333331</v>
      </c>
      <c r="D18" s="116">
        <f t="shared" ref="D18:E18" si="12">$B$18/$B$37</f>
        <v>333333.33333333331</v>
      </c>
      <c r="E18" s="116">
        <f t="shared" si="12"/>
        <v>333333.33333333331</v>
      </c>
      <c r="F18" s="116"/>
      <c r="G18" s="116"/>
      <c r="H18" s="116"/>
      <c r="I18" s="116"/>
      <c r="J18" s="115"/>
      <c r="K18" s="65"/>
      <c r="L18" s="65"/>
      <c r="M18" s="63">
        <f>SUM(C18:L18)</f>
        <v>1000000</v>
      </c>
      <c r="N18" s="64">
        <f t="shared" si="1"/>
        <v>0</v>
      </c>
    </row>
    <row r="19" spans="1:14" x14ac:dyDescent="0.25">
      <c r="A19" s="122" t="s">
        <v>203</v>
      </c>
      <c r="B19" s="6">
        <f>'1 - INVERSIONES'!F20</f>
        <v>2000000</v>
      </c>
      <c r="C19" s="114"/>
      <c r="D19" s="114"/>
      <c r="E19" s="114"/>
      <c r="F19" s="116"/>
      <c r="G19" s="116">
        <f>$B$19/$B$37</f>
        <v>666666.66666666663</v>
      </c>
      <c r="H19" s="116">
        <f t="shared" ref="H19:I19" si="13">$B$19/$B$37</f>
        <v>666666.66666666663</v>
      </c>
      <c r="I19" s="116">
        <f t="shared" si="13"/>
        <v>666666.66666666663</v>
      </c>
      <c r="J19" s="115"/>
      <c r="K19" s="65"/>
      <c r="L19" s="65"/>
      <c r="M19" s="63">
        <f>SUM(F19:L19)</f>
        <v>2000000</v>
      </c>
      <c r="N19" s="64">
        <f t="shared" si="1"/>
        <v>0</v>
      </c>
    </row>
    <row r="20" spans="1:14" x14ac:dyDescent="0.25">
      <c r="A20" s="122" t="s">
        <v>204</v>
      </c>
      <c r="B20" s="214">
        <f>'1 - INVERSIONES'!B21</f>
        <v>2826000</v>
      </c>
      <c r="C20" s="116">
        <f>$B$20/$B$36</f>
        <v>565200</v>
      </c>
      <c r="D20" s="116">
        <f>+$B$23/$B$36</f>
        <v>200000</v>
      </c>
      <c r="E20" s="116">
        <f>+$B$23/$B$36</f>
        <v>200000</v>
      </c>
      <c r="F20" s="116">
        <f>+$B$23/$B$36</f>
        <v>200000</v>
      </c>
      <c r="G20" s="116">
        <f>+$B$23/$B$36</f>
        <v>200000</v>
      </c>
      <c r="H20" s="116"/>
      <c r="I20" s="116"/>
      <c r="J20" s="115"/>
      <c r="K20" s="65"/>
      <c r="L20" s="65"/>
      <c r="M20" s="63">
        <f t="shared" ref="M20" si="14">SUM(C20:L20)</f>
        <v>1365200</v>
      </c>
      <c r="N20" s="64">
        <f t="shared" ref="N20:N22" si="15">+B20-M20</f>
        <v>1460800</v>
      </c>
    </row>
    <row r="21" spans="1:14" x14ac:dyDescent="0.25">
      <c r="A21" s="122" t="s">
        <v>205</v>
      </c>
      <c r="B21" s="6">
        <f>'1 - INVERSIONES'!C21</f>
        <v>1500000</v>
      </c>
      <c r="C21" s="114"/>
      <c r="D21" s="116">
        <f>+$B$23/$B$36</f>
        <v>200000</v>
      </c>
      <c r="E21" s="116">
        <f t="shared" ref="E21:H21" si="16">+$B$23/$B$36</f>
        <v>200000</v>
      </c>
      <c r="F21" s="116">
        <f t="shared" si="16"/>
        <v>200000</v>
      </c>
      <c r="G21" s="116">
        <f t="shared" si="16"/>
        <v>200000</v>
      </c>
      <c r="H21" s="116">
        <f t="shared" si="16"/>
        <v>200000</v>
      </c>
      <c r="I21" s="116"/>
      <c r="J21" s="115"/>
      <c r="K21" s="65"/>
      <c r="L21" s="65"/>
      <c r="M21" s="63">
        <f>SUM(D21:L21)</f>
        <v>1000000</v>
      </c>
      <c r="N21" s="64">
        <f t="shared" si="15"/>
        <v>500000</v>
      </c>
    </row>
    <row r="22" spans="1:14" x14ac:dyDescent="0.25">
      <c r="A22" s="122" t="s">
        <v>206</v>
      </c>
      <c r="B22" s="6">
        <f>'1 - INVERSIONES'!D21</f>
        <v>3000000</v>
      </c>
      <c r="C22" s="114"/>
      <c r="D22" s="114"/>
      <c r="E22" s="116">
        <f>$B$22/$B$36</f>
        <v>600000</v>
      </c>
      <c r="F22" s="116">
        <f t="shared" ref="F22:I22" si="17">$B$22/$B$36</f>
        <v>600000</v>
      </c>
      <c r="G22" s="116">
        <f t="shared" si="17"/>
        <v>600000</v>
      </c>
      <c r="H22" s="116">
        <f t="shared" si="17"/>
        <v>600000</v>
      </c>
      <c r="I22" s="116">
        <f t="shared" si="17"/>
        <v>600000</v>
      </c>
      <c r="J22" s="115"/>
      <c r="K22" s="65"/>
      <c r="L22" s="65"/>
      <c r="M22" s="63">
        <f>SUM(E22:L22)</f>
        <v>3000000</v>
      </c>
      <c r="N22" s="64">
        <f t="shared" si="15"/>
        <v>0</v>
      </c>
    </row>
    <row r="23" spans="1:14" x14ac:dyDescent="0.25">
      <c r="A23" s="122" t="s">
        <v>207</v>
      </c>
      <c r="B23" s="6">
        <f>'1 - INVERSIONES'!E21</f>
        <v>1000000</v>
      </c>
      <c r="C23" s="114"/>
      <c r="D23" s="114"/>
      <c r="E23" s="114"/>
      <c r="F23" s="116">
        <f>$B$23/$B$36</f>
        <v>200000</v>
      </c>
      <c r="G23" s="116">
        <f t="shared" ref="G23:J23" si="18">$B$23/$B$36</f>
        <v>200000</v>
      </c>
      <c r="H23" s="116">
        <f t="shared" si="18"/>
        <v>200000</v>
      </c>
      <c r="I23" s="116">
        <f t="shared" si="18"/>
        <v>200000</v>
      </c>
      <c r="J23" s="115">
        <f t="shared" si="18"/>
        <v>200000</v>
      </c>
      <c r="K23" s="65"/>
      <c r="L23" s="65"/>
      <c r="M23" s="63">
        <f>SUM(F23:L23)</f>
        <v>1000000</v>
      </c>
      <c r="N23" s="64">
        <f>+B23-M23</f>
        <v>0</v>
      </c>
    </row>
    <row r="24" spans="1:14" x14ac:dyDescent="0.25">
      <c r="A24" s="478" t="s">
        <v>208</v>
      </c>
      <c r="B24" s="214">
        <f>'1 - INVERSIONES'!B22</f>
        <v>3360000</v>
      </c>
      <c r="C24" s="116">
        <f>+$B$24/$B$33</f>
        <v>336000</v>
      </c>
      <c r="D24" s="116">
        <f t="shared" ref="D24:L24" si="19">+$B$24/$B$33</f>
        <v>336000</v>
      </c>
      <c r="E24" s="116">
        <f t="shared" si="19"/>
        <v>336000</v>
      </c>
      <c r="F24" s="116">
        <f t="shared" si="19"/>
        <v>336000</v>
      </c>
      <c r="G24" s="116">
        <f t="shared" si="19"/>
        <v>336000</v>
      </c>
      <c r="H24" s="116">
        <f t="shared" si="19"/>
        <v>336000</v>
      </c>
      <c r="I24" s="116">
        <f t="shared" si="19"/>
        <v>336000</v>
      </c>
      <c r="J24" s="115">
        <f t="shared" si="19"/>
        <v>336000</v>
      </c>
      <c r="K24" s="65">
        <f t="shared" si="19"/>
        <v>336000</v>
      </c>
      <c r="L24" s="65">
        <f t="shared" si="19"/>
        <v>336000</v>
      </c>
      <c r="M24" s="63">
        <f>SUM(C24:L24)</f>
        <v>3360000</v>
      </c>
      <c r="N24" s="64">
        <f>+B24-M24</f>
        <v>0</v>
      </c>
    </row>
    <row r="25" spans="1:14" x14ac:dyDescent="0.25">
      <c r="A25" s="118" t="s">
        <v>209</v>
      </c>
      <c r="B25" s="214">
        <f>'1 - INVERSIONES'!B23</f>
        <v>4000000</v>
      </c>
      <c r="C25" s="116">
        <f>$B$25/$B$33</f>
        <v>400000</v>
      </c>
      <c r="D25" s="116">
        <f t="shared" ref="D25:L25" si="20">$B$25/$B$33</f>
        <v>400000</v>
      </c>
      <c r="E25" s="116">
        <f t="shared" si="20"/>
        <v>400000</v>
      </c>
      <c r="F25" s="116">
        <f t="shared" si="20"/>
        <v>400000</v>
      </c>
      <c r="G25" s="116">
        <f t="shared" si="20"/>
        <v>400000</v>
      </c>
      <c r="H25" s="116">
        <f t="shared" si="20"/>
        <v>400000</v>
      </c>
      <c r="I25" s="116">
        <f t="shared" si="20"/>
        <v>400000</v>
      </c>
      <c r="J25" s="115">
        <f t="shared" si="20"/>
        <v>400000</v>
      </c>
      <c r="K25" s="65">
        <f t="shared" si="20"/>
        <v>400000</v>
      </c>
      <c r="L25" s="65">
        <f t="shared" si="20"/>
        <v>400000</v>
      </c>
      <c r="M25" s="63">
        <f>SUM(C25:L25)</f>
        <v>4000000</v>
      </c>
      <c r="N25" s="64">
        <f>+B25-M25</f>
        <v>0</v>
      </c>
    </row>
    <row r="26" spans="1:14" x14ac:dyDescent="0.25">
      <c r="A26" s="118" t="s">
        <v>209</v>
      </c>
      <c r="B26" s="6">
        <f>'1 - INVERSIONES'!C23</f>
        <v>1000000</v>
      </c>
      <c r="C26" s="114"/>
      <c r="D26" s="116">
        <f t="shared" ref="D26:L26" si="21">$B$26/$B$33</f>
        <v>100000</v>
      </c>
      <c r="E26" s="116">
        <f t="shared" si="21"/>
        <v>100000</v>
      </c>
      <c r="F26" s="116">
        <f t="shared" si="21"/>
        <v>100000</v>
      </c>
      <c r="G26" s="116">
        <f t="shared" si="21"/>
        <v>100000</v>
      </c>
      <c r="H26" s="116">
        <f t="shared" si="21"/>
        <v>100000</v>
      </c>
      <c r="I26" s="116">
        <f t="shared" si="21"/>
        <v>100000</v>
      </c>
      <c r="J26" s="115">
        <f t="shared" si="21"/>
        <v>100000</v>
      </c>
      <c r="K26" s="65">
        <f t="shared" si="21"/>
        <v>100000</v>
      </c>
      <c r="L26" s="65">
        <f t="shared" si="21"/>
        <v>100000</v>
      </c>
      <c r="M26" s="63">
        <f>SUM(D26:L26)</f>
        <v>900000</v>
      </c>
      <c r="N26" s="64">
        <f>+B26-M26</f>
        <v>100000</v>
      </c>
    </row>
    <row r="27" spans="1:14" x14ac:dyDescent="0.25">
      <c r="A27" s="130" t="s">
        <v>209</v>
      </c>
      <c r="B27" s="310">
        <f>'1 - INVERSIONES'!F23</f>
        <v>2000000</v>
      </c>
      <c r="C27" s="131"/>
      <c r="D27" s="131"/>
      <c r="E27" s="132">
        <f>$B$27/$B$33</f>
        <v>200000</v>
      </c>
      <c r="F27" s="132">
        <f t="shared" ref="F27:L27" si="22">$B$27/$B$33</f>
        <v>200000</v>
      </c>
      <c r="G27" s="132">
        <f t="shared" si="22"/>
        <v>200000</v>
      </c>
      <c r="H27" s="132">
        <f t="shared" si="22"/>
        <v>200000</v>
      </c>
      <c r="I27" s="132">
        <f t="shared" si="22"/>
        <v>200000</v>
      </c>
      <c r="J27" s="120">
        <f t="shared" si="22"/>
        <v>200000</v>
      </c>
      <c r="K27" s="113">
        <f t="shared" si="22"/>
        <v>200000</v>
      </c>
      <c r="L27" s="113">
        <f t="shared" si="22"/>
        <v>200000</v>
      </c>
      <c r="M27" s="133">
        <f>SUM(E27:L27)</f>
        <v>1600000</v>
      </c>
      <c r="N27" s="64">
        <f>+B27-M27</f>
        <v>400000</v>
      </c>
    </row>
    <row r="28" spans="1:14" s="61" customFormat="1" ht="18" customHeight="1" x14ac:dyDescent="0.25">
      <c r="A28" s="139" t="s">
        <v>210</v>
      </c>
      <c r="B28" s="129">
        <f>SUM(B4:B27)</f>
        <v>73456000</v>
      </c>
      <c r="C28" s="254">
        <f>SUM(C3:C27)</f>
        <v>4014533.333333334</v>
      </c>
      <c r="D28" s="255">
        <f>SUM(D3:D27)</f>
        <v>5629333.333333334</v>
      </c>
      <c r="E28" s="255">
        <f>SUM(E3:E27)</f>
        <v>6709333.333333333</v>
      </c>
      <c r="F28" s="255">
        <f>SUM(F3:F27)</f>
        <v>8576000</v>
      </c>
      <c r="G28" s="255">
        <f>SUM(G3:G27)</f>
        <v>10576000</v>
      </c>
      <c r="H28" s="136">
        <f t="shared" ref="H28:N28" si="23">SUM(H3:H27)</f>
        <v>10142000</v>
      </c>
      <c r="I28" s="136">
        <f t="shared" si="23"/>
        <v>9942000</v>
      </c>
      <c r="J28" s="136">
        <f t="shared" si="23"/>
        <v>7342000</v>
      </c>
      <c r="K28" s="136">
        <f t="shared" si="23"/>
        <v>3542000</v>
      </c>
      <c r="L28" s="136">
        <f t="shared" si="23"/>
        <v>3542000</v>
      </c>
      <c r="M28" s="129">
        <f>SUM(M3:M27)</f>
        <v>70015200</v>
      </c>
      <c r="N28" s="127">
        <f t="shared" si="23"/>
        <v>4700800</v>
      </c>
    </row>
    <row r="29" spans="1:14" s="61" customFormat="1" ht="15.6" customHeight="1" x14ac:dyDescent="0.25">
      <c r="A29" s="128" t="s">
        <v>211</v>
      </c>
      <c r="B29" s="131"/>
      <c r="C29" s="135">
        <f>+B28-C28</f>
        <v>69441466.666666672</v>
      </c>
      <c r="D29" s="138">
        <f>+B28-C28-D28</f>
        <v>63812133.333333336</v>
      </c>
      <c r="E29" s="135">
        <f>+B28-C28-D28-E28</f>
        <v>57102800</v>
      </c>
      <c r="F29" s="135">
        <f>+B28-C28-D28-E28-F28</f>
        <v>48526800</v>
      </c>
      <c r="G29" s="135">
        <f>+B28-C28-D28-E28-F28-G28</f>
        <v>37950800</v>
      </c>
      <c r="H29" s="135">
        <f>+B28-C28-D28-E28-F28-G28-H28</f>
        <v>27808800</v>
      </c>
      <c r="I29" s="135">
        <f>+B28-C28-D28-E28-F28-G28-H28-I28</f>
        <v>17866800</v>
      </c>
      <c r="J29" s="135">
        <f>+B28-C28-D28-E28-F28-G28-H28-I28-J28</f>
        <v>10524800</v>
      </c>
      <c r="K29" s="135">
        <f>+B28-C28-D28-E28-F28-G28-H28-I28-J28-K28</f>
        <v>6982800</v>
      </c>
      <c r="L29" s="135">
        <f>+B28-C28-D28-E28-F28-G28-H28-I28-J28-K28-L28</f>
        <v>3440800</v>
      </c>
      <c r="M29" s="131"/>
      <c r="N29" s="131"/>
    </row>
    <row r="30" spans="1:14" s="61" customFormat="1" ht="15.6" customHeight="1" x14ac:dyDescent="0.25">
      <c r="A30" s="134"/>
      <c r="B30" s="134"/>
      <c r="C30" s="137"/>
      <c r="D30" s="137"/>
      <c r="E30" s="137"/>
      <c r="F30" s="137"/>
      <c r="G30" s="137"/>
      <c r="H30" s="137"/>
      <c r="I30" s="137"/>
      <c r="J30" s="137"/>
      <c r="K30" s="137"/>
      <c r="L30" s="137"/>
    </row>
    <row r="31" spans="1:14" s="61" customFormat="1" ht="15.6" customHeight="1" x14ac:dyDescent="0.25"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3" spans="1:3" x14ac:dyDescent="0.25">
      <c r="A33" s="128" t="s">
        <v>212</v>
      </c>
      <c r="B33" s="140">
        <v>10</v>
      </c>
      <c r="C33" s="128" t="s">
        <v>213</v>
      </c>
    </row>
    <row r="34" spans="1:3" x14ac:dyDescent="0.25">
      <c r="A34" s="128" t="s">
        <v>214</v>
      </c>
      <c r="B34" s="140">
        <v>10</v>
      </c>
      <c r="C34" s="128" t="s">
        <v>213</v>
      </c>
    </row>
    <row r="35" spans="1:3" x14ac:dyDescent="0.25">
      <c r="A35" s="128" t="s">
        <v>215</v>
      </c>
      <c r="B35" s="140">
        <v>5</v>
      </c>
      <c r="C35" s="128" t="s">
        <v>213</v>
      </c>
    </row>
    <row r="36" spans="1:3" x14ac:dyDescent="0.25">
      <c r="A36" s="128" t="s">
        <v>216</v>
      </c>
      <c r="B36" s="140">
        <v>5</v>
      </c>
      <c r="C36" s="128" t="s">
        <v>213</v>
      </c>
    </row>
    <row r="37" spans="1:3" x14ac:dyDescent="0.25">
      <c r="A37" s="128" t="s">
        <v>217</v>
      </c>
      <c r="B37" s="140">
        <v>3</v>
      </c>
      <c r="C37" s="128" t="s">
        <v>213</v>
      </c>
    </row>
    <row r="38" spans="1:3" x14ac:dyDescent="0.25">
      <c r="B38" s="6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BC973"/>
  <sheetViews>
    <sheetView topLeftCell="A8" zoomScale="85" zoomScaleNormal="85" workbookViewId="0">
      <selection activeCell="G17" sqref="G17"/>
    </sheetView>
  </sheetViews>
  <sheetFormatPr baseColWidth="10" defaultColWidth="14.42578125" defaultRowHeight="15" customHeight="1" x14ac:dyDescent="0.25"/>
  <cols>
    <col min="1" max="1" width="47.7109375" customWidth="1"/>
    <col min="2" max="2" width="29.42578125" customWidth="1"/>
    <col min="3" max="3" width="27" customWidth="1"/>
    <col min="4" max="4" width="26.42578125" customWidth="1"/>
    <col min="5" max="5" width="25" customWidth="1"/>
    <col min="6" max="6" width="28" customWidth="1"/>
    <col min="7" max="7" width="21.85546875" customWidth="1"/>
    <col min="8" max="8" width="18.28515625" customWidth="1"/>
    <col min="9" max="9" width="17.5703125" customWidth="1"/>
    <col min="10" max="26" width="10.7109375" customWidth="1"/>
  </cols>
  <sheetData>
    <row r="1" spans="1:55" s="295" customFormat="1" ht="21" x14ac:dyDescent="0.35">
      <c r="A1" s="517" t="s">
        <v>123</v>
      </c>
      <c r="B1" s="519" t="s">
        <v>49</v>
      </c>
      <c r="C1" s="520"/>
      <c r="D1" s="520"/>
      <c r="E1" s="520"/>
      <c r="F1" s="520"/>
      <c r="G1" s="296"/>
      <c r="H1" s="508" t="s">
        <v>124</v>
      </c>
      <c r="I1" s="509"/>
      <c r="J1" s="296"/>
    </row>
    <row r="2" spans="1:55" s="295" customFormat="1" ht="21" x14ac:dyDescent="0.35">
      <c r="A2" s="518"/>
      <c r="B2" s="112">
        <v>1</v>
      </c>
      <c r="C2" s="112">
        <v>2</v>
      </c>
      <c r="D2" s="112">
        <v>3</v>
      </c>
      <c r="E2" s="112">
        <v>4</v>
      </c>
      <c r="F2" s="112">
        <v>5</v>
      </c>
      <c r="G2" s="296"/>
      <c r="H2" s="510">
        <v>0.05</v>
      </c>
      <c r="I2" s="511"/>
      <c r="J2" s="296"/>
    </row>
    <row r="3" spans="1:55" ht="15.75" thickBot="1" x14ac:dyDescent="0.3">
      <c r="B3" s="2"/>
      <c r="C3" s="2"/>
      <c r="D3" s="2"/>
      <c r="E3" s="2"/>
      <c r="F3" s="2"/>
      <c r="H3" s="45"/>
      <c r="I3" s="45"/>
    </row>
    <row r="4" spans="1:55" s="295" customFormat="1" ht="18.75" x14ac:dyDescent="0.3">
      <c r="A4" s="300" t="s">
        <v>125</v>
      </c>
      <c r="B4" s="301">
        <f>SUM(B6+B9+B12)</f>
        <v>90536474.228031993</v>
      </c>
      <c r="C4" s="301">
        <f>SUM(C6+C9+C12)</f>
        <v>100386842.62404187</v>
      </c>
      <c r="D4" s="301">
        <f>SUM(D6+D9+D12)</f>
        <v>111308931.10153763</v>
      </c>
      <c r="E4" s="301">
        <f>SUM(E6+E9+E12)</f>
        <v>123419342.80538495</v>
      </c>
      <c r="F4" s="302">
        <f>SUM(F6+F9+F12)</f>
        <v>136847367.30261087</v>
      </c>
      <c r="H4" s="512" t="s">
        <v>126</v>
      </c>
      <c r="I4" s="513"/>
    </row>
    <row r="5" spans="1:55" ht="19.5" thickBot="1" x14ac:dyDescent="0.35">
      <c r="A5" s="303"/>
      <c r="B5" s="298"/>
      <c r="C5" s="298"/>
      <c r="D5" s="298"/>
      <c r="E5" s="298"/>
      <c r="F5" s="304"/>
      <c r="H5" s="514">
        <v>5.6000000000000001E-2</v>
      </c>
      <c r="I5" s="515"/>
    </row>
    <row r="6" spans="1:55" s="213" customFormat="1" x14ac:dyDescent="0.25">
      <c r="A6" s="282" t="s">
        <v>127</v>
      </c>
      <c r="B6" s="432">
        <f>SUM(B7:B8)</f>
        <v>86936474.228031993</v>
      </c>
      <c r="C6" s="432">
        <f>SUM(C7:C8)</f>
        <v>96395162.62404187</v>
      </c>
      <c r="D6" s="432">
        <f>SUM(D7:D8)</f>
        <v>106882956.31753764</v>
      </c>
      <c r="E6" s="432">
        <f>SUM(E7:E8)</f>
        <v>118511821.96488576</v>
      </c>
      <c r="F6" s="433">
        <f>SUM(F7:F8)</f>
        <v>131405908.19466534</v>
      </c>
      <c r="G6"/>
      <c r="H6"/>
      <c r="I6" s="45"/>
      <c r="J6" s="45"/>
      <c r="K6" s="45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 s="213" customFormat="1" x14ac:dyDescent="0.25">
      <c r="A7" s="280" t="s">
        <v>128</v>
      </c>
      <c r="B7" s="299">
        <f>'2 - GASTOS DE PRODUCCION '!D4*'SEGMENTACION DE MERCADO   '!C17</f>
        <v>85936474.228031993</v>
      </c>
      <c r="C7" s="191">
        <f>B7*(1+$H$2)*(1+$H$5)</f>
        <v>95286362.62404187</v>
      </c>
      <c r="D7" s="191">
        <f t="shared" ref="D7:F7" si="0">C7*(1+$H$2)*(1+$H$5)</f>
        <v>105653518.87753764</v>
      </c>
      <c r="E7" s="191">
        <f t="shared" si="0"/>
        <v>117148621.73141375</v>
      </c>
      <c r="F7" s="279">
        <f t="shared" si="0"/>
        <v>129894391.77579159</v>
      </c>
      <c r="G7"/>
      <c r="H7" s="45"/>
      <c r="I7" s="398"/>
      <c r="J7" s="96"/>
      <c r="K7" s="95"/>
      <c r="L7" s="45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 s="213" customFormat="1" x14ac:dyDescent="0.25">
      <c r="A8" s="280" t="s">
        <v>129</v>
      </c>
      <c r="B8" s="191">
        <v>1000000</v>
      </c>
      <c r="C8" s="191">
        <f>B8*(1+$H$2)*(1+$H$5)</f>
        <v>1108800</v>
      </c>
      <c r="D8" s="191">
        <f t="shared" ref="D8:F8" si="1">C8*(1+$H$2)*(1+$H$5)</f>
        <v>1229437.4399999999</v>
      </c>
      <c r="E8" s="191">
        <f t="shared" si="1"/>
        <v>1363200.2334719999</v>
      </c>
      <c r="F8" s="279">
        <f t="shared" si="1"/>
        <v>1511516.4188737534</v>
      </c>
      <c r="G8"/>
      <c r="H8" s="45"/>
      <c r="I8" s="45"/>
      <c r="J8" s="45"/>
      <c r="K8" s="45"/>
      <c r="L8" s="45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x14ac:dyDescent="0.25">
      <c r="A9" s="282" t="s">
        <v>130</v>
      </c>
      <c r="B9" s="191">
        <f>SUM(B10:B10)</f>
        <v>2000000</v>
      </c>
      <c r="C9" s="191">
        <f>SUM(C10:C10)</f>
        <v>2217600</v>
      </c>
      <c r="D9" s="191">
        <f>SUM(D10:D10)</f>
        <v>2458874.8799999999</v>
      </c>
      <c r="E9" s="191">
        <f>SUM(E10:E10)</f>
        <v>2726400.4669439998</v>
      </c>
      <c r="F9" s="279">
        <f>SUM(F10:F10)</f>
        <v>3023032.8377475068</v>
      </c>
    </row>
    <row r="10" spans="1:55" ht="15.75" customHeight="1" x14ac:dyDescent="0.25">
      <c r="A10" s="280" t="s">
        <v>131</v>
      </c>
      <c r="B10" s="191">
        <v>2000000</v>
      </c>
      <c r="C10" s="191">
        <f>B10*(1+$H$2)*(1+$H$5)</f>
        <v>2217600</v>
      </c>
      <c r="D10" s="191">
        <f t="shared" ref="D10:F10" si="2">C10*(1+$H$2)*(1+$H$5)</f>
        <v>2458874.8799999999</v>
      </c>
      <c r="E10" s="191">
        <f t="shared" si="2"/>
        <v>2726400.4669439998</v>
      </c>
      <c r="F10" s="279">
        <f t="shared" si="2"/>
        <v>3023032.8377475068</v>
      </c>
    </row>
    <row r="11" spans="1:55" x14ac:dyDescent="0.25">
      <c r="A11" s="280" t="s">
        <v>132</v>
      </c>
      <c r="B11" s="191">
        <v>0</v>
      </c>
      <c r="C11" s="191">
        <v>0</v>
      </c>
      <c r="D11" s="191">
        <v>0</v>
      </c>
      <c r="E11" s="191">
        <v>0</v>
      </c>
      <c r="F11" s="279">
        <v>0</v>
      </c>
    </row>
    <row r="12" spans="1:55" ht="15.75" customHeight="1" x14ac:dyDescent="0.25">
      <c r="A12" s="282" t="s">
        <v>133</v>
      </c>
      <c r="B12" s="191">
        <f>SUM(B13:B14)</f>
        <v>1600000</v>
      </c>
      <c r="C12" s="191">
        <f>SUM(C13:C14)</f>
        <v>1774080</v>
      </c>
      <c r="D12" s="191">
        <f>SUM(D13:D14)</f>
        <v>1967099.9040000001</v>
      </c>
      <c r="E12" s="191">
        <f>SUM(E13:E14)</f>
        <v>2181120.3735552002</v>
      </c>
      <c r="F12" s="279">
        <f>SUM(F13:F14)</f>
        <v>2418426.2701980062</v>
      </c>
    </row>
    <row r="13" spans="1:55" x14ac:dyDescent="0.25">
      <c r="A13" s="280" t="s">
        <v>134</v>
      </c>
      <c r="B13" s="191">
        <v>500000</v>
      </c>
      <c r="C13" s="191">
        <f>B13*(1+$H$2)*(1+$H$5)</f>
        <v>554400</v>
      </c>
      <c r="D13" s="191">
        <f t="shared" ref="D13:F13" si="3">C13*(1+$H$2)*(1+$H$5)</f>
        <v>614718.71999999997</v>
      </c>
      <c r="E13" s="191">
        <f t="shared" si="3"/>
        <v>681600.11673599994</v>
      </c>
      <c r="F13" s="279">
        <f t="shared" si="3"/>
        <v>755758.2094368767</v>
      </c>
    </row>
    <row r="14" spans="1:55" x14ac:dyDescent="0.25">
      <c r="A14" s="280" t="s">
        <v>135</v>
      </c>
      <c r="B14" s="191">
        <v>1100000</v>
      </c>
      <c r="C14" s="191">
        <f>B14*(1+$H$2)*(1+$H$5)</f>
        <v>1219680</v>
      </c>
      <c r="D14" s="191">
        <f t="shared" ref="D14:F14" si="4">C14*(1+$H$2)*(1+$H$5)</f>
        <v>1352381.1840000001</v>
      </c>
      <c r="E14" s="191">
        <f t="shared" si="4"/>
        <v>1499520.2568192002</v>
      </c>
      <c r="F14" s="279">
        <f t="shared" si="4"/>
        <v>1662668.0607611295</v>
      </c>
    </row>
    <row r="15" spans="1:55" s="295" customFormat="1" ht="15.75" customHeight="1" thickBot="1" x14ac:dyDescent="0.3">
      <c r="A15" s="305" t="s">
        <v>136</v>
      </c>
      <c r="B15" s="318">
        <f>SUM(B16:B22)</f>
        <v>92005423.401213333</v>
      </c>
      <c r="C15" s="297">
        <f>SUM(C16:C22)</f>
        <v>101375955.92582916</v>
      </c>
      <c r="D15" s="297">
        <f>SUM(D16:D22)</f>
        <v>110218204.90083146</v>
      </c>
      <c r="E15" s="297">
        <f>SUM(E16:E22)</f>
        <v>119949713.79205163</v>
      </c>
      <c r="F15" s="306">
        <f>SUM(F16:F22)</f>
        <v>130530977.00755498</v>
      </c>
    </row>
    <row r="16" spans="1:55" ht="15.75" customHeight="1" x14ac:dyDescent="0.25">
      <c r="A16" s="434" t="s">
        <v>137</v>
      </c>
      <c r="B16" s="399">
        <f>+NOMINA!I15</f>
        <v>29670760</v>
      </c>
      <c r="C16" s="400">
        <f>+NOMINA!I28</f>
        <v>31688371.68</v>
      </c>
      <c r="D16" s="191">
        <f>+NOMINA!I41</f>
        <v>33367855.379039995</v>
      </c>
      <c r="E16" s="191">
        <f>+NOMINA!I54</f>
        <v>34735937.44958064</v>
      </c>
      <c r="F16" s="279">
        <f>+NOMINA!I67</f>
        <v>36160110.885013446</v>
      </c>
      <c r="G16" s="401">
        <f>SUM(B16:F16)</f>
        <v>165623035.39363408</v>
      </c>
    </row>
    <row r="17" spans="1:9" ht="15.75" customHeight="1" x14ac:dyDescent="0.25">
      <c r="A17" s="434" t="s">
        <v>138</v>
      </c>
      <c r="B17" s="402">
        <f>+NOMINA!L15+NOMINA!N15</f>
        <v>7820400</v>
      </c>
      <c r="C17" s="400">
        <f>+NOMINA!L28+NOMINA!N28</f>
        <v>8352187.1999999993</v>
      </c>
      <c r="D17" s="191">
        <f>+NOMINA!L41+NOMINA!N41</f>
        <v>8794853.1216000002</v>
      </c>
      <c r="E17" s="191">
        <f>+NOMINA!L54+NOMINA!N54</f>
        <v>9155442.0995856002</v>
      </c>
      <c r="F17" s="279">
        <f>+NOMINA!L67+NOMINA!N67</f>
        <v>9530815.2256686091</v>
      </c>
      <c r="G17" s="401">
        <f>SUM(B17:F17)</f>
        <v>43653697.646854207</v>
      </c>
      <c r="H17" s="324">
        <f>+'BALANCE GENERAL PAPEL DE W'!H20</f>
        <v>0</v>
      </c>
      <c r="I17" s="324">
        <f>+G17-H17</f>
        <v>43653697.646854207</v>
      </c>
    </row>
    <row r="18" spans="1:9" ht="15.75" customHeight="1" thickBot="1" x14ac:dyDescent="0.3">
      <c r="A18" s="434" t="s">
        <v>139</v>
      </c>
      <c r="B18" s="403">
        <f>+NOMINA!T15</f>
        <v>7059730.06788</v>
      </c>
      <c r="C18" s="400">
        <f>NOMINA!T28</f>
        <v>7539791.7124958392</v>
      </c>
      <c r="D18" s="191">
        <f>NOMINA!T41</f>
        <v>7939400.6732581202</v>
      </c>
      <c r="E18" s="191">
        <f>NOMINA!T54</f>
        <v>8264916.1008617021</v>
      </c>
      <c r="F18" s="279">
        <f>NOMINA!T67</f>
        <v>8603777.6609970331</v>
      </c>
      <c r="G18" s="401">
        <f>SUM(B18:F18)</f>
        <v>39407616.215492696</v>
      </c>
      <c r="H18" s="316">
        <f>+NOMINA!T75</f>
        <v>39407616.215492696</v>
      </c>
      <c r="I18" s="316">
        <f>+G18-H18</f>
        <v>0</v>
      </c>
    </row>
    <row r="19" spans="1:9" ht="15.75" customHeight="1" x14ac:dyDescent="0.25">
      <c r="A19" s="280" t="s">
        <v>140</v>
      </c>
      <c r="B19" s="319">
        <f>'2 - GASTOS DE PRODUCCION '!B13*12</f>
        <v>33600000</v>
      </c>
      <c r="C19" s="191">
        <f>B19*(1+$H$2)*(1+$H$5)</f>
        <v>37255680</v>
      </c>
      <c r="D19" s="191">
        <f>C19*(1+$H$2)*(1+$H$5)</f>
        <v>41309097.984000005</v>
      </c>
      <c r="E19" s="191">
        <f>D19*(1+$H$2)*(1+$H$5)</f>
        <v>45803527.844659209</v>
      </c>
      <c r="F19" s="279">
        <f>E19*(1+$H$2)*(1+$H$5)</f>
        <v>50786951.674158134</v>
      </c>
    </row>
    <row r="20" spans="1:9" ht="15.75" customHeight="1" x14ac:dyDescent="0.25">
      <c r="A20" s="280" t="s">
        <v>141</v>
      </c>
      <c r="B20" s="191">
        <v>3840000</v>
      </c>
      <c r="C20" s="191">
        <f>B20*(1+$H$2)*(1+$H$5)</f>
        <v>4257792</v>
      </c>
      <c r="D20" s="191">
        <f t="shared" ref="D20:F20" si="5">C20*(1+$H$2)*(1+$H$5)</f>
        <v>4721039.7696000012</v>
      </c>
      <c r="E20" s="191">
        <f t="shared" si="5"/>
        <v>5234688.8965324815</v>
      </c>
      <c r="F20" s="279">
        <f t="shared" si="5"/>
        <v>5804223.0484752161</v>
      </c>
    </row>
    <row r="21" spans="1:9" ht="15.75" customHeight="1" x14ac:dyDescent="0.25">
      <c r="A21" s="280" t="s">
        <v>142</v>
      </c>
      <c r="B21" s="191">
        <f>DEPRECIACIONES!C28</f>
        <v>4014533.333333334</v>
      </c>
      <c r="C21" s="191">
        <f>DEPRECIACIONES!D28</f>
        <v>5629333.333333334</v>
      </c>
      <c r="D21" s="191">
        <f>DEPRECIACIONES!E28</f>
        <v>6709333.333333333</v>
      </c>
      <c r="E21" s="191">
        <f>DEPRECIACIONES!F28</f>
        <v>8576000</v>
      </c>
      <c r="F21" s="279">
        <f>DEPRECIACIONES!G28</f>
        <v>10576000</v>
      </c>
    </row>
    <row r="22" spans="1:9" ht="15.75" customHeight="1" x14ac:dyDescent="0.25">
      <c r="A22" s="280" t="s">
        <v>143</v>
      </c>
      <c r="B22" s="191">
        <f>'2 - GASTOS DE PRODUCCION '!B14*12</f>
        <v>6000000</v>
      </c>
      <c r="C22" s="191">
        <f>B22*(1+$H$2)*(1+$H$5)</f>
        <v>6652800</v>
      </c>
      <c r="D22" s="191">
        <f>C22*(1+$H$2)*(1+$H$5)</f>
        <v>7376624.6400000006</v>
      </c>
      <c r="E22" s="191">
        <f>D22*(1+$H$2)*(1+$H$5)</f>
        <v>8179201.4008320021</v>
      </c>
      <c r="F22" s="279">
        <f>E22*(1+$H$2)*(1+$H$5)</f>
        <v>9069098.5132425241</v>
      </c>
    </row>
    <row r="23" spans="1:9" s="295" customFormat="1" ht="15.75" customHeight="1" x14ac:dyDescent="0.25">
      <c r="A23" s="305" t="s">
        <v>144</v>
      </c>
      <c r="B23" s="297">
        <f>+B24</f>
        <v>3289254.3315180414</v>
      </c>
      <c r="C23" s="297">
        <f t="shared" ref="C23:F23" si="6">+C24</f>
        <v>2565014.8456792063</v>
      </c>
      <c r="D23" s="297">
        <f t="shared" si="6"/>
        <v>1840775.3598403721</v>
      </c>
      <c r="E23" s="297">
        <f t="shared" si="6"/>
        <v>1116535.874001537</v>
      </c>
      <c r="F23" s="306">
        <f t="shared" si="6"/>
        <v>392296.38816270215</v>
      </c>
    </row>
    <row r="24" spans="1:9" x14ac:dyDescent="0.25">
      <c r="A24" s="280" t="s">
        <v>145</v>
      </c>
      <c r="B24" s="191">
        <f>+CREDITO!C4+CREDITO!C5+CREDITO!C6+CREDITO!C7+CREDITO!C8+CREDITO!C9+CREDITO!C10+CREDITO!C11+CREDITO!C12+CREDITO!C13+CREDITO!C14+CREDITO!C15</f>
        <v>3289254.3315180414</v>
      </c>
      <c r="C24" s="191">
        <f>+CREDITO!C16+CREDITO!C17+CREDITO!C18+CREDITO!C19+CREDITO!C20+CREDITO!C21+CREDITO!C22+CREDITO!C23+CREDITO!C24+CREDITO!C25+CREDITO!C26+CREDITO!C27</f>
        <v>2565014.8456792063</v>
      </c>
      <c r="D24" s="191">
        <f>+CREDITO!C28+CREDITO!C29+CREDITO!C30+CREDITO!C31+CREDITO!C32+CREDITO!C33+CREDITO!C34+CREDITO!C35+CREDITO!C36+CREDITO!C37+CREDITO!C38+CREDITO!C39</f>
        <v>1840775.3598403721</v>
      </c>
      <c r="E24" s="191">
        <f>+CREDITO!C40+CREDITO!C41+CREDITO!C42+CREDITO!C43+CREDITO!C44+CREDITO!C45+CREDITO!C46+CREDITO!C47+CREDITO!C48+CREDITO!C49+CREDITO!C50+CREDITO!C51</f>
        <v>1116535.874001537</v>
      </c>
      <c r="F24" s="279">
        <f>+CREDITO!C52+CREDITO!C53+CREDITO!C54+CREDITO!C55+CREDITO!C56+CREDITO!C57+CREDITO!C58+CREDITO!C59+CREDITO!C60+CREDITO!C61+CREDITO!C62+CREDITO!C63</f>
        <v>392296.38816270215</v>
      </c>
    </row>
    <row r="25" spans="1:9" s="295" customFormat="1" ht="21.75" thickBot="1" x14ac:dyDescent="0.4">
      <c r="A25" s="307" t="s">
        <v>146</v>
      </c>
      <c r="B25" s="308">
        <f>SUM(B15+B4+B23)</f>
        <v>185831151.96076339</v>
      </c>
      <c r="C25" s="308">
        <f t="shared" ref="C25:F25" si="7">SUM(C15+C4+C23)</f>
        <v>204327813.39555022</v>
      </c>
      <c r="D25" s="308">
        <f t="shared" si="7"/>
        <v>223367911.36220947</v>
      </c>
      <c r="E25" s="308">
        <f t="shared" si="7"/>
        <v>244485592.47143811</v>
      </c>
      <c r="F25" s="309">
        <f t="shared" si="7"/>
        <v>267770640.69832855</v>
      </c>
    </row>
    <row r="26" spans="1:9" ht="15.75" customHeight="1" x14ac:dyDescent="0.25">
      <c r="A26" s="45"/>
      <c r="B26" s="45"/>
      <c r="C26" s="45"/>
      <c r="D26" s="45"/>
      <c r="E26" s="45"/>
      <c r="F26" s="45"/>
    </row>
    <row r="27" spans="1:9" ht="15.75" customHeight="1" x14ac:dyDescent="0.25">
      <c r="A27" s="45"/>
      <c r="B27" s="45"/>
      <c r="C27" s="45"/>
      <c r="D27" s="45"/>
      <c r="E27" s="45"/>
      <c r="F27" s="45"/>
      <c r="G27" s="45"/>
    </row>
    <row r="28" spans="1:9" ht="15.75" customHeight="1" x14ac:dyDescent="0.25">
      <c r="A28" s="435"/>
      <c r="B28" s="436"/>
      <c r="C28" s="436"/>
      <c r="D28" s="98"/>
      <c r="E28" s="98"/>
      <c r="F28" s="436"/>
      <c r="G28" s="45"/>
    </row>
    <row r="29" spans="1:9" ht="15.75" customHeight="1" x14ac:dyDescent="0.25">
      <c r="A29" s="435"/>
      <c r="B29" s="436"/>
      <c r="C29" s="436"/>
      <c r="D29" s="98"/>
      <c r="E29" s="98"/>
      <c r="F29" s="436"/>
      <c r="G29" s="45"/>
    </row>
    <row r="30" spans="1:9" ht="15.75" customHeight="1" x14ac:dyDescent="0.25">
      <c r="A30" s="435"/>
      <c r="B30" s="436"/>
      <c r="C30" s="436"/>
      <c r="D30" s="98"/>
      <c r="E30" s="98"/>
      <c r="F30" s="436"/>
      <c r="G30" s="45"/>
    </row>
    <row r="31" spans="1:9" ht="15.75" customHeight="1" x14ac:dyDescent="0.25">
      <c r="A31" s="435"/>
      <c r="B31" s="436"/>
      <c r="C31" s="436"/>
      <c r="D31" s="98"/>
      <c r="E31" s="98"/>
      <c r="F31" s="98"/>
      <c r="G31" s="45"/>
    </row>
    <row r="32" spans="1:9" ht="15.75" customHeight="1" x14ac:dyDescent="0.25">
      <c r="A32" s="435"/>
      <c r="B32" s="436"/>
      <c r="C32" s="436"/>
      <c r="D32" s="98"/>
      <c r="E32" s="98"/>
      <c r="F32" s="98"/>
      <c r="G32" s="45"/>
    </row>
    <row r="33" spans="1:7" ht="15.75" customHeight="1" x14ac:dyDescent="0.25">
      <c r="A33" s="435"/>
      <c r="B33" s="436"/>
      <c r="C33" s="436"/>
      <c r="D33" s="98"/>
      <c r="E33" s="435"/>
      <c r="F33" s="435"/>
      <c r="G33" s="45"/>
    </row>
    <row r="34" spans="1:7" ht="15.75" customHeight="1" x14ac:dyDescent="0.25">
      <c r="A34" s="437"/>
      <c r="B34" s="435"/>
      <c r="C34" s="435"/>
      <c r="D34" s="98"/>
      <c r="E34" s="98"/>
      <c r="F34" s="436"/>
      <c r="G34" s="45"/>
    </row>
    <row r="35" spans="1:7" ht="15.75" customHeight="1" x14ac:dyDescent="0.25">
      <c r="A35" s="435"/>
      <c r="B35" s="436"/>
      <c r="C35" s="436"/>
      <c r="D35" s="98"/>
      <c r="E35" s="98"/>
      <c r="F35" s="98"/>
      <c r="G35" s="45"/>
    </row>
    <row r="36" spans="1:7" ht="15.75" customHeight="1" x14ac:dyDescent="0.25">
      <c r="A36" s="437"/>
      <c r="B36" s="435"/>
      <c r="C36" s="435"/>
      <c r="D36" s="98"/>
      <c r="E36" s="98"/>
      <c r="F36" s="98"/>
      <c r="G36" s="45"/>
    </row>
    <row r="37" spans="1:7" ht="15.75" customHeight="1" x14ac:dyDescent="0.25">
      <c r="A37" s="435"/>
      <c r="B37" s="436"/>
      <c r="C37" s="436"/>
      <c r="D37" s="98"/>
      <c r="E37" s="98"/>
      <c r="F37" s="98"/>
      <c r="G37" s="45"/>
    </row>
    <row r="38" spans="1:7" ht="15.75" customHeight="1" x14ac:dyDescent="0.25">
      <c r="A38" s="435"/>
      <c r="B38" s="45"/>
      <c r="C38" s="436"/>
      <c r="D38" s="98"/>
      <c r="E38" s="98"/>
      <c r="F38" s="98"/>
      <c r="G38" s="45"/>
    </row>
    <row r="39" spans="1:7" ht="15.75" customHeight="1" x14ac:dyDescent="0.25">
      <c r="A39" s="435"/>
      <c r="B39" s="45"/>
      <c r="C39" s="436"/>
      <c r="D39" s="98"/>
      <c r="E39" s="98"/>
      <c r="F39" s="98"/>
      <c r="G39" s="45"/>
    </row>
    <row r="40" spans="1:7" ht="15.75" customHeight="1" x14ac:dyDescent="0.25">
      <c r="A40" s="45"/>
      <c r="B40" s="98"/>
      <c r="C40" s="98"/>
      <c r="D40" s="98"/>
      <c r="E40" s="98"/>
      <c r="F40" s="98"/>
      <c r="G40" s="45"/>
    </row>
    <row r="41" spans="1:7" ht="15.75" customHeight="1" x14ac:dyDescent="0.25">
      <c r="A41" s="435"/>
      <c r="B41" s="435"/>
      <c r="C41" s="98"/>
      <c r="D41" s="98"/>
      <c r="E41" s="98"/>
      <c r="F41" s="98"/>
      <c r="G41" s="45"/>
    </row>
    <row r="42" spans="1:7" ht="15.75" customHeight="1" x14ac:dyDescent="0.25">
      <c r="A42" s="45"/>
      <c r="B42" s="45"/>
      <c r="C42" s="45"/>
      <c r="D42" s="45"/>
      <c r="E42" s="45"/>
      <c r="F42" s="45"/>
      <c r="G42" s="45"/>
    </row>
    <row r="43" spans="1:7" ht="15.75" customHeight="1" x14ac:dyDescent="0.25">
      <c r="A43" s="45"/>
      <c r="B43" s="45"/>
      <c r="C43" s="45"/>
      <c r="D43" s="45"/>
      <c r="E43" s="45"/>
      <c r="F43" s="45"/>
      <c r="G43" s="45"/>
    </row>
    <row r="44" spans="1:7" ht="15.75" customHeight="1" x14ac:dyDescent="0.25">
      <c r="A44" s="45"/>
      <c r="B44" s="45"/>
      <c r="C44" s="45"/>
      <c r="D44" s="45"/>
      <c r="E44" s="45"/>
      <c r="F44" s="45"/>
      <c r="G44" s="45"/>
    </row>
    <row r="45" spans="1:7" ht="15.75" customHeight="1" x14ac:dyDescent="0.25">
      <c r="A45" s="435"/>
      <c r="B45" s="99"/>
      <c r="C45" s="98"/>
      <c r="D45" s="98"/>
      <c r="E45" s="98"/>
      <c r="F45" s="98"/>
      <c r="G45" s="100"/>
    </row>
    <row r="46" spans="1:7" ht="15.75" customHeight="1" x14ac:dyDescent="0.25">
      <c r="A46" s="435"/>
      <c r="B46" s="99"/>
      <c r="C46" s="98"/>
      <c r="D46" s="98"/>
      <c r="E46" s="98"/>
      <c r="F46" s="98"/>
      <c r="G46" s="101"/>
    </row>
    <row r="47" spans="1:7" ht="15.75" customHeight="1" x14ac:dyDescent="0.25">
      <c r="A47" s="435"/>
      <c r="B47" s="99"/>
      <c r="C47" s="438"/>
      <c r="D47" s="98"/>
      <c r="E47" s="98"/>
      <c r="F47" s="98"/>
      <c r="G47" s="101"/>
    </row>
    <row r="48" spans="1:7" ht="15.75" customHeight="1" x14ac:dyDescent="0.25">
      <c r="A48" s="435"/>
      <c r="B48" s="99"/>
      <c r="C48" s="438"/>
      <c r="D48" s="98"/>
      <c r="E48" s="98"/>
      <c r="F48" s="98"/>
      <c r="G48" s="101"/>
    </row>
    <row r="49" spans="1:7" ht="15.75" customHeight="1" x14ac:dyDescent="0.25">
      <c r="A49" s="435"/>
      <c r="B49" s="439"/>
      <c r="C49" s="440"/>
      <c r="D49" s="98"/>
      <c r="E49" s="98"/>
      <c r="F49" s="45"/>
      <c r="G49" s="45"/>
    </row>
    <row r="50" spans="1:7" ht="15.75" customHeight="1" x14ac:dyDescent="0.25">
      <c r="A50" s="98"/>
      <c r="B50" s="98"/>
      <c r="C50" s="98"/>
      <c r="D50" s="98"/>
      <c r="E50" s="98"/>
      <c r="F50" s="45"/>
      <c r="G50" s="45"/>
    </row>
    <row r="51" spans="1:7" ht="15.75" customHeight="1" x14ac:dyDescent="0.25">
      <c r="A51" s="435"/>
      <c r="B51" s="441"/>
      <c r="C51" s="435"/>
      <c r="D51" s="435"/>
      <c r="E51" s="98"/>
      <c r="F51" s="45"/>
      <c r="G51" s="45"/>
    </row>
    <row r="52" spans="1:7" ht="15.75" customHeight="1" x14ac:dyDescent="0.25">
      <c r="A52" s="98"/>
      <c r="B52" s="441"/>
      <c r="C52" s="98"/>
      <c r="D52" s="435"/>
      <c r="E52" s="98"/>
      <c r="F52" s="45"/>
      <c r="G52" s="45"/>
    </row>
    <row r="53" spans="1:7" ht="15.75" customHeight="1" x14ac:dyDescent="0.25">
      <c r="A53" s="98"/>
      <c r="B53" s="442"/>
      <c r="C53" s="98"/>
      <c r="D53" s="98"/>
      <c r="E53" s="98"/>
      <c r="F53" s="45"/>
      <c r="G53" s="45"/>
    </row>
    <row r="54" spans="1:7" ht="15.75" customHeight="1" x14ac:dyDescent="0.25">
      <c r="A54" s="45"/>
      <c r="B54" s="45"/>
      <c r="C54" s="45"/>
      <c r="D54" s="45"/>
      <c r="E54" s="45"/>
      <c r="F54" s="45"/>
      <c r="G54" s="45"/>
    </row>
    <row r="55" spans="1:7" ht="15.75" customHeight="1" x14ac:dyDescent="0.25">
      <c r="A55" s="45"/>
      <c r="B55" s="45"/>
      <c r="C55" s="45"/>
      <c r="D55" s="45"/>
      <c r="E55" s="45"/>
      <c r="F55" s="45"/>
      <c r="G55" s="45"/>
    </row>
    <row r="56" spans="1:7" ht="15.75" customHeight="1" x14ac:dyDescent="0.25">
      <c r="A56" s="516"/>
      <c r="B56" s="516"/>
      <c r="C56" s="45"/>
      <c r="D56" s="45"/>
      <c r="E56" s="45"/>
      <c r="F56" s="45"/>
      <c r="G56" s="45"/>
    </row>
    <row r="57" spans="1:7" ht="15.75" customHeight="1" x14ac:dyDescent="0.25">
      <c r="A57" s="435"/>
      <c r="B57" s="435"/>
      <c r="C57" s="45"/>
      <c r="D57" s="45"/>
      <c r="E57" s="45"/>
      <c r="F57" s="45"/>
      <c r="G57" s="45"/>
    </row>
    <row r="58" spans="1:7" ht="15.75" customHeight="1" x14ac:dyDescent="0.25">
      <c r="A58" s="441"/>
      <c r="B58" s="435"/>
      <c r="C58" s="45"/>
      <c r="D58" s="45"/>
      <c r="E58" s="45"/>
      <c r="F58" s="45"/>
      <c r="G58" s="45"/>
    </row>
    <row r="59" spans="1:7" ht="15.75" customHeight="1" x14ac:dyDescent="0.25">
      <c r="A59" s="441"/>
      <c r="B59" s="435"/>
      <c r="C59" s="45"/>
      <c r="D59" s="45"/>
      <c r="E59" s="45"/>
      <c r="F59" s="45"/>
      <c r="G59" s="45"/>
    </row>
    <row r="60" spans="1:7" ht="15.75" customHeight="1" x14ac:dyDescent="0.25">
      <c r="A60" s="435"/>
      <c r="B60" s="435"/>
      <c r="C60" s="45"/>
      <c r="D60" s="45"/>
      <c r="E60" s="45"/>
      <c r="F60" s="45"/>
      <c r="G60" s="45"/>
    </row>
    <row r="61" spans="1:7" ht="15.75" customHeight="1" x14ac:dyDescent="0.25">
      <c r="A61" s="45"/>
      <c r="B61" s="45"/>
      <c r="C61" s="45"/>
      <c r="D61" s="45"/>
      <c r="E61" s="45"/>
      <c r="F61" s="45"/>
      <c r="G61" s="45"/>
    </row>
    <row r="62" spans="1:7" ht="15.75" customHeight="1" x14ac:dyDescent="0.25">
      <c r="A62" s="45"/>
      <c r="B62" s="45"/>
      <c r="C62" s="45"/>
      <c r="D62" s="45"/>
      <c r="E62" s="45"/>
      <c r="F62" s="45"/>
      <c r="G62" s="45"/>
    </row>
    <row r="63" spans="1:7" ht="15.75" customHeight="1" x14ac:dyDescent="0.25">
      <c r="A63" s="45"/>
      <c r="B63" s="45"/>
      <c r="C63" s="45"/>
      <c r="D63" s="45"/>
      <c r="E63" s="45"/>
      <c r="F63" s="45"/>
      <c r="G63" s="45"/>
    </row>
    <row r="64" spans="1:7" ht="15.75" customHeight="1" x14ac:dyDescent="0.25">
      <c r="A64" s="45"/>
      <c r="B64" s="45"/>
      <c r="C64" s="45"/>
      <c r="D64" s="45"/>
      <c r="E64" s="45"/>
      <c r="F64" s="45"/>
      <c r="G64" s="45"/>
    </row>
    <row r="65" spans="1:7" ht="15.75" customHeight="1" x14ac:dyDescent="0.25">
      <c r="A65" s="45"/>
      <c r="B65" s="45"/>
      <c r="C65" s="45"/>
      <c r="D65" s="45"/>
      <c r="E65" s="45"/>
      <c r="F65" s="45"/>
      <c r="G65" s="45"/>
    </row>
    <row r="66" spans="1:7" ht="15.75" customHeight="1" x14ac:dyDescent="0.25">
      <c r="A66" s="45"/>
      <c r="B66" s="45"/>
      <c r="C66" s="45"/>
      <c r="D66" s="45"/>
      <c r="E66" s="45"/>
      <c r="F66" s="45"/>
    </row>
    <row r="67" spans="1:7" ht="15.75" customHeight="1" x14ac:dyDescent="0.25"/>
    <row r="68" spans="1:7" ht="15.75" customHeight="1" x14ac:dyDescent="0.25"/>
    <row r="69" spans="1:7" ht="15.75" customHeight="1" x14ac:dyDescent="0.25"/>
    <row r="70" spans="1:7" ht="15.75" customHeight="1" x14ac:dyDescent="0.25"/>
    <row r="71" spans="1:7" ht="15.75" customHeight="1" x14ac:dyDescent="0.25"/>
    <row r="72" spans="1:7" ht="15.75" customHeight="1" x14ac:dyDescent="0.25"/>
    <row r="73" spans="1:7" ht="15.75" customHeight="1" x14ac:dyDescent="0.25"/>
    <row r="74" spans="1:7" ht="15.75" customHeight="1" x14ac:dyDescent="0.25"/>
    <row r="75" spans="1:7" ht="15.75" customHeight="1" x14ac:dyDescent="0.25"/>
    <row r="76" spans="1:7" ht="15.75" customHeight="1" x14ac:dyDescent="0.25"/>
    <row r="77" spans="1:7" ht="15.75" customHeight="1" x14ac:dyDescent="0.25"/>
    <row r="78" spans="1:7" ht="15.75" customHeight="1" x14ac:dyDescent="0.25"/>
    <row r="79" spans="1:7" ht="15.75" customHeight="1" x14ac:dyDescent="0.25"/>
    <row r="80" spans="1:7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</sheetData>
  <mergeCells count="7">
    <mergeCell ref="H1:I1"/>
    <mergeCell ref="H2:I2"/>
    <mergeCell ref="H4:I4"/>
    <mergeCell ref="H5:I5"/>
    <mergeCell ref="A56:B56"/>
    <mergeCell ref="A1:A2"/>
    <mergeCell ref="B1:F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B320-DDD5-4C6E-8B22-9ADEF9E12B16}">
  <sheetPr>
    <tabColor theme="7" tint="0.79998168889431442"/>
  </sheetPr>
  <dimension ref="A1:L984"/>
  <sheetViews>
    <sheetView zoomScale="80" zoomScaleNormal="80" workbookViewId="0">
      <selection activeCell="B13" sqref="B13"/>
    </sheetView>
  </sheetViews>
  <sheetFormatPr baseColWidth="10" defaultColWidth="14.42578125" defaultRowHeight="15" customHeight="1" x14ac:dyDescent="0.25"/>
  <cols>
    <col min="1" max="1" width="47.7109375" customWidth="1"/>
    <col min="2" max="2" width="24" customWidth="1"/>
    <col min="3" max="4" width="23.7109375" customWidth="1"/>
    <col min="5" max="5" width="25" customWidth="1"/>
    <col min="6" max="6" width="28" customWidth="1"/>
    <col min="7" max="7" width="29" customWidth="1"/>
    <col min="8" max="26" width="10.7109375" customWidth="1"/>
  </cols>
  <sheetData>
    <row r="1" spans="1:12" ht="32.25" customHeight="1" x14ac:dyDescent="0.25">
      <c r="A1" s="521" t="s">
        <v>159</v>
      </c>
      <c r="B1" s="522"/>
      <c r="C1" s="523"/>
      <c r="D1" s="45"/>
      <c r="E1" s="45"/>
      <c r="F1" s="45"/>
      <c r="G1" s="96"/>
      <c r="H1" s="45"/>
      <c r="I1" s="45"/>
      <c r="J1" s="45"/>
      <c r="K1" s="45"/>
      <c r="L1" s="45"/>
    </row>
    <row r="2" spans="1:12" x14ac:dyDescent="0.25">
      <c r="A2" s="535"/>
      <c r="B2" s="536"/>
      <c r="C2" s="537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25">
      <c r="A3" s="462" t="s">
        <v>160</v>
      </c>
      <c r="B3" s="463" t="s">
        <v>161</v>
      </c>
      <c r="C3" s="464" t="s">
        <v>32</v>
      </c>
      <c r="D3" s="98"/>
      <c r="E3" s="435"/>
      <c r="F3" s="435"/>
      <c r="G3" s="45"/>
      <c r="H3" s="45"/>
      <c r="I3" s="45"/>
      <c r="J3" s="45"/>
      <c r="K3" s="45"/>
      <c r="L3" s="45"/>
    </row>
    <row r="4" spans="1:12" x14ac:dyDescent="0.25">
      <c r="A4" s="444" t="s">
        <v>162</v>
      </c>
      <c r="B4" s="538">
        <v>62</v>
      </c>
      <c r="C4" s="541">
        <f>SUM(B4:B9)</f>
        <v>592</v>
      </c>
      <c r="D4" s="544">
        <f>SUM(C4:C11)</f>
        <v>775.33333333333337</v>
      </c>
      <c r="E4" s="98"/>
      <c r="F4" s="436"/>
      <c r="G4" s="45"/>
      <c r="H4" s="45"/>
      <c r="I4" s="45"/>
      <c r="J4" s="45"/>
      <c r="K4" s="45"/>
      <c r="L4" s="45"/>
    </row>
    <row r="5" spans="1:12" x14ac:dyDescent="0.25">
      <c r="A5" s="444" t="s">
        <v>163</v>
      </c>
      <c r="B5" s="539"/>
      <c r="C5" s="542"/>
      <c r="D5" s="545"/>
      <c r="E5" s="98"/>
      <c r="F5" s="436"/>
      <c r="G5" s="45"/>
      <c r="H5" s="45"/>
      <c r="I5" s="45"/>
      <c r="J5" s="45"/>
      <c r="K5" s="45"/>
      <c r="L5" s="45"/>
    </row>
    <row r="6" spans="1:12" x14ac:dyDescent="0.25">
      <c r="A6" s="444" t="s">
        <v>164</v>
      </c>
      <c r="B6" s="540"/>
      <c r="C6" s="542"/>
      <c r="D6" s="545"/>
      <c r="E6" s="98"/>
      <c r="F6" s="436"/>
      <c r="G6" s="45"/>
      <c r="H6" s="45"/>
      <c r="I6" s="45"/>
      <c r="J6" s="45"/>
      <c r="K6" s="45"/>
      <c r="L6" s="45"/>
    </row>
    <row r="7" spans="1:12" x14ac:dyDescent="0.25">
      <c r="A7" s="444" t="s">
        <v>165</v>
      </c>
      <c r="B7" s="465"/>
      <c r="C7" s="542"/>
      <c r="D7" s="545"/>
      <c r="E7" s="98"/>
      <c r="F7" s="98"/>
      <c r="G7" s="45"/>
      <c r="H7" s="45"/>
      <c r="I7" s="45"/>
      <c r="J7" s="45"/>
      <c r="K7" s="45"/>
      <c r="L7" s="45"/>
    </row>
    <row r="8" spans="1:12" x14ac:dyDescent="0.25">
      <c r="A8" s="444" t="s">
        <v>166</v>
      </c>
      <c r="B8" s="465">
        <v>180</v>
      </c>
      <c r="C8" s="542"/>
      <c r="D8" s="545"/>
      <c r="E8" s="98"/>
      <c r="F8" s="98"/>
      <c r="G8" s="45"/>
      <c r="H8" s="45"/>
      <c r="I8" s="527"/>
      <c r="J8" s="528"/>
      <c r="K8" s="95"/>
      <c r="L8" s="45"/>
    </row>
    <row r="9" spans="1:12" x14ac:dyDescent="0.25">
      <c r="A9" s="444" t="s">
        <v>167</v>
      </c>
      <c r="B9" s="465">
        <v>350</v>
      </c>
      <c r="C9" s="543"/>
      <c r="D9" s="545"/>
      <c r="E9" s="435"/>
      <c r="F9" s="435"/>
      <c r="G9" s="45"/>
      <c r="H9" s="45"/>
      <c r="I9" s="45"/>
      <c r="J9" s="45"/>
      <c r="K9" s="45"/>
      <c r="L9" s="45"/>
    </row>
    <row r="10" spans="1:12" x14ac:dyDescent="0.25">
      <c r="A10" s="462" t="s">
        <v>168</v>
      </c>
      <c r="B10" s="466"/>
      <c r="C10" s="467"/>
      <c r="D10" s="545"/>
      <c r="E10" s="98"/>
      <c r="F10" s="436"/>
      <c r="G10" s="45"/>
      <c r="H10" s="45"/>
      <c r="I10" s="45"/>
      <c r="J10" s="45"/>
      <c r="K10" s="45"/>
      <c r="L10" s="45"/>
    </row>
    <row r="11" spans="1:12" x14ac:dyDescent="0.25">
      <c r="A11" s="444" t="s">
        <v>168</v>
      </c>
      <c r="B11" s="465">
        <v>1100</v>
      </c>
      <c r="C11" s="468">
        <f>B11/6</f>
        <v>183.33333333333334</v>
      </c>
      <c r="D11" s="546"/>
      <c r="E11" s="98"/>
      <c r="F11" s="98"/>
      <c r="G11" s="45"/>
      <c r="H11" s="45"/>
      <c r="I11" s="45"/>
      <c r="J11" s="45"/>
      <c r="K11" s="45"/>
      <c r="L11" s="45"/>
    </row>
    <row r="12" spans="1:12" x14ac:dyDescent="0.25">
      <c r="A12" s="462" t="s">
        <v>169</v>
      </c>
      <c r="B12" s="463"/>
      <c r="D12" s="98"/>
      <c r="E12" s="98"/>
      <c r="F12" s="98"/>
      <c r="G12" s="45"/>
      <c r="H12" s="45"/>
      <c r="I12" s="45"/>
      <c r="J12" s="45"/>
      <c r="K12" s="45"/>
      <c r="L12" s="45"/>
    </row>
    <row r="13" spans="1:12" x14ac:dyDescent="0.25">
      <c r="A13" s="444" t="s">
        <v>170</v>
      </c>
      <c r="B13" s="469">
        <v>2800000</v>
      </c>
      <c r="C13" s="470">
        <f>B13/'SEGMENTACION DE MERCADO   '!C16</f>
        <v>303.14485477811519</v>
      </c>
      <c r="D13" s="98"/>
      <c r="E13" s="98"/>
      <c r="F13" s="98"/>
      <c r="G13" s="45"/>
      <c r="H13" s="45"/>
      <c r="I13" s="45"/>
      <c r="J13" s="45"/>
      <c r="K13" s="45"/>
      <c r="L13" s="45"/>
    </row>
    <row r="14" spans="1:12" x14ac:dyDescent="0.25">
      <c r="A14" s="444" t="s">
        <v>171</v>
      </c>
      <c r="B14" s="469">
        <v>500000</v>
      </c>
      <c r="C14" s="470">
        <f>B14/'SEGMENTACION DE MERCADO   '!B8</f>
        <v>54.133009781806287</v>
      </c>
      <c r="D14" s="98"/>
      <c r="E14" s="98"/>
      <c r="F14" s="98"/>
      <c r="G14" s="45"/>
      <c r="H14" s="45"/>
      <c r="I14" s="45"/>
      <c r="J14" s="45"/>
      <c r="K14" s="45"/>
      <c r="L14" s="45"/>
    </row>
    <row r="15" spans="1:12" x14ac:dyDescent="0.25">
      <c r="A15" s="444" t="s">
        <v>172</v>
      </c>
      <c r="B15" s="469">
        <v>500000</v>
      </c>
      <c r="C15" s="470">
        <f>B15/'SEGMENTACION DE MERCADO   '!B8</f>
        <v>54.133009781806287</v>
      </c>
      <c r="D15" s="98"/>
      <c r="E15" s="98"/>
      <c r="F15" s="98"/>
      <c r="G15" s="45"/>
      <c r="H15" s="45"/>
      <c r="I15" s="45"/>
      <c r="J15" s="45"/>
      <c r="K15" s="45"/>
      <c r="L15" s="45"/>
    </row>
    <row r="16" spans="1:12" x14ac:dyDescent="0.25">
      <c r="A16" s="450" t="s">
        <v>22</v>
      </c>
      <c r="B16" s="471"/>
      <c r="C16" s="472">
        <f>SUM(C4:C15)</f>
        <v>1186.7442076750613</v>
      </c>
      <c r="D16" s="98"/>
      <c r="E16" s="98"/>
      <c r="F16" s="98"/>
      <c r="G16" s="45"/>
      <c r="H16" s="45"/>
      <c r="I16" s="45"/>
      <c r="J16" s="45"/>
      <c r="K16" s="45"/>
      <c r="L16" s="45"/>
    </row>
    <row r="17" spans="1:12" ht="15.75" customHeight="1" x14ac:dyDescent="0.25">
      <c r="A17" s="473"/>
      <c r="B17" s="474"/>
      <c r="C17" s="102"/>
      <c r="D17" s="98"/>
      <c r="E17" s="98"/>
      <c r="F17" s="98"/>
      <c r="G17" s="45"/>
      <c r="H17" s="45"/>
      <c r="I17" s="45"/>
      <c r="J17" s="45"/>
      <c r="K17" s="45"/>
      <c r="L17" s="45"/>
    </row>
    <row r="18" spans="1:12" ht="15.75" customHeigh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1:12" ht="15.75" customHeight="1" x14ac:dyDescent="0.25"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15.75" customHeight="1" x14ac:dyDescent="0.25"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15.75" customHeight="1" x14ac:dyDescent="0.25">
      <c r="D21" s="106"/>
      <c r="E21" s="104"/>
      <c r="F21" s="104"/>
      <c r="G21" s="45"/>
      <c r="H21" s="45"/>
      <c r="I21" s="45"/>
      <c r="J21" s="45"/>
      <c r="K21" s="45"/>
      <c r="L21" s="45"/>
    </row>
    <row r="22" spans="1:12" ht="15.75" customHeight="1" x14ac:dyDescent="0.25">
      <c r="D22" s="97"/>
      <c r="E22" s="38"/>
      <c r="F22" s="38"/>
      <c r="G22" s="45"/>
      <c r="H22" s="45"/>
      <c r="I22" s="45"/>
      <c r="J22" s="45"/>
      <c r="K22" s="45"/>
      <c r="L22" s="45"/>
    </row>
    <row r="23" spans="1:12" ht="15.75" customHeight="1" x14ac:dyDescent="0.25">
      <c r="D23" s="97"/>
      <c r="E23" s="38"/>
      <c r="F23" s="38"/>
      <c r="G23" s="45"/>
      <c r="H23" s="45"/>
      <c r="I23" s="45"/>
      <c r="J23" s="45"/>
      <c r="K23" s="45"/>
      <c r="L23" s="45"/>
    </row>
    <row r="24" spans="1:12" ht="15.75" customHeight="1" x14ac:dyDescent="0.25">
      <c r="D24" s="97"/>
      <c r="E24" s="38"/>
      <c r="F24" s="38"/>
      <c r="G24" s="45"/>
      <c r="H24" s="45"/>
      <c r="I24" s="45"/>
      <c r="J24" s="45"/>
      <c r="K24" s="45"/>
      <c r="L24" s="45"/>
    </row>
    <row r="25" spans="1:12" ht="15.75" customHeight="1" x14ac:dyDescent="0.25">
      <c r="A25" s="460"/>
      <c r="B25" s="475"/>
      <c r="C25" s="476"/>
      <c r="D25" s="103"/>
      <c r="E25" s="103"/>
      <c r="G25" s="45"/>
      <c r="H25" s="45"/>
      <c r="I25" s="45"/>
      <c r="J25" s="45"/>
      <c r="K25" s="45"/>
      <c r="L25" s="45"/>
    </row>
    <row r="26" spans="1:12" ht="15.75" customHeight="1" x14ac:dyDescent="0.25">
      <c r="A26" s="45"/>
      <c r="B26" s="45"/>
      <c r="C26" s="45"/>
      <c r="D26" s="45"/>
      <c r="E26" s="98"/>
      <c r="F26" s="45"/>
      <c r="G26" s="45"/>
      <c r="H26" s="45"/>
      <c r="I26" s="45"/>
      <c r="J26" s="45"/>
      <c r="K26" s="45"/>
      <c r="L26" s="45"/>
    </row>
    <row r="27" spans="1:12" ht="15.75" customHeight="1" x14ac:dyDescent="0.25">
      <c r="A27" s="98"/>
      <c r="B27" s="45"/>
      <c r="C27" s="435"/>
      <c r="D27" s="435"/>
      <c r="E27" s="98"/>
      <c r="F27" s="45"/>
      <c r="G27" s="45"/>
      <c r="H27" s="45"/>
      <c r="I27" s="45"/>
      <c r="J27" s="45"/>
      <c r="K27" s="45"/>
      <c r="L27" s="45"/>
    </row>
    <row r="28" spans="1:12" ht="15.75" customHeight="1" x14ac:dyDescent="0.25">
      <c r="A28" s="435"/>
      <c r="B28" s="45"/>
      <c r="C28" s="435"/>
      <c r="D28" s="435"/>
      <c r="E28" s="98"/>
      <c r="F28" s="45"/>
      <c r="G28" s="45"/>
      <c r="H28" s="45"/>
      <c r="I28" s="45"/>
      <c r="J28" s="45"/>
      <c r="K28" s="45"/>
      <c r="L28" s="45"/>
    </row>
    <row r="29" spans="1:12" ht="15.75" customHeight="1" x14ac:dyDescent="0.25">
      <c r="A29" s="98"/>
      <c r="B29" s="45"/>
      <c r="C29" s="98"/>
      <c r="D29" s="435"/>
      <c r="E29" s="98"/>
      <c r="F29" s="45"/>
      <c r="G29" s="45"/>
      <c r="H29" s="45"/>
      <c r="I29" s="45"/>
      <c r="J29" s="45"/>
      <c r="K29" s="45"/>
      <c r="L29" s="45"/>
    </row>
    <row r="30" spans="1:12" ht="15.75" customHeight="1" x14ac:dyDescent="0.25">
      <c r="A30" s="98"/>
      <c r="B30" s="442"/>
      <c r="C30" s="98"/>
      <c r="D30" s="98"/>
      <c r="E30" s="45"/>
      <c r="F30" s="45"/>
      <c r="G30" s="45"/>
      <c r="H30" s="45"/>
      <c r="I30" s="45"/>
      <c r="J30" s="45"/>
      <c r="K30" s="45"/>
      <c r="L30" s="45"/>
    </row>
    <row r="31" spans="1:12" ht="15.75" customHeight="1" x14ac:dyDescent="0.25">
      <c r="A31" s="45"/>
      <c r="B31" s="45"/>
      <c r="C31" s="45"/>
      <c r="D31" s="45"/>
      <c r="E31" s="45"/>
      <c r="G31" s="45"/>
      <c r="H31" s="45"/>
      <c r="I31" s="45"/>
      <c r="J31" s="45"/>
      <c r="K31" s="45"/>
      <c r="L31" s="45"/>
    </row>
    <row r="32" spans="1:12" ht="15.75" customHeight="1" x14ac:dyDescent="0.25">
      <c r="A32" s="435"/>
      <c r="B32" s="435"/>
      <c r="C32" s="45"/>
      <c r="G32" s="45"/>
      <c r="H32" s="45"/>
      <c r="I32" s="45"/>
      <c r="J32" s="45"/>
      <c r="K32" s="45"/>
      <c r="L32" s="45"/>
    </row>
    <row r="33" spans="1:12" ht="15.75" customHeight="1" x14ac:dyDescent="0.25">
      <c r="A33" s="435"/>
      <c r="B33" s="435"/>
      <c r="C33" s="45"/>
      <c r="G33" s="45"/>
      <c r="H33" s="45"/>
      <c r="I33" s="45"/>
      <c r="J33" s="45"/>
      <c r="K33" s="45"/>
      <c r="L33" s="45"/>
    </row>
    <row r="34" spans="1:12" ht="15.75" customHeight="1" x14ac:dyDescent="0.25">
      <c r="A34" s="441"/>
      <c r="B34" s="435"/>
      <c r="C34" s="45"/>
      <c r="G34" s="45"/>
      <c r="H34" s="45"/>
      <c r="I34" s="45"/>
      <c r="J34" s="45"/>
      <c r="K34" s="45"/>
      <c r="L34" s="45"/>
    </row>
    <row r="35" spans="1:12" ht="15.75" customHeight="1" x14ac:dyDescent="0.25">
      <c r="A35" s="441"/>
      <c r="B35" s="435"/>
      <c r="C35" s="45"/>
      <c r="G35" s="45"/>
      <c r="H35" s="45"/>
      <c r="I35" s="45"/>
      <c r="J35" s="45"/>
      <c r="K35" s="45"/>
      <c r="L35" s="45"/>
    </row>
    <row r="36" spans="1:12" ht="15.75" customHeight="1" x14ac:dyDescent="0.25">
      <c r="A36" s="435"/>
      <c r="B36" s="435"/>
      <c r="C36" s="45"/>
      <c r="G36" s="45"/>
      <c r="H36" s="45"/>
      <c r="I36" s="45"/>
      <c r="J36" s="45"/>
      <c r="K36" s="45"/>
    </row>
    <row r="37" spans="1:12" ht="15.75" customHeight="1" x14ac:dyDescent="0.25">
      <c r="A37" s="45"/>
      <c r="B37" s="45"/>
      <c r="C37" s="45"/>
    </row>
    <row r="38" spans="1:12" ht="15.75" customHeight="1" x14ac:dyDescent="0.25">
      <c r="A38" s="45"/>
      <c r="B38" s="45"/>
    </row>
    <row r="39" spans="1:12" ht="15.75" customHeight="1" x14ac:dyDescent="0.25"/>
    <row r="40" spans="1:12" ht="15.75" customHeight="1" x14ac:dyDescent="0.25"/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spans="7:7" ht="15.75" customHeight="1" x14ac:dyDescent="0.25"/>
    <row r="50" spans="7:7" ht="15.75" customHeight="1" x14ac:dyDescent="0.25"/>
    <row r="51" spans="7:7" ht="15.75" customHeight="1" x14ac:dyDescent="0.25"/>
    <row r="52" spans="7:7" ht="15.75" customHeight="1" x14ac:dyDescent="0.25"/>
    <row r="53" spans="7:7" ht="15.75" customHeight="1" x14ac:dyDescent="0.25"/>
    <row r="54" spans="7:7" ht="15.75" customHeight="1" x14ac:dyDescent="0.25"/>
    <row r="55" spans="7:7" ht="15.75" customHeight="1" x14ac:dyDescent="0.25"/>
    <row r="56" spans="7:7" ht="15.75" customHeight="1" x14ac:dyDescent="0.25">
      <c r="G56" s="40"/>
    </row>
    <row r="57" spans="7:7" ht="15.75" customHeight="1" x14ac:dyDescent="0.25">
      <c r="G57" s="39"/>
    </row>
    <row r="58" spans="7:7" ht="15.75" customHeight="1" x14ac:dyDescent="0.25">
      <c r="G58" s="39"/>
    </row>
    <row r="59" spans="7:7" ht="15.75" customHeight="1" x14ac:dyDescent="0.25">
      <c r="G59" s="39"/>
    </row>
    <row r="60" spans="7:7" ht="15.75" customHeight="1" x14ac:dyDescent="0.25"/>
    <row r="61" spans="7:7" ht="15.75" customHeight="1" x14ac:dyDescent="0.25"/>
    <row r="62" spans="7:7" ht="15.75" customHeight="1" x14ac:dyDescent="0.25"/>
    <row r="63" spans="7:7" ht="15.75" customHeight="1" x14ac:dyDescent="0.25"/>
    <row r="64" spans="7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mergeCells count="5">
    <mergeCell ref="I8:J8"/>
    <mergeCell ref="A1:C2"/>
    <mergeCell ref="B4:B6"/>
    <mergeCell ref="C4:C9"/>
    <mergeCell ref="D4:D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NOMINA</vt:lpstr>
      <vt:lpstr>CREDITO</vt:lpstr>
      <vt:lpstr>Diferido </vt:lpstr>
      <vt:lpstr>BALANCE GENERAL PAPEL DE W</vt:lpstr>
      <vt:lpstr>SEGMENTACION DE MERCADO   </vt:lpstr>
      <vt:lpstr>1 - INVERSIONES</vt:lpstr>
      <vt:lpstr>DEPRECIACIONES</vt:lpstr>
      <vt:lpstr>2 - COSTOS &amp; GASTOS</vt:lpstr>
      <vt:lpstr>2 - GASTOS DE PRODUCCION </vt:lpstr>
      <vt:lpstr>3 - INGRESOS</vt:lpstr>
      <vt:lpstr>4 - ESTADO DE RESULTADOS  FINAL</vt:lpstr>
      <vt:lpstr>4 - ESTADO DE RESULTADOS (OP.)</vt:lpstr>
      <vt:lpstr>4 - ESTADO DE RESULTADOS (PS)</vt:lpstr>
      <vt:lpstr>BALANCE GENERAL FINAL</vt:lpstr>
      <vt:lpstr>5 - FLUJO CAJA</vt:lpstr>
      <vt:lpstr>WACC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</dc:creator>
  <cp:keywords/>
  <dc:description/>
  <cp:lastModifiedBy>nicolas olivar cortes</cp:lastModifiedBy>
  <cp:revision/>
  <dcterms:created xsi:type="dcterms:W3CDTF">2021-11-03T23:03:30Z</dcterms:created>
  <dcterms:modified xsi:type="dcterms:W3CDTF">2023-06-28T02:12:03Z</dcterms:modified>
  <cp:category/>
  <cp:contentStatus/>
</cp:coreProperties>
</file>