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filterPrivacy="1"/>
  <xr:revisionPtr revIDLastSave="0" documentId="13_ncr:1_{1066FF01-DF69-4CAE-A139-2774E7DFB45D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Resumen" sheetId="3" r:id="rId1"/>
    <sheet name="Materiale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5" i="4" l="1"/>
  <c r="R73" i="4"/>
  <c r="R74" i="4"/>
  <c r="R52" i="4"/>
  <c r="S52" i="4" s="1"/>
  <c r="R53" i="4"/>
  <c r="R54" i="4"/>
  <c r="S54" i="4" s="1"/>
  <c r="R55" i="4"/>
  <c r="R56" i="4"/>
  <c r="S56" i="4" s="1"/>
  <c r="T56" i="4" s="1"/>
  <c r="R57" i="4"/>
  <c r="S57" i="4" s="1"/>
  <c r="T57" i="4" s="1"/>
  <c r="R59" i="4"/>
  <c r="S59" i="4" s="1"/>
  <c r="R60" i="4"/>
  <c r="S60" i="4" s="1"/>
  <c r="R61" i="4"/>
  <c r="R64" i="4"/>
  <c r="R65" i="4"/>
  <c r="S65" i="4" s="1"/>
  <c r="T65" i="4" s="1"/>
  <c r="R68" i="4"/>
  <c r="S68" i="4" s="1"/>
  <c r="R69" i="4"/>
  <c r="R70" i="4"/>
  <c r="S70" i="4" s="1"/>
  <c r="R71" i="4"/>
  <c r="R72" i="4"/>
  <c r="T72" i="4" s="1"/>
  <c r="S61" i="4"/>
  <c r="S64" i="4"/>
  <c r="T64" i="4" s="1"/>
  <c r="T61" i="4" l="1"/>
  <c r="S69" i="4"/>
  <c r="T69" i="4" s="1"/>
  <c r="S74" i="4"/>
  <c r="T74" i="4" s="1"/>
  <c r="S73" i="4"/>
  <c r="T73" i="4" s="1"/>
  <c r="S55" i="4"/>
  <c r="T55" i="4" s="1"/>
  <c r="S53" i="4"/>
  <c r="T59" i="4"/>
  <c r="T70" i="4"/>
  <c r="T54" i="4"/>
  <c r="T68" i="4"/>
  <c r="T60" i="4"/>
  <c r="T52" i="4"/>
  <c r="T71" i="4" l="1"/>
  <c r="T53" i="4"/>
  <c r="R58" i="4" l="1"/>
  <c r="AA71" i="4"/>
  <c r="AB12" i="4"/>
  <c r="AC12" i="4" s="1"/>
  <c r="AD12" i="4" s="1"/>
  <c r="AB13" i="4"/>
  <c r="AC13" i="4" s="1"/>
  <c r="AD13" i="4" s="1"/>
  <c r="AB14" i="4"/>
  <c r="AC14" i="4" s="1"/>
  <c r="AD14" i="4" s="1"/>
  <c r="AB15" i="4"/>
  <c r="AC15" i="4" s="1"/>
  <c r="AD15" i="4" s="1"/>
  <c r="AB16" i="4"/>
  <c r="AC16" i="4" s="1"/>
  <c r="AD16" i="4" s="1"/>
  <c r="AB17" i="4"/>
  <c r="AC17" i="4" s="1"/>
  <c r="AD17" i="4" s="1"/>
  <c r="AB18" i="4"/>
  <c r="AC18" i="4" s="1"/>
  <c r="AD18" i="4" s="1"/>
  <c r="AB19" i="4"/>
  <c r="AC19" i="4" s="1"/>
  <c r="AD19" i="4" s="1"/>
  <c r="AB20" i="4"/>
  <c r="AC20" i="4" s="1"/>
  <c r="AD20" i="4" s="1"/>
  <c r="AB21" i="4"/>
  <c r="AC21" i="4" s="1"/>
  <c r="AD21" i="4" s="1"/>
  <c r="AB22" i="4"/>
  <c r="AC22" i="4" s="1"/>
  <c r="AD22" i="4" s="1"/>
  <c r="AB23" i="4"/>
  <c r="AC23" i="4" s="1"/>
  <c r="AD23" i="4" s="1"/>
  <c r="AB24" i="4"/>
  <c r="AC24" i="4" s="1"/>
  <c r="AD24" i="4" s="1"/>
  <c r="AB25" i="4"/>
  <c r="AC25" i="4" s="1"/>
  <c r="AD25" i="4" s="1"/>
  <c r="AB26" i="4"/>
  <c r="AC26" i="4" s="1"/>
  <c r="AD26" i="4" s="1"/>
  <c r="AB27" i="4"/>
  <c r="AC27" i="4" s="1"/>
  <c r="AD27" i="4" s="1"/>
  <c r="AB28" i="4"/>
  <c r="AC28" i="4" s="1"/>
  <c r="AD28" i="4" s="1"/>
  <c r="AB29" i="4"/>
  <c r="AC29" i="4" s="1"/>
  <c r="AD29" i="4" s="1"/>
  <c r="AB30" i="4"/>
  <c r="AC30" i="4" s="1"/>
  <c r="AD30" i="4" s="1"/>
  <c r="AB31" i="4"/>
  <c r="AC31" i="4" s="1"/>
  <c r="AD31" i="4" s="1"/>
  <c r="AB32" i="4"/>
  <c r="AC32" i="4" s="1"/>
  <c r="AD32" i="4" s="1"/>
  <c r="AB33" i="4"/>
  <c r="AC33" i="4" s="1"/>
  <c r="AD33" i="4" s="1"/>
  <c r="AB34" i="4"/>
  <c r="AC34" i="4" s="1"/>
  <c r="AD34" i="4" s="1"/>
  <c r="AB35" i="4"/>
  <c r="AC35" i="4" s="1"/>
  <c r="AD35" i="4" s="1"/>
  <c r="AB36" i="4"/>
  <c r="AC36" i="4" s="1"/>
  <c r="AD36" i="4" s="1"/>
  <c r="AB37" i="4"/>
  <c r="AC37" i="4" s="1"/>
  <c r="AD37" i="4" s="1"/>
  <c r="AB38" i="4"/>
  <c r="AC38" i="4" s="1"/>
  <c r="AD38" i="4" s="1"/>
  <c r="AB39" i="4"/>
  <c r="AC39" i="4" s="1"/>
  <c r="AD39" i="4" s="1"/>
  <c r="AB40" i="4"/>
  <c r="AC40" i="4" s="1"/>
  <c r="AD40" i="4" s="1"/>
  <c r="AB41" i="4"/>
  <c r="AC41" i="4" s="1"/>
  <c r="AD41" i="4" s="1"/>
  <c r="AB42" i="4"/>
  <c r="AC42" i="4" s="1"/>
  <c r="AD42" i="4" s="1"/>
  <c r="AB43" i="4"/>
  <c r="AC43" i="4" s="1"/>
  <c r="AD43" i="4" s="1"/>
  <c r="AB44" i="4"/>
  <c r="AC44" i="4" s="1"/>
  <c r="AD44" i="4" s="1"/>
  <c r="AB45" i="4"/>
  <c r="AC45" i="4" s="1"/>
  <c r="AD45" i="4" s="1"/>
  <c r="AB46" i="4"/>
  <c r="AC46" i="4" s="1"/>
  <c r="AD46" i="4" s="1"/>
  <c r="AB47" i="4"/>
  <c r="AC47" i="4" s="1"/>
  <c r="AD47" i="4" s="1"/>
  <c r="AB48" i="4"/>
  <c r="AC48" i="4" s="1"/>
  <c r="AD48" i="4" s="1"/>
  <c r="AB49" i="4"/>
  <c r="AC49" i="4" s="1"/>
  <c r="AD49" i="4" s="1"/>
  <c r="AB50" i="4"/>
  <c r="AC50" i="4" s="1"/>
  <c r="AD50" i="4" s="1"/>
  <c r="AB51" i="4"/>
  <c r="AC51" i="4" s="1"/>
  <c r="AD51" i="4" s="1"/>
  <c r="AB52" i="4"/>
  <c r="AC52" i="4" s="1"/>
  <c r="AD52" i="4" s="1"/>
  <c r="AB53" i="4"/>
  <c r="AC53" i="4" s="1"/>
  <c r="AD53" i="4" s="1"/>
  <c r="AB54" i="4"/>
  <c r="AC54" i="4" s="1"/>
  <c r="AD54" i="4" s="1"/>
  <c r="AB55" i="4"/>
  <c r="AC55" i="4" s="1"/>
  <c r="AD55" i="4" s="1"/>
  <c r="AB56" i="4"/>
  <c r="AC56" i="4" s="1"/>
  <c r="AD56" i="4" s="1"/>
  <c r="AB57" i="4"/>
  <c r="AC57" i="4" s="1"/>
  <c r="AD57" i="4" s="1"/>
  <c r="AB58" i="4"/>
  <c r="AC58" i="4" s="1"/>
  <c r="AD58" i="4" s="1"/>
  <c r="AB59" i="4"/>
  <c r="AC59" i="4" s="1"/>
  <c r="AD59" i="4" s="1"/>
  <c r="AB60" i="4"/>
  <c r="AC60" i="4" s="1"/>
  <c r="AD60" i="4" s="1"/>
  <c r="AB61" i="4"/>
  <c r="AC61" i="4" s="1"/>
  <c r="AD61" i="4" s="1"/>
  <c r="AB62" i="4"/>
  <c r="AC62" i="4" s="1"/>
  <c r="AD62" i="4" s="1"/>
  <c r="AB63" i="4"/>
  <c r="AC63" i="4" s="1"/>
  <c r="AD63" i="4" s="1"/>
  <c r="AB64" i="4"/>
  <c r="AC64" i="4" s="1"/>
  <c r="AD64" i="4" s="1"/>
  <c r="AB65" i="4"/>
  <c r="AC65" i="4" s="1"/>
  <c r="AD65" i="4" s="1"/>
  <c r="AB66" i="4"/>
  <c r="AC66" i="4" s="1"/>
  <c r="AD66" i="4" s="1"/>
  <c r="AB67" i="4"/>
  <c r="AC67" i="4" s="1"/>
  <c r="AD67" i="4" s="1"/>
  <c r="AB68" i="4"/>
  <c r="AC68" i="4" s="1"/>
  <c r="AD68" i="4" s="1"/>
  <c r="AB69" i="4"/>
  <c r="AC69" i="4" s="1"/>
  <c r="AD69" i="4" s="1"/>
  <c r="AB70" i="4"/>
  <c r="AC70" i="4" s="1"/>
  <c r="AD70" i="4" s="1"/>
  <c r="AB11" i="4"/>
  <c r="S58" i="4" l="1"/>
  <c r="T58" i="4" s="1"/>
  <c r="AB71" i="4"/>
  <c r="AC11" i="4"/>
  <c r="J231" i="4"/>
  <c r="AD11" i="4" l="1"/>
  <c r="AD71" i="4" s="1"/>
  <c r="AC71" i="4"/>
  <c r="G300" i="4"/>
  <c r="H300" i="4" s="1"/>
  <c r="G299" i="4"/>
  <c r="H299" i="4" s="1"/>
  <c r="G298" i="4" l="1"/>
  <c r="H298" i="4" s="1"/>
  <c r="J297" i="4"/>
  <c r="J296" i="4"/>
  <c r="J295" i="4"/>
  <c r="J294" i="4"/>
  <c r="J293" i="4"/>
  <c r="J292" i="4"/>
  <c r="G291" i="4"/>
  <c r="H291" i="4" s="1"/>
  <c r="G290" i="4"/>
  <c r="H290" i="4" s="1"/>
  <c r="G289" i="4"/>
  <c r="H289" i="4" s="1"/>
  <c r="J288" i="4"/>
  <c r="J287" i="4"/>
  <c r="R67" i="4" s="1"/>
  <c r="J286" i="4"/>
  <c r="R66" i="4" s="1"/>
  <c r="G285" i="4"/>
  <c r="H285" i="4" s="1"/>
  <c r="G284" i="4"/>
  <c r="H284" i="4" s="1"/>
  <c r="J283" i="4"/>
  <c r="R63" i="4" s="1"/>
  <c r="J282" i="4"/>
  <c r="R62" i="4" s="1"/>
  <c r="J281" i="4"/>
  <c r="G280" i="4"/>
  <c r="H280" i="4" s="1"/>
  <c r="G279" i="4"/>
  <c r="H279" i="4" s="1"/>
  <c r="G278" i="4"/>
  <c r="H278" i="4" s="1"/>
  <c r="J277" i="4"/>
  <c r="J276" i="4"/>
  <c r="J275" i="4"/>
  <c r="G274" i="4"/>
  <c r="H274" i="4" s="1"/>
  <c r="J273" i="4"/>
  <c r="J272" i="4"/>
  <c r="J271" i="4"/>
  <c r="J270" i="4"/>
  <c r="J269" i="4"/>
  <c r="J268" i="4"/>
  <c r="J267" i="4"/>
  <c r="J266" i="4"/>
  <c r="O49" i="4" s="1"/>
  <c r="R49" i="4" s="1"/>
  <c r="J265" i="4"/>
  <c r="J264" i="4"/>
  <c r="J263" i="4"/>
  <c r="J262" i="4"/>
  <c r="J261" i="4"/>
  <c r="J260" i="4"/>
  <c r="G259" i="4"/>
  <c r="H259" i="4" s="1"/>
  <c r="G258" i="4"/>
  <c r="H258" i="4" s="1"/>
  <c r="G257" i="4"/>
  <c r="H257" i="4" s="1"/>
  <c r="G256" i="4"/>
  <c r="H256" i="4" s="1"/>
  <c r="J255" i="4"/>
  <c r="J254" i="4"/>
  <c r="G253" i="4"/>
  <c r="H253" i="4" s="1"/>
  <c r="J252" i="4"/>
  <c r="J251" i="4"/>
  <c r="J250" i="4"/>
  <c r="J249" i="4"/>
  <c r="J248" i="4"/>
  <c r="G247" i="4"/>
  <c r="H247" i="4" s="1"/>
  <c r="G246" i="4"/>
  <c r="H246" i="4" s="1"/>
  <c r="J245" i="4"/>
  <c r="G244" i="4"/>
  <c r="H244" i="4" s="1"/>
  <c r="J243" i="4"/>
  <c r="J242" i="4"/>
  <c r="J241" i="4"/>
  <c r="J240" i="4"/>
  <c r="G239" i="4"/>
  <c r="H239" i="4" s="1"/>
  <c r="G238" i="4"/>
  <c r="H238" i="4" s="1"/>
  <c r="G237" i="4"/>
  <c r="H237" i="4" s="1"/>
  <c r="J236" i="4"/>
  <c r="J235" i="4"/>
  <c r="J234" i="4"/>
  <c r="J233" i="4"/>
  <c r="G232" i="4"/>
  <c r="H232" i="4" s="1"/>
  <c r="J230" i="4"/>
  <c r="J229" i="4"/>
  <c r="O47" i="4" s="1"/>
  <c r="R47" i="4" s="1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G211" i="4"/>
  <c r="H211" i="4" s="1"/>
  <c r="G210" i="4"/>
  <c r="H210" i="4" s="1"/>
  <c r="G209" i="4"/>
  <c r="H209" i="4" s="1"/>
  <c r="G208" i="4"/>
  <c r="H208" i="4" s="1"/>
  <c r="G207" i="4"/>
  <c r="H207" i="4" s="1"/>
  <c r="J206" i="4"/>
  <c r="J205" i="4"/>
  <c r="J204" i="4"/>
  <c r="J203" i="4"/>
  <c r="J202" i="4"/>
  <c r="J201" i="4"/>
  <c r="J200" i="4"/>
  <c r="J199" i="4"/>
  <c r="J198" i="4"/>
  <c r="J197" i="4"/>
  <c r="G196" i="4"/>
  <c r="H196" i="4" s="1"/>
  <c r="J195" i="4"/>
  <c r="G194" i="4"/>
  <c r="H194" i="4" s="1"/>
  <c r="J193" i="4"/>
  <c r="J192" i="4"/>
  <c r="G191" i="4"/>
  <c r="H191" i="4" s="1"/>
  <c r="J190" i="4"/>
  <c r="J189" i="4"/>
  <c r="J188" i="4"/>
  <c r="J187" i="4"/>
  <c r="J186" i="4"/>
  <c r="G185" i="4"/>
  <c r="H185" i="4" s="1"/>
  <c r="G184" i="4"/>
  <c r="H184" i="4" s="1"/>
  <c r="G183" i="4"/>
  <c r="H183" i="4" s="1"/>
  <c r="G182" i="4"/>
  <c r="H182" i="4" s="1"/>
  <c r="J181" i="4"/>
  <c r="J180" i="4"/>
  <c r="J179" i="4"/>
  <c r="J178" i="4"/>
  <c r="J177" i="4"/>
  <c r="I176" i="4"/>
  <c r="J176" i="4" s="1"/>
  <c r="J175" i="4"/>
  <c r="J174" i="4"/>
  <c r="J173" i="4"/>
  <c r="G172" i="4"/>
  <c r="H172" i="4" s="1"/>
  <c r="G171" i="4"/>
  <c r="H171" i="4" s="1"/>
  <c r="J170" i="4"/>
  <c r="G169" i="4"/>
  <c r="H169" i="4" s="1"/>
  <c r="J168" i="4"/>
  <c r="J167" i="4"/>
  <c r="J166" i="4"/>
  <c r="G165" i="4"/>
  <c r="H165" i="4" s="1"/>
  <c r="G164" i="4"/>
  <c r="H164" i="4" s="1"/>
  <c r="G163" i="4"/>
  <c r="H163" i="4" s="1"/>
  <c r="G162" i="4"/>
  <c r="H162" i="4" s="1"/>
  <c r="G161" i="4"/>
  <c r="H161" i="4" s="1"/>
  <c r="G160" i="4"/>
  <c r="H160" i="4" s="1"/>
  <c r="G159" i="4"/>
  <c r="H159" i="4" s="1"/>
  <c r="G158" i="4"/>
  <c r="H158" i="4" s="1"/>
  <c r="J157" i="4"/>
  <c r="J156" i="4"/>
  <c r="J155" i="4"/>
  <c r="J154" i="4"/>
  <c r="J153" i="4"/>
  <c r="J152" i="4"/>
  <c r="J151" i="4"/>
  <c r="J150" i="4"/>
  <c r="J149" i="4"/>
  <c r="J148" i="4"/>
  <c r="J147" i="4"/>
  <c r="J146" i="4"/>
  <c r="G145" i="4"/>
  <c r="H145" i="4" s="1"/>
  <c r="G144" i="4"/>
  <c r="H144" i="4" s="1"/>
  <c r="G143" i="4"/>
  <c r="H143" i="4" s="1"/>
  <c r="G142" i="4"/>
  <c r="H142" i="4" s="1"/>
  <c r="J141" i="4"/>
  <c r="J140" i="4"/>
  <c r="J139" i="4"/>
  <c r="J138" i="4"/>
  <c r="J137" i="4"/>
  <c r="I136" i="4"/>
  <c r="J136" i="4" s="1"/>
  <c r="G135" i="4"/>
  <c r="H135" i="4" s="1"/>
  <c r="G133" i="4"/>
  <c r="G132" i="4"/>
  <c r="G131" i="4"/>
  <c r="H131" i="4" s="1"/>
  <c r="G130" i="4"/>
  <c r="H130" i="4" s="1"/>
  <c r="G129" i="4"/>
  <c r="H129" i="4" s="1"/>
  <c r="J128" i="4"/>
  <c r="J127" i="4"/>
  <c r="I126" i="4"/>
  <c r="J126" i="4" s="1"/>
  <c r="G125" i="4"/>
  <c r="H125" i="4" s="1"/>
  <c r="G124" i="4"/>
  <c r="H124" i="4" s="1"/>
  <c r="G123" i="4"/>
  <c r="H123" i="4" s="1"/>
  <c r="G122" i="4"/>
  <c r="H122" i="4" s="1"/>
  <c r="G121" i="4"/>
  <c r="H121" i="4" s="1"/>
  <c r="G120" i="4"/>
  <c r="H120" i="4" s="1"/>
  <c r="J119" i="4"/>
  <c r="O36" i="4" s="1"/>
  <c r="J118" i="4"/>
  <c r="J117" i="4"/>
  <c r="O35" i="4" s="1"/>
  <c r="R35" i="4" s="1"/>
  <c r="G116" i="4"/>
  <c r="H116" i="4" s="1"/>
  <c r="G115" i="4"/>
  <c r="H115" i="4" s="1"/>
  <c r="J114" i="4"/>
  <c r="J113" i="4"/>
  <c r="J112" i="4"/>
  <c r="J111" i="4"/>
  <c r="J110" i="4"/>
  <c r="J109" i="4"/>
  <c r="G108" i="4"/>
  <c r="H108" i="4" s="1"/>
  <c r="J107" i="4"/>
  <c r="J106" i="4"/>
  <c r="O31" i="4" s="1"/>
  <c r="R31" i="4" s="1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G92" i="4"/>
  <c r="H92" i="4" s="1"/>
  <c r="G91" i="4"/>
  <c r="H91" i="4" s="1"/>
  <c r="G90" i="4"/>
  <c r="H90" i="4" s="1"/>
  <c r="G89" i="4"/>
  <c r="H89" i="4" s="1"/>
  <c r="G88" i="4"/>
  <c r="H88" i="4" s="1"/>
  <c r="G87" i="4"/>
  <c r="H87" i="4" s="1"/>
  <c r="G86" i="4"/>
  <c r="H86" i="4" s="1"/>
  <c r="G85" i="4"/>
  <c r="H85" i="4" s="1"/>
  <c r="G84" i="4"/>
  <c r="H84" i="4" s="1"/>
  <c r="J78" i="4"/>
  <c r="J77" i="4"/>
  <c r="J76" i="4"/>
  <c r="O34" i="4" s="1"/>
  <c r="R34" i="4" s="1"/>
  <c r="G75" i="4"/>
  <c r="H75" i="4" s="1"/>
  <c r="J74" i="4"/>
  <c r="G73" i="4"/>
  <c r="H73" i="4" s="1"/>
  <c r="J72" i="4"/>
  <c r="G71" i="4"/>
  <c r="H71" i="4" s="1"/>
  <c r="G70" i="4"/>
  <c r="H70" i="4" s="1"/>
  <c r="G69" i="4"/>
  <c r="H69" i="4" s="1"/>
  <c r="G68" i="4"/>
  <c r="H68" i="4" s="1"/>
  <c r="G67" i="4"/>
  <c r="H67" i="4" s="1"/>
  <c r="G66" i="4"/>
  <c r="H66" i="4" s="1"/>
  <c r="J65" i="4"/>
  <c r="J64" i="4"/>
  <c r="I63" i="4"/>
  <c r="J63" i="4" s="1"/>
  <c r="J62" i="4"/>
  <c r="J61" i="4"/>
  <c r="J60" i="4"/>
  <c r="G59" i="4"/>
  <c r="H59" i="4" s="1"/>
  <c r="J58" i="4"/>
  <c r="J57" i="4"/>
  <c r="J56" i="4"/>
  <c r="G55" i="4"/>
  <c r="H55" i="4" s="1"/>
  <c r="J54" i="4"/>
  <c r="J53" i="4"/>
  <c r="J52" i="4"/>
  <c r="J51" i="4"/>
  <c r="H50" i="4"/>
  <c r="J49" i="4"/>
  <c r="J48" i="4"/>
  <c r="J47" i="4"/>
  <c r="J46" i="4"/>
  <c r="J45" i="4"/>
  <c r="J44" i="4"/>
  <c r="J43" i="4"/>
  <c r="J42" i="4"/>
  <c r="J41" i="4"/>
  <c r="J40" i="4"/>
  <c r="O25" i="4" s="1"/>
  <c r="R25" i="4" s="1"/>
  <c r="J39" i="4"/>
  <c r="G38" i="4"/>
  <c r="H38" i="4" s="1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H21" i="4"/>
  <c r="G20" i="4"/>
  <c r="H20" i="4" s="1"/>
  <c r="J19" i="4"/>
  <c r="J18" i="4"/>
  <c r="J17" i="4"/>
  <c r="J16" i="4"/>
  <c r="J15" i="4"/>
  <c r="J14" i="4"/>
  <c r="J13" i="4"/>
  <c r="G12" i="4"/>
  <c r="H12" i="4" s="1"/>
  <c r="J11" i="4"/>
  <c r="G47" i="3"/>
  <c r="H47" i="3" s="1"/>
  <c r="D41" i="3"/>
  <c r="O51" i="4" l="1"/>
  <c r="R51" i="4" s="1"/>
  <c r="S51" i="4" s="1"/>
  <c r="T51" i="4" s="1"/>
  <c r="O37" i="4"/>
  <c r="R37" i="4" s="1"/>
  <c r="O44" i="4"/>
  <c r="R44" i="4" s="1"/>
  <c r="S44" i="4" s="1"/>
  <c r="T44" i="4" s="1"/>
  <c r="O48" i="4"/>
  <c r="R48" i="4" s="1"/>
  <c r="S48" i="4" s="1"/>
  <c r="T48" i="4" s="1"/>
  <c r="O29" i="4"/>
  <c r="R29" i="4" s="1"/>
  <c r="S29" i="4" s="1"/>
  <c r="T29" i="4" s="1"/>
  <c r="O30" i="4"/>
  <c r="R30" i="4" s="1"/>
  <c r="S30" i="4" s="1"/>
  <c r="T30" i="4" s="1"/>
  <c r="O22" i="4"/>
  <c r="R22" i="4" s="1"/>
  <c r="S22" i="4" s="1"/>
  <c r="T22" i="4" s="1"/>
  <c r="O45" i="4"/>
  <c r="R45" i="4" s="1"/>
  <c r="O50" i="4"/>
  <c r="R50" i="4" s="1"/>
  <c r="O38" i="4"/>
  <c r="R38" i="4" s="1"/>
  <c r="S38" i="4" s="1"/>
  <c r="S66" i="4"/>
  <c r="T66" i="4" s="1"/>
  <c r="O27" i="4"/>
  <c r="R27" i="4" s="1"/>
  <c r="S27" i="4" s="1"/>
  <c r="T27" i="4" s="1"/>
  <c r="O32" i="4"/>
  <c r="R32" i="4" s="1"/>
  <c r="S32" i="4" s="1"/>
  <c r="T32" i="4" s="1"/>
  <c r="O39" i="4"/>
  <c r="R39" i="4" s="1"/>
  <c r="S39" i="4" s="1"/>
  <c r="O40" i="4"/>
  <c r="R40" i="4" s="1"/>
  <c r="S40" i="4" s="1"/>
  <c r="O46" i="4"/>
  <c r="R46" i="4" s="1"/>
  <c r="S49" i="4"/>
  <c r="T49" i="4" s="1"/>
  <c r="S67" i="4"/>
  <c r="T67" i="4" s="1"/>
  <c r="O17" i="4"/>
  <c r="R17" i="4" s="1"/>
  <c r="S17" i="4" s="1"/>
  <c r="O24" i="4"/>
  <c r="R24" i="4" s="1"/>
  <c r="S24" i="4" s="1"/>
  <c r="R36" i="4"/>
  <c r="S47" i="4"/>
  <c r="T47" i="4" s="1"/>
  <c r="S62" i="4"/>
  <c r="T62" i="4" s="1"/>
  <c r="S63" i="4"/>
  <c r="T63" i="4" s="1"/>
  <c r="O14" i="4"/>
  <c r="R14" i="4" s="1"/>
  <c r="S14" i="4" s="1"/>
  <c r="T14" i="4" s="1"/>
  <c r="O43" i="4"/>
  <c r="R43" i="4" s="1"/>
  <c r="O19" i="4"/>
  <c r="R19" i="4" s="1"/>
  <c r="S35" i="4"/>
  <c r="T35" i="4" s="1"/>
  <c r="O26" i="4"/>
  <c r="R26" i="4" s="1"/>
  <c r="S26" i="4" s="1"/>
  <c r="T26" i="4" s="1"/>
  <c r="O16" i="4"/>
  <c r="R16" i="4" s="1"/>
  <c r="S16" i="4" s="1"/>
  <c r="T16" i="4" s="1"/>
  <c r="O20" i="4"/>
  <c r="R20" i="4" s="1"/>
  <c r="S20" i="4" s="1"/>
  <c r="O28" i="4"/>
  <c r="R28" i="4" s="1"/>
  <c r="O33" i="4"/>
  <c r="O15" i="4"/>
  <c r="R15" i="4" s="1"/>
  <c r="S15" i="4" s="1"/>
  <c r="T15" i="4" s="1"/>
  <c r="O11" i="4"/>
  <c r="R11" i="4" s="1"/>
  <c r="S11" i="4" s="1"/>
  <c r="O18" i="4"/>
  <c r="R18" i="4" s="1"/>
  <c r="S18" i="4" s="1"/>
  <c r="T18" i="4" s="1"/>
  <c r="O23" i="4"/>
  <c r="R23" i="4" s="1"/>
  <c r="S23" i="4" s="1"/>
  <c r="T23" i="4" s="1"/>
  <c r="O42" i="4"/>
  <c r="R42" i="4" s="1"/>
  <c r="O13" i="4"/>
  <c r="R13" i="4" s="1"/>
  <c r="S13" i="4" s="1"/>
  <c r="T13" i="4" s="1"/>
  <c r="O21" i="4"/>
  <c r="R21" i="4" s="1"/>
  <c r="S21" i="4" s="1"/>
  <c r="T21" i="4" s="1"/>
  <c r="O41" i="4"/>
  <c r="R41" i="4" s="1"/>
  <c r="S37" i="4"/>
  <c r="T37" i="4" s="1"/>
  <c r="S31" i="4"/>
  <c r="T31" i="4" s="1"/>
  <c r="S34" i="4"/>
  <c r="T34" i="4" s="1"/>
  <c r="O12" i="4"/>
  <c r="R12" i="4" s="1"/>
  <c r="S25" i="4"/>
  <c r="T20" i="4" l="1"/>
  <c r="T17" i="4"/>
  <c r="T38" i="4"/>
  <c r="S42" i="4"/>
  <c r="T42" i="4" s="1"/>
  <c r="T39" i="4"/>
  <c r="S43" i="4"/>
  <c r="T43" i="4" s="1"/>
  <c r="S45" i="4"/>
  <c r="T45" i="4" s="1"/>
  <c r="S46" i="4"/>
  <c r="T46" i="4" s="1"/>
  <c r="S36" i="4"/>
  <c r="T36" i="4" s="1"/>
  <c r="S41" i="4"/>
  <c r="T41" i="4" s="1"/>
  <c r="S50" i="4"/>
  <c r="T50" i="4" s="1"/>
  <c r="T11" i="4"/>
  <c r="T40" i="4"/>
  <c r="R33" i="4"/>
  <c r="R75" i="4" s="1"/>
  <c r="F46" i="3" s="1"/>
  <c r="T25" i="4"/>
  <c r="T24" i="4"/>
  <c r="S12" i="4"/>
  <c r="T12" i="4" s="1"/>
  <c r="S19" i="4"/>
  <c r="T19" i="4" s="1"/>
  <c r="S28" i="4"/>
  <c r="T28" i="4" s="1"/>
  <c r="S33" i="4" l="1"/>
  <c r="T33" i="4" s="1"/>
  <c r="T75" i="4" s="1"/>
  <c r="F48" i="3"/>
  <c r="S75" i="4" l="1"/>
  <c r="G46" i="3" s="1"/>
  <c r="G48" i="3" s="1"/>
  <c r="H46" i="3" l="1"/>
  <c r="H48" i="3" s="1"/>
</calcChain>
</file>

<file path=xl/sharedStrings.xml><?xml version="1.0" encoding="utf-8"?>
<sst xmlns="http://schemas.openxmlformats.org/spreadsheetml/2006/main" count="887" uniqueCount="373">
  <si>
    <t>Area Unitaria(m2)</t>
  </si>
  <si>
    <t>Area Total(m2)</t>
  </si>
  <si>
    <t>Longitud Unitaria(m)</t>
  </si>
  <si>
    <t>Longitud Total(m)</t>
  </si>
  <si>
    <t>IP 240 X 30cm</t>
  </si>
  <si>
    <t>IP 240 X 35.7cm</t>
  </si>
  <si>
    <t>PLN</t>
  </si>
  <si>
    <t>Canal en U de 4" x 6m</t>
  </si>
  <si>
    <t>IP 200 x 6m</t>
  </si>
  <si>
    <t>IP 180 x 6m</t>
  </si>
  <si>
    <t>IP 240 x 30cm</t>
  </si>
  <si>
    <t>Angulo de 2" x 1/4" x 6m</t>
  </si>
  <si>
    <t>Plátina de 2" x 1/4" x 6m</t>
  </si>
  <si>
    <t>Cartela 33cm x 55.4cm x 1/2"</t>
  </si>
  <si>
    <t>Cartela 32.5cm x 49cm x 1/2"</t>
  </si>
  <si>
    <t>Cartela 27cm x 31.5cm x 1/2"</t>
  </si>
  <si>
    <t>Cartela 27.3cm x 31cm x 1/2"</t>
  </si>
  <si>
    <t>Cartela 31cm x 54cm x 1/2"</t>
  </si>
  <si>
    <t>Cartela 24cm x 32.5cm x 1/2"</t>
  </si>
  <si>
    <t>IP 240 X 180cm</t>
  </si>
  <si>
    <t>Angulo de 3" x 3/8" x 1.62m</t>
  </si>
  <si>
    <t>Teja de zinc x 3m</t>
  </si>
  <si>
    <t>IP 200 x 43.5cm</t>
  </si>
  <si>
    <t>IP 200 x 28.5cm</t>
  </si>
  <si>
    <t>Viga IP 160 x 6m</t>
  </si>
  <si>
    <t>Canal en u de 8" x  2.1m</t>
  </si>
  <si>
    <t>Canal en u de 4" x 6m</t>
  </si>
  <si>
    <t>Lamina 1/2" de 20cm x 13cm</t>
  </si>
  <si>
    <t>Lamina 1/2" de 23cm x 13cm</t>
  </si>
  <si>
    <t>Lamina 1/2" de 16cm x 7cm</t>
  </si>
  <si>
    <t>Lamina 1/2" de 18cm x 10cm</t>
  </si>
  <si>
    <t>Lamina 1/2" de 45cm x 18cm</t>
  </si>
  <si>
    <t>Lamina 1/2" de 21cm x 15cm</t>
  </si>
  <si>
    <t>Lamina 3/4" de 26cm x 18cm</t>
  </si>
  <si>
    <t>Lamina 3/4" de 37cm x 12cm</t>
  </si>
  <si>
    <t>Lamina 3/4" de 80cm x 18cm</t>
  </si>
  <si>
    <t>IPE 240 X 4.416m</t>
  </si>
  <si>
    <t>IPE 240 X 2.914m</t>
  </si>
  <si>
    <t>IPE 240 X 0.3m</t>
  </si>
  <si>
    <t>IPE 240 X 1.160m</t>
  </si>
  <si>
    <t>IPE 240 X 2.370m</t>
  </si>
  <si>
    <t>IPE 240 X 1.60m a 45°</t>
  </si>
  <si>
    <t>IPE 240 X 1.88m a 45°</t>
  </si>
  <si>
    <t>IPE 400 x 2.906m</t>
  </si>
  <si>
    <t>IPE 400 x 5.28m</t>
  </si>
  <si>
    <t>IPE 400 x 0.133m</t>
  </si>
  <si>
    <t>Platina 1" x 3/16" x 6m</t>
  </si>
  <si>
    <t>IPE 180 x 6m</t>
  </si>
  <si>
    <t>IPE 160 x 1m</t>
  </si>
  <si>
    <t>IPE 200 x 12m</t>
  </si>
  <si>
    <r>
      <t xml:space="preserve">Brida para tubo 6" de </t>
    </r>
    <r>
      <rPr>
        <sz val="11"/>
        <color theme="1"/>
        <rFont val="Yu Gothic UI"/>
        <family val="2"/>
      </rPr>
      <t>Ф</t>
    </r>
    <r>
      <rPr>
        <sz val="11"/>
        <color theme="1"/>
        <rFont val="Calibri"/>
        <family val="2"/>
      </rPr>
      <t>35cm en lamina 3/4"</t>
    </r>
  </si>
  <si>
    <t>Perfil Rectangular 50 x 50 x 6m</t>
  </si>
  <si>
    <t>Perfil Rectangular 40 x 40 x 6m</t>
  </si>
  <si>
    <t>Canal en U de 6" x 6m</t>
  </si>
  <si>
    <t>Platina de 2" x 1/4" x 2.10m</t>
  </si>
  <si>
    <t>Lamina  1/2" de 13cm x 23cm</t>
  </si>
  <si>
    <t xml:space="preserve">Lamina  3/8" de 35cm x 35cm </t>
  </si>
  <si>
    <t>Varilla de 1/2" corrugada x 6m</t>
  </si>
  <si>
    <r>
      <t>Angulo de 2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6m</t>
    </r>
  </si>
  <si>
    <t xml:space="preserve">Angulo de 4" x 1/2" x 1.60m </t>
  </si>
  <si>
    <t>Lamina  1" de 28cm x 55cm</t>
  </si>
  <si>
    <t>Lamina  1" de 34cm x 55cm</t>
  </si>
  <si>
    <t>Lamina 3/4" de 25cm x 55cm</t>
  </si>
  <si>
    <t>Lamina 3/4" de 34cm x 55cm</t>
  </si>
  <si>
    <t>Lamina 3/4" de 18cm x 55cm</t>
  </si>
  <si>
    <t>Lamina 1/2" de 25cm x 25cm</t>
  </si>
  <si>
    <t>Tubo petrolero 6" x 27cm</t>
  </si>
  <si>
    <t>Tubo petrolero 6" x 18cm</t>
  </si>
  <si>
    <t>Tubo petrolero 8" x 27cm</t>
  </si>
  <si>
    <t>Lamina 1/2" de 18cm x 8cm</t>
  </si>
  <si>
    <t>Lamina 1/2" de 18cm x 24cm</t>
  </si>
  <si>
    <t>Lamina 1/2" de 1.55m x 0.16m</t>
  </si>
  <si>
    <t>Lámina 3/8" de 2m x 1m</t>
  </si>
  <si>
    <r>
      <t xml:space="preserve">Lámina 3/4" de </t>
    </r>
    <r>
      <rPr>
        <sz val="11"/>
        <color theme="1"/>
        <rFont val="Yu Gothic UI"/>
        <family val="2"/>
      </rPr>
      <t>Ф</t>
    </r>
    <r>
      <rPr>
        <sz val="11"/>
        <color theme="1"/>
        <rFont val="Calibri"/>
        <family val="2"/>
      </rPr>
      <t>35cm</t>
    </r>
  </si>
  <si>
    <t>Lámina 3/4" de 1.80m x 0.35m</t>
  </si>
  <si>
    <t>IPE 240 X 6.80m</t>
  </si>
  <si>
    <t>Angulo de 2"x 1/4" x 6m</t>
  </si>
  <si>
    <t>Angulo de 2"x 1/4" x 1m</t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</si>
  <si>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>x 3/16" x 1m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</si>
  <si>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>x 3/16" x 1.12m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</si>
  <si>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>x 3/16" x 1.10m</t>
    </r>
  </si>
  <si>
    <t>Tubo cuadrado 40x40 x 6m</t>
  </si>
  <si>
    <t>Tubo cuadrado 50x50 x 6m</t>
  </si>
  <si>
    <t>IPE 240 x 12m</t>
  </si>
  <si>
    <t>IPE 240 x 8m</t>
  </si>
  <si>
    <t>Canal en U de 8" x 3m</t>
  </si>
  <si>
    <t>Angulo de 3" x 3/8" x 6m</t>
  </si>
  <si>
    <t>Lamina 3/8" de 1.80m x 0.23m</t>
  </si>
  <si>
    <t>Canal en U de 3" x 6m</t>
  </si>
  <si>
    <t>Varilla cuadrada 5/8" x 6m</t>
  </si>
  <si>
    <t>Angulo 2" x 1/4" x 6m</t>
  </si>
  <si>
    <t>IPE 400 x 8.5m</t>
  </si>
  <si>
    <t>Lamina 3/8" de 1m x 1m</t>
  </si>
  <si>
    <t>Canal en U de 8" x 6m</t>
  </si>
  <si>
    <t>Lamina 3/8" de 1.8m x 2m</t>
  </si>
  <si>
    <t>Platina de 1" x 3/16" x 6m</t>
  </si>
  <si>
    <t>Angulo de 2" x 1/4"</t>
  </si>
  <si>
    <t>Lamina 3/8" de 50cm x 50cm</t>
  </si>
  <si>
    <t>Lamina 1/4" de 1m x 1m</t>
  </si>
  <si>
    <t>Cartela en 3/8" de 24cm x 15cm</t>
  </si>
  <si>
    <t>Cartela en 3/8" de 20cm x 15cm</t>
  </si>
  <si>
    <t xml:space="preserve">Lamina 3/8" de 50cm x 27cm </t>
  </si>
  <si>
    <t xml:space="preserve">Lamina 3/8" de 57cm x 37cm </t>
  </si>
  <si>
    <t>Angulo de 2" 1/4" x 90cm</t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</si>
  <si>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3/16" x 90cm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</si>
  <si>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3/16" x 1.10m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</si>
  <si>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3/16" x 1.12m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</si>
  <si>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3/16" x 1.47m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</si>
  <si>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3/16" x 6m</t>
    </r>
  </si>
  <si>
    <t>Lámina 1/2"  de 20cm x 28cm de para IP 240</t>
  </si>
  <si>
    <t xml:space="preserve">Lámina  3/8" de 180cm x 24cm </t>
  </si>
  <si>
    <t xml:space="preserve">Lámina 3/16" figurada 22.5cm x 13.5cm </t>
  </si>
  <si>
    <t>IPE 240 x 6m</t>
  </si>
  <si>
    <t>Varilla corrugada 5/8" x 6m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</si>
  <si>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6m</t>
    </r>
  </si>
  <si>
    <t>IPE 400 x 6m</t>
  </si>
  <si>
    <t>IPE 160 x 6m</t>
  </si>
  <si>
    <t>IPE 200 x 6m</t>
  </si>
  <si>
    <t xml:space="preserve">Angulo de 4" x 1/2" x 6m </t>
  </si>
  <si>
    <t>Lamina  1/2" de 32cm x 16cm</t>
  </si>
  <si>
    <t>Lamina 3/8" de 10cm x 40cm</t>
  </si>
  <si>
    <t>Lamina 3/8" de 32cm x 30cm</t>
  </si>
  <si>
    <t>Lamina 3/8" de 32cm x 10cm</t>
  </si>
  <si>
    <t>Lamina 3/8" de 50cm x 24.5cm</t>
  </si>
  <si>
    <t>Lamina 3/8" de 30cm x 7cm</t>
  </si>
  <si>
    <t>Lamina 3/8" de 24.5cm x 24.5cm</t>
  </si>
  <si>
    <t>Lamina 3/8" de 31cm x 19cm</t>
  </si>
  <si>
    <t>Angulo de 2" x 3/16" x 6m</t>
  </si>
  <si>
    <t>Lamina 3/8" de 2.24m * 0.60m</t>
  </si>
  <si>
    <t>Platina 3" x 3/8" x 4.10m</t>
  </si>
  <si>
    <t>Lamina 1/2" de 68cm*30cm</t>
  </si>
  <si>
    <t>Lamina 1/2" de 68cm*12cm</t>
  </si>
  <si>
    <t>Platina 3" x 3/8" x 68cm</t>
  </si>
  <si>
    <t>Platina 3" x 3/8" x 50cm</t>
  </si>
  <si>
    <t>Angulo de 2" x1/4" x 2.10m</t>
  </si>
  <si>
    <t>Angulo 2" x 3/16" x 6m</t>
  </si>
  <si>
    <t>Platina 3" x 3/8" x 6m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</si>
  <si>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 x 90cm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</si>
  <si>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 x1.45m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</si>
  <si>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 x 70cm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</si>
  <si>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 x 85cm</t>
    </r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</si>
  <si>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 x 97cm</t>
    </r>
  </si>
  <si>
    <t>Lamina 3/8" de 23cm x 25cm</t>
  </si>
  <si>
    <t>Lamina 3/8" de 20cm x 25cm</t>
  </si>
  <si>
    <t>Lamina 3/8" de 20cm x 21cm</t>
  </si>
  <si>
    <t>Lamina 3/8" de 21cm x 6cm</t>
  </si>
  <si>
    <t>Perfil rectangular 50 x 50 x 6m</t>
  </si>
  <si>
    <t>Perfil rectangular 40 x 40 x 6m</t>
  </si>
  <si>
    <t>Platina 3" x 1/4" x 6m</t>
  </si>
  <si>
    <t>Lamina 1/8" de 15cm x 10cm</t>
  </si>
  <si>
    <t>Lamina 1/2" de 12cm x 22cm</t>
  </si>
  <si>
    <t>Lámina 1/8" de 2.24m x 0.64cm</t>
  </si>
  <si>
    <t>Plátina 2" x 1/4" x 2.20m</t>
  </si>
  <si>
    <t>Tubo industrial 3" x 30cm</t>
  </si>
  <si>
    <t>Tubo industrial 3" x 23cm</t>
  </si>
  <si>
    <t>Canal en U 4" x 6m</t>
  </si>
  <si>
    <t>IPE 400 x 62cm</t>
  </si>
  <si>
    <t>Lámina 3/8" de 60cm x 35cm</t>
  </si>
  <si>
    <t>Lámina 3/8" de 60cm x 30cm</t>
  </si>
  <si>
    <t>Lámina 3/8" de 30cm x 20cm</t>
  </si>
  <si>
    <t>Lámina 3/8" de 52cm x 30cm</t>
  </si>
  <si>
    <t>Lámina 1/2" de 38cm x 18cm</t>
  </si>
  <si>
    <t>Plátina 3" x 3/8" x 4.70m</t>
  </si>
  <si>
    <t>Plátina 3" x 3/8" x 70cm</t>
  </si>
  <si>
    <t>Tubo industrial 8" x 6m</t>
  </si>
  <si>
    <t>Tubo industrial 6" x 6m</t>
  </si>
  <si>
    <t>Tubo industrial 3" x 6m</t>
  </si>
  <si>
    <t>Plátina 1" x 3/16" x 6m</t>
  </si>
  <si>
    <t>Plátina 3" x 1/4" x 6m</t>
  </si>
  <si>
    <t>Tubo industrial 7" x 20cm</t>
  </si>
  <si>
    <t>Tubo industrial 7" x 75cm</t>
  </si>
  <si>
    <t>IPE 240 x 60cm</t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</si>
  <si>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1.10m</t>
    </r>
  </si>
  <si>
    <r>
      <t>Angulo de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2.17m</t>
    </r>
  </si>
  <si>
    <t>Tubo industrial 7" x 6m</t>
  </si>
  <si>
    <t>Item</t>
  </si>
  <si>
    <t xml:space="preserve">Descripción </t>
  </si>
  <si>
    <t>Cantidad</t>
  </si>
  <si>
    <t>Destino</t>
  </si>
  <si>
    <t>Valor Unt.</t>
  </si>
  <si>
    <t xml:space="preserve">Valor Total </t>
  </si>
  <si>
    <t xml:space="preserve">Valor Iva </t>
  </si>
  <si>
    <t xml:space="preserve">Valor Neto  </t>
  </si>
  <si>
    <t>Lamina 3/4" 6m*2.40m</t>
  </si>
  <si>
    <t>Lamina 3/8"  de 6m x 2.40m</t>
  </si>
  <si>
    <t>Lámina 1/2"  de 6m x 2.40m</t>
  </si>
  <si>
    <t>Lámina 1" de 6m x 2.40m</t>
  </si>
  <si>
    <t>Lámina 3/16" de 6m x 1.80m</t>
  </si>
  <si>
    <t>Lámina 1/8" de 1.20m x 6m</t>
  </si>
  <si>
    <t>Tubo industrial 8" x 20cm</t>
  </si>
  <si>
    <t>Platina 3" x 3/16" x 6m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</si>
  <si>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3m</t>
    </r>
  </si>
  <si>
    <t>Perfil rectangular 50x50 x 6m</t>
  </si>
  <si>
    <t>Perfil rectangular 40x40 x 6m</t>
  </si>
  <si>
    <t>Varilla lisa 7/8" x 0.60m</t>
  </si>
  <si>
    <t>Platina 2" x 1/4"x 6m</t>
  </si>
  <si>
    <t>Angulo 3" x 3/8" x 0.06m</t>
  </si>
  <si>
    <t>Lamina 3/8" de 31cm x 10cm</t>
  </si>
  <si>
    <t>Canal en U de 8" x 1.72m</t>
  </si>
  <si>
    <t>Canal en U de 6" x 3.50m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</si>
  <si>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 3/16" x 6m</t>
    </r>
  </si>
  <si>
    <t>Lamina 3/8" de 78cm x 118cm</t>
  </si>
  <si>
    <t>Lamina 3/8" de 50cm x 75cm</t>
  </si>
  <si>
    <t>Lamina 3/8" de 103cm x 75cm</t>
  </si>
  <si>
    <t>Perfil rectangular 40x40 x 3m</t>
  </si>
  <si>
    <t>Canal U de 4" x 3m</t>
  </si>
  <si>
    <t>Lamina 1/2" de 30cm x 15cm</t>
  </si>
  <si>
    <t>Lamina 3/16" de 6m x 1.80m</t>
  </si>
  <si>
    <t>Lamina 3/16" de 2.85m x 1.80m</t>
  </si>
  <si>
    <t>Canal U de 3" x 6m</t>
  </si>
  <si>
    <t>Platina 3" x 3/8" x 1.25m</t>
  </si>
  <si>
    <t>Platina 3" x 3/8" x 77cm</t>
  </si>
  <si>
    <t>Lamina 1/4" de 3.08m x 32cm</t>
  </si>
  <si>
    <r>
      <t>Platina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6m</t>
    </r>
  </si>
  <si>
    <t>Angulo 2" x 3/16" x 45cm</t>
  </si>
  <si>
    <t>Lamina 3/16" de 45cm x 6m</t>
  </si>
  <si>
    <t>Lamina 1/4" de 1.80m x 6m</t>
  </si>
  <si>
    <t>Lamina 1/4" de 1.80m x 5m</t>
  </si>
  <si>
    <t>Lamina 1/4" de 2m x 1m</t>
  </si>
  <si>
    <t>Angulo 2" x 1/4" x 1.15m</t>
  </si>
  <si>
    <t>Platina 2" x 1/4" x 22cm</t>
  </si>
  <si>
    <r>
      <t>Angulo 2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38cm</t>
    </r>
  </si>
  <si>
    <t>Angulo 2" x 1/4" x 40cm</t>
  </si>
  <si>
    <t>Angulo 2" x 1/4" x 1.02m</t>
  </si>
  <si>
    <r>
      <t>Platina 2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3/8" x 52cm</t>
    </r>
  </si>
  <si>
    <t>Angulo 2" x 1/4" x 60cm</t>
  </si>
  <si>
    <t>Angulo 2" x 1/4" x 18cm</t>
  </si>
  <si>
    <t>Angulo 2" x 1/4" x 80cm</t>
  </si>
  <si>
    <t>Angulo 3" x 3/8" x 20cm</t>
  </si>
  <si>
    <t>Varilla cuadrada 5/8" x 50cm</t>
  </si>
  <si>
    <t>Varilla cuadrada 5/8" x 70cm</t>
  </si>
  <si>
    <t>Lamina 3/16" de 54cm x 90cm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</si>
  <si>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1/8" x 6m</t>
    </r>
  </si>
  <si>
    <t>Angulo 2" x 1/4" x 1.20m</t>
  </si>
  <si>
    <t>Lámina 3/16" de 10cm x 17cm</t>
  </si>
  <si>
    <t>Lámina 3/8" de 50cm x 50cm</t>
  </si>
  <si>
    <t>Lámina 1/2" de 30cm x 15cm</t>
  </si>
  <si>
    <t>Angulo 2" x 3/16" x 104cm</t>
  </si>
  <si>
    <t>Plátina 2" x 1/4" x 12cm</t>
  </si>
  <si>
    <r>
      <t>Platina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1/4" x 80cm</t>
    </r>
  </si>
  <si>
    <t>Lámina 1/4" de 92cm x 25cm</t>
  </si>
  <si>
    <t>Lámina 1/4" de 95cm x 80cm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</si>
  <si>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75cm</t>
    </r>
  </si>
  <si>
    <t>Canal en U 3" x 6m</t>
  </si>
  <si>
    <t>Angulo 2" x 1/4" x 70cm</t>
  </si>
  <si>
    <t>Lámina 1/4" de 20cm x 20cm</t>
  </si>
  <si>
    <t>Lámina 1/4" de 15cm x 15cm</t>
  </si>
  <si>
    <t>Lámina 1/4" de 10cm x 15cm</t>
  </si>
  <si>
    <r>
      <t>Angulo 1</t>
    </r>
    <r>
      <rPr>
        <vertAlign val="superscript"/>
        <sz val="11"/>
        <color theme="1"/>
        <rFont val="Calibri"/>
        <family val="2"/>
        <scheme val="minor"/>
      </rPr>
      <t>1/2"</t>
    </r>
    <r>
      <rPr>
        <sz val="11"/>
        <color theme="1"/>
        <rFont val="Calibri"/>
        <family val="2"/>
        <scheme val="minor"/>
      </rPr>
      <t xml:space="preserve"> x 3/16" x 112cm</t>
    </r>
  </si>
  <si>
    <t>Perfil rectngular 40 x 40 x 6m</t>
  </si>
  <si>
    <t>Perfil rectngular 50 x 50 x 6m</t>
  </si>
  <si>
    <t>Angulo 2" x 1/4" x 1.60m</t>
  </si>
  <si>
    <t>Lámina 1/4" de 50cm x 50cm</t>
  </si>
  <si>
    <t xml:space="preserve">CIPRODYSER S.A </t>
  </si>
  <si>
    <t>NIT 830.125.529-2</t>
  </si>
  <si>
    <t xml:space="preserve">Calle 4 #5-13, Samacá, Boyacá. Teléfono:7372148 </t>
  </si>
  <si>
    <t>Nombre de Proyecto:</t>
  </si>
  <si>
    <t>Alcance</t>
  </si>
  <si>
    <t>Centro Costo</t>
  </si>
  <si>
    <t>Molienda</t>
  </si>
  <si>
    <t>Fabricante</t>
  </si>
  <si>
    <t>Montajes Industriales SAS</t>
  </si>
  <si>
    <t>Responsable Obra</t>
  </si>
  <si>
    <t>Responsable En sitio</t>
  </si>
  <si>
    <t>Ing. Diego Neiza</t>
  </si>
  <si>
    <t>Inicio de Preoperativo</t>
  </si>
  <si>
    <t>Inicio de Operación</t>
  </si>
  <si>
    <t>Vida Util</t>
  </si>
  <si>
    <t>Tiempo de Fabrición</t>
  </si>
  <si>
    <t>Inicio Obra</t>
  </si>
  <si>
    <t>Fin de Obra</t>
  </si>
  <si>
    <t>Descripción</t>
  </si>
  <si>
    <t>IVA</t>
  </si>
  <si>
    <t>Materiales y suministros</t>
  </si>
  <si>
    <t>Mano de Obra</t>
  </si>
  <si>
    <t>COSTO TOTAL</t>
  </si>
  <si>
    <t>PLANTA LAVADORA NUEVA</t>
  </si>
  <si>
    <t>LISTADO MATERIALES PLANTA LAVADORA NUEVA</t>
  </si>
  <si>
    <t>RESUMEN MATERIALES PLANTA LAVADORA NUEVA</t>
  </si>
  <si>
    <t>Lamina 3/8" de 1.20m x 0.85m</t>
  </si>
  <si>
    <t>Lamina 1/4"  de 6m x 1.80m</t>
  </si>
  <si>
    <t>Varilla lisa 7/8" x 6m</t>
  </si>
  <si>
    <t>Platina de 2" x 1/4" x 6m</t>
  </si>
  <si>
    <t>LISTADO CONSUMIBLES PLANTA LAVADORA NUEVA</t>
  </si>
  <si>
    <t>Fecha Entrega</t>
  </si>
  <si>
    <t>TUERCA HEXAGONAL NEGRA NORMAL R.O G5 1</t>
  </si>
  <si>
    <t xml:space="preserve">ARANDELA ZINCADA 1  </t>
  </si>
  <si>
    <t xml:space="preserve">GRATA COPA LISA 3"  </t>
  </si>
  <si>
    <t xml:space="preserve">WA KILO DE SOLDADURA WEST ARCO 7018 EN 1/8 </t>
  </si>
  <si>
    <t>PREMIER DISCO DE PULIR PREMIER 7 * 1/4</t>
  </si>
  <si>
    <t xml:space="preserve">AFLOJA TODO </t>
  </si>
  <si>
    <t>TORNILLO HEXAGONAL NEGRO G5 R.O 5/8 X 2</t>
  </si>
  <si>
    <t xml:space="preserve">TUERCA HEXAGONAL SEGURIDAD R.O 5/8 </t>
  </si>
  <si>
    <t xml:space="preserve">ARANDELA ZINCADA 5/8  </t>
  </si>
  <si>
    <t xml:space="preserve">BALA OXIGENO   </t>
  </si>
  <si>
    <t>KIT SOLDADURA EXOTERMICA  115G</t>
  </si>
  <si>
    <t>CABLE AISLADO 4/0</t>
  </si>
  <si>
    <t xml:space="preserve">NIPLE 3/4X3  8 CMT </t>
  </si>
  <si>
    <t xml:space="preserve">TEE GALVANIZADA 3/4  </t>
  </si>
  <si>
    <t>TEFLON INDUSTRIAL ROLLO AQUAVID</t>
  </si>
  <si>
    <t xml:space="preserve">LIJA #80  </t>
  </si>
  <si>
    <t xml:space="preserve">THINER </t>
  </si>
  <si>
    <t>PINTULUX TEU AMARILLO</t>
  </si>
  <si>
    <t>PINTULUX 3 EN 1 VERDE ESMERALDA</t>
  </si>
  <si>
    <t>CINTA DE ENMASCARAR 3/4</t>
  </si>
  <si>
    <t xml:space="preserve">ANTICORROSIVO PINTULUX </t>
  </si>
  <si>
    <t>ESTOPA</t>
  </si>
  <si>
    <t>WA KILO DE SOLDADURA WEST ARCO 7018 EN 5/32</t>
  </si>
  <si>
    <t xml:space="preserve">WA KILO DE SOLDADURA WEST ARCO 6013 EN 1/8 </t>
  </si>
  <si>
    <t>PREMIER DISCO DE CORTE 7*1/8</t>
  </si>
  <si>
    <t>PREMIER DISCO DE CORTE PREMIER 14" * 1/8 PARA TRONZADORA</t>
  </si>
  <si>
    <t>PREMIER DISCO DE PULIR PREMIER 9 * 1/4</t>
  </si>
  <si>
    <t>TORNILLO HEXAGONAL NEGRO G8 R.O 5/8 X 2 1/2</t>
  </si>
  <si>
    <t xml:space="preserve">CILINDRO DE GAS PROPANO </t>
  </si>
  <si>
    <t xml:space="preserve">TORNILLO HEXAGONAL NEGRO G5 R.O 3/4 X 3 </t>
  </si>
  <si>
    <t>CINTA AISLANTE ECONOMICA CELLUX</t>
  </si>
  <si>
    <t xml:space="preserve">TORNILLO HEXAGONAL NEGRO G5 R.O 5/8 X 5 </t>
  </si>
  <si>
    <t xml:space="preserve">BOQUILLA GPN No. 00-0-1-2-3-4 #1 VICTOR </t>
  </si>
  <si>
    <t>CINTA SCOTCH SUPER 33+ 3/4 X 20 MTS CINTA AISLANTE 3M</t>
  </si>
  <si>
    <t xml:space="preserve">WA KILO SOLDADURA ESAB TUBULAR PROSTAR </t>
  </si>
  <si>
    <t xml:space="preserve">TUBO CO2  </t>
  </si>
  <si>
    <t xml:space="preserve">FLEXOMETRO 5 MTS UNIQFLEX </t>
  </si>
  <si>
    <t xml:space="preserve">TIZA INDISTRIAL   </t>
  </si>
  <si>
    <t xml:space="preserve">CHAZO EXPANSIVO METALICO 1/2*4  </t>
  </si>
  <si>
    <t>TUBO SILICONA ROJA 310 ML SOUDAL</t>
  </si>
  <si>
    <t xml:space="preserve">TORNILLO HEXAGONAL NEGRO G5 R.O 3/8 X 2 </t>
  </si>
  <si>
    <t xml:space="preserve">TUERCA HEXAGONAL SEGURIDAD G5 R.O 3/8 </t>
  </si>
  <si>
    <t xml:space="preserve">ARANDELA ZINCADA 3/8  </t>
  </si>
  <si>
    <t>GRATA DE COPA 4"</t>
  </si>
  <si>
    <t xml:space="preserve">GRILLETE T.P 1" </t>
  </si>
  <si>
    <t>TORNILLO HEXAGONAL NEGRO G5 R.O 1/2 X 1 1/2</t>
  </si>
  <si>
    <t>TORNILLO HEXAGONAL NEGRO G5 R.O 3/4 X 2</t>
  </si>
  <si>
    <t xml:space="preserve">TUERCA HEXAGONAL SEGURIDAD R.O 3/4 </t>
  </si>
  <si>
    <t xml:space="preserve">ARANDELA ZINCADA 3/4  </t>
  </si>
  <si>
    <t xml:space="preserve">WA KILO DE SOLDADURA WEST ARCO 6010 EN 1/8 </t>
  </si>
  <si>
    <t>TUERCA HEXAGONAL NEGRA NORMAL G5 R.O 1/2</t>
  </si>
  <si>
    <t xml:space="preserve">ARANDELA ZINCADA 1/2  </t>
  </si>
  <si>
    <t>TORNILLO HEXAGONAL NEGRO G5 R.O 1/2 X 2</t>
  </si>
  <si>
    <t>TUERCA HEXAGONAL DE SEGURIDAD R.O 1/2</t>
  </si>
  <si>
    <t>TORNILLO 3/4 X 10</t>
  </si>
  <si>
    <t>PINTURA ESMALTE COLOR VERDE PRIMAVERAL MULTITONOS</t>
  </si>
  <si>
    <t>Mampostería Tolva Carbón</t>
  </si>
  <si>
    <t>Cemento para Tolva Carbón</t>
  </si>
  <si>
    <t>Acero 3/8" x 6m Cuneta desagüe</t>
  </si>
  <si>
    <t>Acero 1/2" x 6m Cuneta desagüe</t>
  </si>
  <si>
    <t>Cemento cuneta de desagüe</t>
  </si>
  <si>
    <t>Acero 3/8" x 6m placa</t>
  </si>
  <si>
    <t>Cemento placa</t>
  </si>
  <si>
    <t>Mampostería Placa</t>
  </si>
  <si>
    <t>Mampostería Tanques</t>
  </si>
  <si>
    <t>Barra corrugada 3/8" x 6m tolva carbón</t>
  </si>
  <si>
    <t>Barra corrugada 1/2" x 6m tolva carbón</t>
  </si>
  <si>
    <t>Barra corrugada 5/8" x 6m tolva carbón</t>
  </si>
  <si>
    <t>Barra corrugada 3/4" x 6m tolva carbón</t>
  </si>
  <si>
    <t>Horas retroexcavadora Tolva</t>
  </si>
  <si>
    <t>PAPEL VINIPEL 50cm x 400m</t>
  </si>
  <si>
    <t>Servcio retroexcavadora Tolva</t>
  </si>
  <si>
    <t>BROCA 5/16 PARA MURO</t>
  </si>
  <si>
    <t>CLAVIJA TRIFASICA</t>
  </si>
  <si>
    <t xml:space="preserve">ACOPLE RAPIDO PARTE A y B 1 1/2   </t>
  </si>
  <si>
    <t>El propósito del proyecto es lavar carbón con el fin de mejorar las propiedades químicas y fisicas del producto para obtener una mejor calidad en la producción de coque.</t>
  </si>
  <si>
    <t>Cemento placa salida decater</t>
  </si>
  <si>
    <t>Barra corrugada 3/8" x 6m placa</t>
  </si>
  <si>
    <t>Arena tolva de carbón</t>
  </si>
  <si>
    <t>Gravilla tolva de carbón</t>
  </si>
  <si>
    <t>Arena cuneta de desagüe</t>
  </si>
  <si>
    <t>Gravilla cuneta de desagüe</t>
  </si>
  <si>
    <t>Arena placa</t>
  </si>
  <si>
    <t>Gravilla placa</t>
  </si>
  <si>
    <r>
      <t>Angulo de 1</t>
    </r>
    <r>
      <rPr>
        <vertAlign val="superscript"/>
        <sz val="11"/>
        <rFont val="Calibri"/>
        <family val="2"/>
        <scheme val="minor"/>
      </rPr>
      <t>1/2"</t>
    </r>
    <r>
      <rPr>
        <sz val="11"/>
        <rFont val="Calibri"/>
        <family val="2"/>
        <scheme val="minor"/>
      </rPr>
      <t>x 1/4" x 6m</t>
    </r>
  </si>
  <si>
    <r>
      <t>Platina 1</t>
    </r>
    <r>
      <rPr>
        <vertAlign val="superscript"/>
        <sz val="11"/>
        <rFont val="Calibri"/>
        <family val="2"/>
        <scheme val="minor"/>
      </rPr>
      <t>1/2"</t>
    </r>
    <r>
      <rPr>
        <sz val="11"/>
        <rFont val="Calibri"/>
        <family val="2"/>
        <scheme val="minor"/>
      </rPr>
      <t xml:space="preserve"> x 1/4" x 6m</t>
    </r>
  </si>
  <si>
    <r>
      <t>Angulo 1</t>
    </r>
    <r>
      <rPr>
        <vertAlign val="superscript"/>
        <sz val="11"/>
        <rFont val="Calibri"/>
        <family val="2"/>
        <scheme val="minor"/>
      </rPr>
      <t>1/2"</t>
    </r>
    <r>
      <rPr>
        <sz val="11"/>
        <rFont val="Calibri"/>
        <family val="2"/>
        <scheme val="minor"/>
      </rPr>
      <t xml:space="preserve"> x 1/8" x 6m</t>
    </r>
  </si>
  <si>
    <r>
      <t>Platina 2</t>
    </r>
    <r>
      <rPr>
        <vertAlign val="superscript"/>
        <sz val="11"/>
        <rFont val="Calibri"/>
        <family val="2"/>
        <scheme val="minor"/>
      </rPr>
      <t>1/2"</t>
    </r>
    <r>
      <rPr>
        <sz val="11"/>
        <rFont val="Calibri"/>
        <family val="2"/>
        <scheme val="minor"/>
      </rPr>
      <t xml:space="preserve"> x 3/8" x 6m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</si>
</sst>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164" formatCode="_-&quot;$&quot;* #,##0.00_-;\-&quot;$&quot;* #,##0.00_-;_-&quot;$&quot;* &quot;-&quot;??_-;_-@_-"/>
    <numFmt numFmtId="165" formatCode="0.0"/>
    <numFmt numFmtId="166" formatCode="0.000"/>
    <numFmt numFmtId="167" formatCode="0.00000"/>
    <numFmt numFmtId="168" formatCode="_-&quot;$&quot;* #,##0_-;\-&quot;$&quot;* #,##0_-;_-&quot;$&quot;* &quot;-&quot;??_-;_-@_-"/>
    <numFmt numFmtId="169" formatCode="_-&quot;$&quot;\ * #,##0_-;\-&quot;$&quot;\ * #,##0_-;_-&quot;$&quot;\ * &quot;-&quot;??_-;_-@_-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vertAlign val="superscript"/>
      <sz val="11"/>
      <color theme="1"/>
      <name val="Calibri"/>
      <family val="2"/>
      <scheme val="minor"/>
    </font>
    <font>
      <sz val="11"/>
      <color theme="1"/>
      <name val="Yu Gothic U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7" fillId="0" borderId="0" applyFont="0" applyFill="0" applyBorder="0" applyAlignment="0" applyProtection="0"/>
    <xf numFmtId="42" fontId="7" fillId="0" borderId="0" applyFont="0" applyFill="0" applyBorder="0" applyAlignment="0" applyProtection="0"/>
  </cellStyleXfs>
  <cellXfs count="223">
    <xf numFmtId="0" fontId="0" fillId="0" borderId="0" xfId="0"/>
    <xf numFmtId="0" fontId="0" fillId="0" borderId="7" xfId="0" applyFill="1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0" xfId="0" applyNumberFormat="1"/>
    <xf numFmtId="14" fontId="0" fillId="0" borderId="7" xfId="0" applyNumberForma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4" fontId="0" fillId="0" borderId="7" xfId="0" applyNumberForma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65" fontId="1" fillId="0" borderId="7" xfId="0" applyNumberFormat="1" applyFont="1" applyFill="1" applyBorder="1" applyAlignment="1">
      <alignment horizontal="center" vertical="center"/>
    </xf>
    <xf numFmtId="14" fontId="0" fillId="0" borderId="7" xfId="0" applyNumberFormat="1" applyFill="1" applyBorder="1" applyAlignment="1">
      <alignment horizontal="center"/>
    </xf>
    <xf numFmtId="2" fontId="1" fillId="0" borderId="7" xfId="0" applyNumberFormat="1" applyFont="1" applyFill="1" applyBorder="1" applyAlignment="1">
      <alignment horizontal="center" vertical="center"/>
    </xf>
    <xf numFmtId="2" fontId="0" fillId="0" borderId="7" xfId="0" applyNumberFormat="1" applyFont="1" applyFill="1" applyBorder="1" applyAlignment="1">
      <alignment horizontal="center" vertical="center"/>
    </xf>
    <xf numFmtId="166" fontId="0" fillId="0" borderId="7" xfId="0" applyNumberFormat="1" applyFon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167" fontId="0" fillId="0" borderId="7" xfId="0" applyNumberFormat="1" applyFont="1" applyFill="1" applyBorder="1" applyAlignment="1">
      <alignment horizontal="center" vertical="center"/>
    </xf>
    <xf numFmtId="166" fontId="0" fillId="0" borderId="7" xfId="0" applyNumberForma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Fill="1"/>
    <xf numFmtId="166" fontId="0" fillId="0" borderId="0" xfId="0" applyNumberFormat="1" applyFill="1"/>
    <xf numFmtId="2" fontId="0" fillId="0" borderId="7" xfId="0" applyNumberFormat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2" fontId="0" fillId="0" borderId="7" xfId="0" applyNumberFormat="1" applyBorder="1" applyAlignment="1">
      <alignment horizontal="center"/>
    </xf>
    <xf numFmtId="166" fontId="0" fillId="0" borderId="0" xfId="0" applyNumberFormat="1"/>
    <xf numFmtId="168" fontId="0" fillId="0" borderId="7" xfId="1" applyNumberFormat="1" applyFont="1" applyBorder="1" applyAlignment="1">
      <alignment horizontal="center" vertical="center"/>
    </xf>
    <xf numFmtId="2" fontId="1" fillId="0" borderId="16" xfId="0" applyNumberFormat="1" applyFont="1" applyFill="1" applyBorder="1" applyAlignment="1">
      <alignment horizontal="center" vertical="center"/>
    </xf>
    <xf numFmtId="0" fontId="9" fillId="2" borderId="0" xfId="0" applyFont="1" applyFill="1"/>
    <xf numFmtId="0" fontId="9" fillId="0" borderId="0" xfId="0" applyFont="1"/>
    <xf numFmtId="0" fontId="9" fillId="2" borderId="1" xfId="0" applyFont="1" applyFill="1" applyBorder="1"/>
    <xf numFmtId="0" fontId="9" fillId="2" borderId="2" xfId="0" applyFont="1" applyFill="1" applyBorder="1"/>
    <xf numFmtId="0" fontId="9" fillId="2" borderId="3" xfId="0" applyFont="1" applyFill="1" applyBorder="1"/>
    <xf numFmtId="0" fontId="9" fillId="2" borderId="20" xfId="0" applyFont="1" applyFill="1" applyBorder="1"/>
    <xf numFmtId="0" fontId="9" fillId="2" borderId="0" xfId="0" applyFont="1" applyFill="1" applyBorder="1"/>
    <xf numFmtId="0" fontId="9" fillId="2" borderId="21" xfId="0" applyFont="1" applyFill="1" applyBorder="1"/>
    <xf numFmtId="0" fontId="9" fillId="2" borderId="4" xfId="0" applyFont="1" applyFill="1" applyBorder="1"/>
    <xf numFmtId="0" fontId="9" fillId="2" borderId="5" xfId="0" applyFont="1" applyFill="1" applyBorder="1"/>
    <xf numFmtId="0" fontId="9" fillId="2" borderId="6" xfId="0" applyFont="1" applyFill="1" applyBorder="1"/>
    <xf numFmtId="15" fontId="9" fillId="0" borderId="0" xfId="0" applyNumberFormat="1" applyFont="1"/>
    <xf numFmtId="0" fontId="3" fillId="2" borderId="1" xfId="0" applyFont="1" applyFill="1" applyBorder="1"/>
    <xf numFmtId="0" fontId="13" fillId="2" borderId="27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164" fontId="9" fillId="2" borderId="11" xfId="1" applyFont="1" applyFill="1" applyBorder="1" applyAlignment="1">
      <alignment horizontal="center" vertical="center"/>
    </xf>
    <xf numFmtId="164" fontId="9" fillId="2" borderId="22" xfId="1" applyFont="1" applyFill="1" applyBorder="1" applyAlignment="1">
      <alignment horizontal="center" vertical="center"/>
    </xf>
    <xf numFmtId="164" fontId="9" fillId="2" borderId="31" xfId="1" applyFont="1" applyFill="1" applyBorder="1" applyAlignment="1">
      <alignment horizontal="center" vertical="center"/>
    </xf>
    <xf numFmtId="164" fontId="9" fillId="2" borderId="32" xfId="1" applyFont="1" applyFill="1" applyBorder="1" applyAlignment="1">
      <alignment horizontal="center" vertical="center"/>
    </xf>
    <xf numFmtId="164" fontId="14" fillId="2" borderId="23" xfId="1" applyFont="1" applyFill="1" applyBorder="1" applyAlignment="1">
      <alignment horizontal="center" vertical="center"/>
    </xf>
    <xf numFmtId="164" fontId="14" fillId="2" borderId="24" xfId="1" applyFont="1" applyFill="1" applyBorder="1" applyAlignment="1">
      <alignment horizontal="center" vertical="center"/>
    </xf>
    <xf numFmtId="169" fontId="0" fillId="0" borderId="0" xfId="1" applyNumberFormat="1" applyFont="1"/>
    <xf numFmtId="0" fontId="0" fillId="0" borderId="0" xfId="0" applyBorder="1"/>
    <xf numFmtId="0" fontId="0" fillId="0" borderId="0" xfId="0" applyFill="1" applyBorder="1"/>
    <xf numFmtId="169" fontId="0" fillId="0" borderId="0" xfId="1" applyNumberFormat="1" applyFont="1" applyBorder="1"/>
    <xf numFmtId="0" fontId="17" fillId="0" borderId="0" xfId="0" applyFont="1" applyFill="1" applyBorder="1" applyAlignment="1"/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/>
    </xf>
    <xf numFmtId="14" fontId="0" fillId="0" borderId="13" xfId="0" applyNumberForma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165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/>
    </xf>
    <xf numFmtId="0" fontId="0" fillId="0" borderId="18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14" fontId="0" fillId="0" borderId="18" xfId="0" applyNumberFormat="1" applyFill="1" applyBorder="1" applyAlignment="1">
      <alignment horizontal="center" vertical="center"/>
    </xf>
    <xf numFmtId="2" fontId="0" fillId="0" borderId="18" xfId="0" applyNumberFormat="1" applyFont="1" applyFill="1" applyBorder="1" applyAlignment="1">
      <alignment horizontal="center" vertical="center"/>
    </xf>
    <xf numFmtId="2" fontId="1" fillId="0" borderId="18" xfId="0" applyNumberFormat="1" applyFon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1" fillId="0" borderId="19" xfId="0" applyNumberFormat="1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8" fontId="0" fillId="0" borderId="7" xfId="1" applyNumberFormat="1" applyFont="1" applyBorder="1"/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169" fontId="0" fillId="0" borderId="7" xfId="0" applyNumberFormat="1" applyFont="1" applyBorder="1"/>
    <xf numFmtId="164" fontId="0" fillId="0" borderId="7" xfId="0" applyNumberFormat="1" applyFont="1" applyBorder="1"/>
    <xf numFmtId="0" fontId="0" fillId="0" borderId="15" xfId="0" applyFont="1" applyBorder="1"/>
    <xf numFmtId="164" fontId="0" fillId="0" borderId="16" xfId="0" applyNumberFormat="1" applyFont="1" applyBorder="1"/>
    <xf numFmtId="0" fontId="0" fillId="0" borderId="18" xfId="0" applyFont="1" applyBorder="1" applyAlignment="1">
      <alignment horizontal="center" vertical="center"/>
    </xf>
    <xf numFmtId="169" fontId="0" fillId="0" borderId="18" xfId="0" applyNumberFormat="1" applyFont="1" applyBorder="1"/>
    <xf numFmtId="164" fontId="0" fillId="0" borderId="18" xfId="0" applyNumberFormat="1" applyFont="1" applyBorder="1"/>
    <xf numFmtId="164" fontId="0" fillId="0" borderId="19" xfId="0" applyNumberFormat="1" applyFont="1" applyBorder="1"/>
    <xf numFmtId="1" fontId="0" fillId="0" borderId="7" xfId="0" applyNumberFormat="1" applyBorder="1" applyAlignment="1">
      <alignment horizontal="center" vertical="center"/>
    </xf>
    <xf numFmtId="42" fontId="0" fillId="0" borderId="7" xfId="2" applyFont="1" applyBorder="1"/>
    <xf numFmtId="168" fontId="0" fillId="0" borderId="0" xfId="0" applyNumberFormat="1"/>
    <xf numFmtId="168" fontId="0" fillId="0" borderId="0" xfId="1" applyNumberFormat="1" applyFont="1" applyFill="1" applyBorder="1" applyAlignment="1">
      <alignment horizontal="center" vertical="center"/>
    </xf>
    <xf numFmtId="168" fontId="0" fillId="0" borderId="40" xfId="0" applyNumberFormat="1" applyBorder="1"/>
    <xf numFmtId="166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8" fontId="0" fillId="0" borderId="13" xfId="1" applyNumberFormat="1" applyFont="1" applyBorder="1" applyAlignment="1">
      <alignment horizontal="center" vertical="center"/>
    </xf>
    <xf numFmtId="168" fontId="0" fillId="0" borderId="13" xfId="1" applyNumberFormat="1" applyFont="1" applyBorder="1"/>
    <xf numFmtId="168" fontId="0" fillId="0" borderId="14" xfId="1" applyNumberFormat="1" applyFont="1" applyBorder="1"/>
    <xf numFmtId="168" fontId="0" fillId="0" borderId="16" xfId="1" applyNumberFormat="1" applyFont="1" applyBorder="1"/>
    <xf numFmtId="0" fontId="0" fillId="0" borderId="17" xfId="0" applyFill="1" applyBorder="1" applyAlignment="1">
      <alignment horizontal="center" vertical="center"/>
    </xf>
    <xf numFmtId="2" fontId="0" fillId="0" borderId="18" xfId="0" applyNumberFormat="1" applyBorder="1" applyAlignment="1">
      <alignment horizontal="center"/>
    </xf>
    <xf numFmtId="0" fontId="0" fillId="0" borderId="18" xfId="0" applyBorder="1" applyAlignment="1">
      <alignment horizontal="center" vertical="center"/>
    </xf>
    <xf numFmtId="168" fontId="0" fillId="0" borderId="18" xfId="1" applyNumberFormat="1" applyFont="1" applyBorder="1" applyAlignment="1">
      <alignment horizontal="center" vertical="center"/>
    </xf>
    <xf numFmtId="168" fontId="0" fillId="0" borderId="18" xfId="1" applyNumberFormat="1" applyFont="1" applyBorder="1"/>
    <xf numFmtId="168" fontId="0" fillId="0" borderId="19" xfId="1" applyNumberFormat="1" applyFont="1" applyBorder="1"/>
    <xf numFmtId="0" fontId="9" fillId="2" borderId="20" xfId="0" applyFont="1" applyFill="1" applyBorder="1"/>
    <xf numFmtId="0" fontId="9" fillId="2" borderId="30" xfId="0" applyFont="1" applyFill="1" applyBorder="1"/>
    <xf numFmtId="0" fontId="14" fillId="2" borderId="25" xfId="0" applyFont="1" applyFill="1" applyBorder="1" applyAlignment="1">
      <alignment horizontal="center"/>
    </xf>
    <xf numFmtId="0" fontId="14" fillId="2" borderId="27" xfId="0" applyFont="1" applyFill="1" applyBorder="1" applyAlignment="1">
      <alignment horizontal="center"/>
    </xf>
    <xf numFmtId="0" fontId="3" fillId="2" borderId="20" xfId="0" applyFont="1" applyFill="1" applyBorder="1" applyAlignment="1"/>
    <xf numFmtId="0" fontId="3" fillId="2" borderId="21" xfId="0" applyFont="1" applyFill="1" applyBorder="1" applyAlignment="1"/>
    <xf numFmtId="14" fontId="9" fillId="2" borderId="0" xfId="0" applyNumberFormat="1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9" fillId="2" borderId="21" xfId="0" applyFont="1" applyFill="1" applyBorder="1" applyAlignment="1">
      <alignment horizontal="left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9" fillId="2" borderId="28" xfId="0" applyFont="1" applyFill="1" applyBorder="1"/>
    <xf numFmtId="0" fontId="9" fillId="2" borderId="29" xfId="0" applyFont="1" applyFill="1" applyBorder="1"/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2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2" borderId="2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0" xfId="0" applyFont="1" applyFill="1" applyBorder="1"/>
    <xf numFmtId="0" fontId="9" fillId="2" borderId="21" xfId="0" applyFont="1" applyFill="1" applyBorder="1"/>
    <xf numFmtId="0" fontId="9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0" fillId="0" borderId="7" xfId="0" applyFill="1" applyBorder="1" applyAlignment="1">
      <alignment vertical="center"/>
    </xf>
    <xf numFmtId="0" fontId="18" fillId="0" borderId="7" xfId="0" applyFont="1" applyFill="1" applyBorder="1" applyAlignment="1">
      <alignment vertical="center"/>
    </xf>
    <xf numFmtId="0" fontId="0" fillId="0" borderId="7" xfId="0" applyFill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18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 applyAlignment="1"/>
    <xf numFmtId="0" fontId="0" fillId="0" borderId="7" xfId="0" applyFill="1" applyBorder="1" applyAlignment="1">
      <alignment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/>
    <xf numFmtId="0" fontId="17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15" fillId="0" borderId="1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7" fillId="0" borderId="25" xfId="0" applyFont="1" applyFill="1" applyBorder="1" applyAlignment="1">
      <alignment horizontal="center"/>
    </xf>
    <xf numFmtId="0" fontId="17" fillId="0" borderId="39" xfId="0" applyFont="1" applyFill="1" applyBorder="1" applyAlignment="1">
      <alignment horizontal="center"/>
    </xf>
    <xf numFmtId="0" fontId="17" fillId="0" borderId="26" xfId="0" applyFont="1" applyFill="1" applyBorder="1" applyAlignment="1">
      <alignment horizontal="center"/>
    </xf>
    <xf numFmtId="0" fontId="18" fillId="0" borderId="0" xfId="0" applyFont="1"/>
    <xf numFmtId="0" fontId="19" fillId="0" borderId="13" xfId="0" applyFont="1" applyBorder="1" applyAlignment="1">
      <alignment horizontal="center" vertical="center"/>
    </xf>
    <xf numFmtId="0" fontId="18" fillId="0" borderId="7" xfId="0" applyFont="1" applyBorder="1"/>
    <xf numFmtId="0" fontId="18" fillId="0" borderId="7" xfId="0" applyNumberFormat="1" applyFont="1" applyBorder="1"/>
    <xf numFmtId="0" fontId="18" fillId="0" borderId="18" xfId="0" applyNumberFormat="1" applyFont="1" applyBorder="1"/>
    <xf numFmtId="0" fontId="18" fillId="0" borderId="0" xfId="0" applyFont="1" applyFill="1"/>
    <xf numFmtId="0" fontId="18" fillId="0" borderId="7" xfId="0" applyFont="1" applyBorder="1" applyAlignment="1"/>
    <xf numFmtId="0" fontId="18" fillId="0" borderId="7" xfId="0" applyFont="1" applyBorder="1" applyAlignment="1">
      <alignment vertical="center"/>
    </xf>
    <xf numFmtId="0" fontId="18" fillId="0" borderId="7" xfId="0" applyFont="1" applyBorder="1" applyAlignment="1">
      <alignment horizontal="left" vertical="center"/>
    </xf>
    <xf numFmtId="0" fontId="18" fillId="0" borderId="7" xfId="0" applyFont="1" applyBorder="1" applyAlignment="1">
      <alignment vertical="center" wrapText="1"/>
    </xf>
    <xf numFmtId="0" fontId="18" fillId="0" borderId="7" xfId="0" applyFont="1" applyFill="1" applyBorder="1" applyAlignment="1">
      <alignment horizontal="left" vertical="center"/>
    </xf>
    <xf numFmtId="0" fontId="18" fillId="0" borderId="7" xfId="0" applyFont="1" applyBorder="1" applyAlignment="1">
      <alignment horizontal="left"/>
    </xf>
    <xf numFmtId="169" fontId="0" fillId="0" borderId="40" xfId="0" applyNumberFormat="1" applyBorder="1"/>
    <xf numFmtId="0" fontId="0" fillId="0" borderId="17" xfId="0" applyFont="1" applyBorder="1"/>
    <xf numFmtId="0" fontId="18" fillId="0" borderId="18" xfId="0" applyFont="1" applyBorder="1" applyAlignment="1">
      <alignment vertical="center"/>
    </xf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</xdr:row>
      <xdr:rowOff>47624</xdr:rowOff>
    </xdr:from>
    <xdr:to>
      <xdr:col>3</xdr:col>
      <xdr:colOff>704850</xdr:colOff>
      <xdr:row>5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8CD9AE-2269-4184-B623-16156C686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80974"/>
          <a:ext cx="2305050" cy="914401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285751</xdr:colOff>
      <xdr:row>9</xdr:row>
      <xdr:rowOff>133350</xdr:rowOff>
    </xdr:from>
    <xdr:to>
      <xdr:col>9</xdr:col>
      <xdr:colOff>545410</xdr:colOff>
      <xdr:row>29</xdr:row>
      <xdr:rowOff>190500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6E0C08C-28EF-4339-B13B-C24B02A2CF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15" b="38542"/>
        <a:stretch/>
      </xdr:blipFill>
      <xdr:spPr>
        <a:xfrm>
          <a:off x="428626" y="1847850"/>
          <a:ext cx="8174934" cy="3886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</xdr:row>
      <xdr:rowOff>47624</xdr:rowOff>
    </xdr:from>
    <xdr:to>
      <xdr:col>3</xdr:col>
      <xdr:colOff>523875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691379-A5B7-4555-ACC5-2B7220F7F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47649"/>
          <a:ext cx="2486025" cy="99060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"/>
  <sheetViews>
    <sheetView topLeftCell="A40" workbookViewId="0">
      <selection activeCell="H48" sqref="H48"/>
    </sheetView>
  </sheetViews>
  <sheetFormatPr baseColWidth="10" defaultRowHeight="14.25" x14ac:dyDescent="0.2"/>
  <cols>
    <col min="1" max="1" width="2.140625" style="31" customWidth="1"/>
    <col min="2" max="2" width="11.42578125" style="31"/>
    <col min="3" max="3" width="13.5703125" style="31" customWidth="1"/>
    <col min="4" max="4" width="12.140625" style="31" bestFit="1" customWidth="1"/>
    <col min="5" max="5" width="15.5703125" style="31" bestFit="1" customWidth="1"/>
    <col min="6" max="6" width="18.5703125" style="31" bestFit="1" customWidth="1"/>
    <col min="7" max="7" width="17.42578125" style="31" bestFit="1" customWidth="1"/>
    <col min="8" max="8" width="18.5703125" style="31" bestFit="1" customWidth="1"/>
    <col min="9" max="10" width="11.42578125" style="31"/>
    <col min="11" max="11" width="4" style="31" customWidth="1"/>
    <col min="12" max="16384" width="11.42578125" style="31"/>
  </cols>
  <sheetData>
    <row r="1" spans="1:10" ht="10.5" customHeight="1" thickBot="1" x14ac:dyDescent="0.25">
      <c r="A1" s="30"/>
      <c r="B1" s="30"/>
      <c r="C1" s="30"/>
      <c r="D1" s="30"/>
      <c r="E1" s="30"/>
      <c r="F1" s="30"/>
      <c r="G1" s="30"/>
      <c r="H1" s="30"/>
      <c r="I1" s="30"/>
      <c r="J1" s="30"/>
    </row>
    <row r="2" spans="1:10" x14ac:dyDescent="0.2">
      <c r="A2" s="30"/>
      <c r="B2" s="32"/>
      <c r="C2" s="33"/>
      <c r="D2" s="34"/>
      <c r="E2" s="33"/>
      <c r="F2" s="33"/>
      <c r="G2" s="33"/>
      <c r="H2" s="33"/>
      <c r="I2" s="33"/>
      <c r="J2" s="34"/>
    </row>
    <row r="3" spans="1:10" ht="18" x14ac:dyDescent="0.2">
      <c r="A3" s="30"/>
      <c r="B3" s="35"/>
      <c r="C3" s="36"/>
      <c r="D3" s="37"/>
      <c r="E3" s="149" t="s">
        <v>253</v>
      </c>
      <c r="F3" s="149"/>
      <c r="G3" s="149"/>
      <c r="H3" s="149"/>
      <c r="I3" s="149"/>
      <c r="J3" s="150"/>
    </row>
    <row r="4" spans="1:10" ht="18" x14ac:dyDescent="0.2">
      <c r="A4" s="30"/>
      <c r="B4" s="35"/>
      <c r="C4" s="36"/>
      <c r="D4" s="37"/>
      <c r="E4" s="149" t="s">
        <v>254</v>
      </c>
      <c r="F4" s="149"/>
      <c r="G4" s="149"/>
      <c r="H4" s="149"/>
      <c r="I4" s="149"/>
      <c r="J4" s="150"/>
    </row>
    <row r="5" spans="1:10" x14ac:dyDescent="0.2">
      <c r="A5" s="30"/>
      <c r="B5" s="35"/>
      <c r="C5" s="36"/>
      <c r="D5" s="37"/>
      <c r="E5" s="151" t="s">
        <v>255</v>
      </c>
      <c r="F5" s="151"/>
      <c r="G5" s="151"/>
      <c r="H5" s="151"/>
      <c r="I5" s="151"/>
      <c r="J5" s="152"/>
    </row>
    <row r="6" spans="1:10" ht="15" thickBot="1" x14ac:dyDescent="0.25">
      <c r="A6" s="30"/>
      <c r="B6" s="38"/>
      <c r="C6" s="39"/>
      <c r="D6" s="40"/>
      <c r="E6" s="39"/>
      <c r="F6" s="39"/>
      <c r="G6" s="39"/>
      <c r="H6" s="39"/>
      <c r="I6" s="39"/>
      <c r="J6" s="40"/>
    </row>
    <row r="7" spans="1:10" ht="15" customHeight="1" thickBot="1" x14ac:dyDescent="0.25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0" x14ac:dyDescent="0.2">
      <c r="A8" s="30"/>
      <c r="B8" s="153" t="s">
        <v>256</v>
      </c>
      <c r="C8" s="154"/>
      <c r="D8" s="157" t="s">
        <v>276</v>
      </c>
      <c r="E8" s="158"/>
      <c r="F8" s="158"/>
      <c r="G8" s="158"/>
      <c r="H8" s="158"/>
      <c r="I8" s="158"/>
      <c r="J8" s="159"/>
    </row>
    <row r="9" spans="1:10" ht="15.75" customHeight="1" thickBot="1" x14ac:dyDescent="0.25">
      <c r="A9" s="30"/>
      <c r="B9" s="155"/>
      <c r="C9" s="156"/>
      <c r="D9" s="160"/>
      <c r="E9" s="161"/>
      <c r="F9" s="161"/>
      <c r="G9" s="161"/>
      <c r="H9" s="161"/>
      <c r="I9" s="161"/>
      <c r="J9" s="162"/>
    </row>
    <row r="10" spans="1:10" x14ac:dyDescent="0.2">
      <c r="A10" s="30"/>
      <c r="B10" s="140"/>
      <c r="C10" s="141"/>
      <c r="D10" s="141"/>
      <c r="E10" s="141"/>
      <c r="F10" s="141"/>
      <c r="G10" s="141"/>
      <c r="H10" s="141"/>
      <c r="I10" s="141"/>
      <c r="J10" s="142"/>
    </row>
    <row r="11" spans="1:10" ht="15.75" customHeight="1" x14ac:dyDescent="0.2">
      <c r="A11" s="30"/>
      <c r="B11" s="143"/>
      <c r="C11" s="144"/>
      <c r="D11" s="144"/>
      <c r="E11" s="144"/>
      <c r="F11" s="144"/>
      <c r="G11" s="144"/>
      <c r="H11" s="144"/>
      <c r="I11" s="144"/>
      <c r="J11" s="145"/>
    </row>
    <row r="12" spans="1:10" ht="15.75" customHeight="1" x14ac:dyDescent="0.2">
      <c r="A12" s="30"/>
      <c r="B12" s="143"/>
      <c r="C12" s="144"/>
      <c r="D12" s="144"/>
      <c r="E12" s="144"/>
      <c r="F12" s="144"/>
      <c r="G12" s="144"/>
      <c r="H12" s="144"/>
      <c r="I12" s="144"/>
      <c r="J12" s="145"/>
    </row>
    <row r="13" spans="1:10" ht="15.75" customHeight="1" x14ac:dyDescent="0.2">
      <c r="A13" s="30"/>
      <c r="B13" s="143"/>
      <c r="C13" s="144"/>
      <c r="D13" s="144"/>
      <c r="E13" s="144"/>
      <c r="F13" s="144"/>
      <c r="G13" s="144"/>
      <c r="H13" s="144"/>
      <c r="I13" s="144"/>
      <c r="J13" s="145"/>
    </row>
    <row r="14" spans="1:10" ht="15.75" customHeight="1" x14ac:dyDescent="0.2">
      <c r="A14" s="30"/>
      <c r="B14" s="143"/>
      <c r="C14" s="144"/>
      <c r="D14" s="144"/>
      <c r="E14" s="144"/>
      <c r="F14" s="144"/>
      <c r="G14" s="144"/>
      <c r="H14" s="144"/>
      <c r="I14" s="144"/>
      <c r="J14" s="145"/>
    </row>
    <row r="15" spans="1:10" ht="15.75" customHeight="1" x14ac:dyDescent="0.2">
      <c r="A15" s="30"/>
      <c r="B15" s="143"/>
      <c r="C15" s="144"/>
      <c r="D15" s="144"/>
      <c r="E15" s="144"/>
      <c r="F15" s="144"/>
      <c r="G15" s="144"/>
      <c r="H15" s="144"/>
      <c r="I15" s="144"/>
      <c r="J15" s="145"/>
    </row>
    <row r="16" spans="1:10" ht="15.75" customHeight="1" x14ac:dyDescent="0.2">
      <c r="A16" s="30"/>
      <c r="B16" s="143"/>
      <c r="C16" s="144"/>
      <c r="D16" s="144"/>
      <c r="E16" s="144"/>
      <c r="F16" s="144"/>
      <c r="G16" s="144"/>
      <c r="H16" s="144"/>
      <c r="I16" s="144"/>
      <c r="J16" s="145"/>
    </row>
    <row r="17" spans="1:10" ht="15.75" customHeight="1" x14ac:dyDescent="0.2">
      <c r="A17" s="30"/>
      <c r="B17" s="143"/>
      <c r="C17" s="144"/>
      <c r="D17" s="144"/>
      <c r="E17" s="144"/>
      <c r="F17" s="144"/>
      <c r="G17" s="144"/>
      <c r="H17" s="144"/>
      <c r="I17" s="144"/>
      <c r="J17" s="145"/>
    </row>
    <row r="18" spans="1:10" ht="15.75" customHeight="1" x14ac:dyDescent="0.2">
      <c r="A18" s="30"/>
      <c r="B18" s="143"/>
      <c r="C18" s="144"/>
      <c r="D18" s="144"/>
      <c r="E18" s="144"/>
      <c r="F18" s="144"/>
      <c r="G18" s="144"/>
      <c r="H18" s="144"/>
      <c r="I18" s="144"/>
      <c r="J18" s="145"/>
    </row>
    <row r="19" spans="1:10" ht="15.75" customHeight="1" x14ac:dyDescent="0.2">
      <c r="A19" s="30"/>
      <c r="B19" s="143"/>
      <c r="C19" s="144"/>
      <c r="D19" s="144"/>
      <c r="E19" s="144"/>
      <c r="F19" s="144"/>
      <c r="G19" s="144"/>
      <c r="H19" s="144"/>
      <c r="I19" s="144"/>
      <c r="J19" s="145"/>
    </row>
    <row r="20" spans="1:10" ht="15.75" customHeight="1" x14ac:dyDescent="0.2">
      <c r="A20" s="30"/>
      <c r="B20" s="143"/>
      <c r="C20" s="144"/>
      <c r="D20" s="144"/>
      <c r="E20" s="144"/>
      <c r="F20" s="144"/>
      <c r="G20" s="144"/>
      <c r="H20" s="144"/>
      <c r="I20" s="144"/>
      <c r="J20" s="145"/>
    </row>
    <row r="21" spans="1:10" ht="15.75" customHeight="1" x14ac:dyDescent="0.2">
      <c r="A21" s="30"/>
      <c r="B21" s="143"/>
      <c r="C21" s="144"/>
      <c r="D21" s="144"/>
      <c r="E21" s="144"/>
      <c r="F21" s="144"/>
      <c r="G21" s="144"/>
      <c r="H21" s="144"/>
      <c r="I21" s="144"/>
      <c r="J21" s="145"/>
    </row>
    <row r="22" spans="1:10" x14ac:dyDescent="0.2">
      <c r="A22" s="30"/>
      <c r="B22" s="143"/>
      <c r="C22" s="144"/>
      <c r="D22" s="144"/>
      <c r="E22" s="144"/>
      <c r="F22" s="144"/>
      <c r="G22" s="144"/>
      <c r="H22" s="144"/>
      <c r="I22" s="144"/>
      <c r="J22" s="145"/>
    </row>
    <row r="23" spans="1:10" x14ac:dyDescent="0.2">
      <c r="A23" s="30"/>
      <c r="B23" s="143"/>
      <c r="C23" s="144"/>
      <c r="D23" s="144"/>
      <c r="E23" s="144"/>
      <c r="F23" s="144"/>
      <c r="G23" s="144"/>
      <c r="H23" s="144"/>
      <c r="I23" s="144"/>
      <c r="J23" s="145"/>
    </row>
    <row r="24" spans="1:10" x14ac:dyDescent="0.2">
      <c r="A24" s="30"/>
      <c r="B24" s="143"/>
      <c r="C24" s="144"/>
      <c r="D24" s="144"/>
      <c r="E24" s="144"/>
      <c r="F24" s="144"/>
      <c r="G24" s="144"/>
      <c r="H24" s="144"/>
      <c r="I24" s="144"/>
      <c r="J24" s="145"/>
    </row>
    <row r="25" spans="1:10" x14ac:dyDescent="0.2">
      <c r="A25" s="30"/>
      <c r="B25" s="143"/>
      <c r="C25" s="144"/>
      <c r="D25" s="144"/>
      <c r="E25" s="144"/>
      <c r="F25" s="144"/>
      <c r="G25" s="144"/>
      <c r="H25" s="144"/>
      <c r="I25" s="144"/>
      <c r="J25" s="145"/>
    </row>
    <row r="26" spans="1:10" x14ac:dyDescent="0.2">
      <c r="A26" s="30"/>
      <c r="B26" s="143"/>
      <c r="C26" s="144"/>
      <c r="D26" s="144"/>
      <c r="E26" s="144"/>
      <c r="F26" s="144"/>
      <c r="G26" s="144"/>
      <c r="H26" s="144"/>
      <c r="I26" s="144"/>
      <c r="J26" s="145"/>
    </row>
    <row r="27" spans="1:10" x14ac:dyDescent="0.2">
      <c r="A27" s="30"/>
      <c r="B27" s="143"/>
      <c r="C27" s="144"/>
      <c r="D27" s="144"/>
      <c r="E27" s="144"/>
      <c r="F27" s="144"/>
      <c r="G27" s="144"/>
      <c r="H27" s="144"/>
      <c r="I27" s="144"/>
      <c r="J27" s="145"/>
    </row>
    <row r="28" spans="1:10" x14ac:dyDescent="0.2">
      <c r="A28" s="30"/>
      <c r="B28" s="143"/>
      <c r="C28" s="144"/>
      <c r="D28" s="144"/>
      <c r="E28" s="144"/>
      <c r="F28" s="144"/>
      <c r="G28" s="144"/>
      <c r="H28" s="144"/>
      <c r="I28" s="144"/>
      <c r="J28" s="145"/>
    </row>
    <row r="29" spans="1:10" x14ac:dyDescent="0.2">
      <c r="A29" s="30"/>
      <c r="B29" s="143"/>
      <c r="C29" s="144"/>
      <c r="D29" s="144"/>
      <c r="E29" s="144"/>
      <c r="F29" s="144"/>
      <c r="G29" s="144"/>
      <c r="H29" s="144"/>
      <c r="I29" s="144"/>
      <c r="J29" s="145"/>
    </row>
    <row r="30" spans="1:10" ht="26.25" customHeight="1" thickBot="1" x14ac:dyDescent="0.25">
      <c r="A30" s="30"/>
      <c r="B30" s="146"/>
      <c r="C30" s="147"/>
      <c r="D30" s="147"/>
      <c r="E30" s="147"/>
      <c r="F30" s="147"/>
      <c r="G30" s="147"/>
      <c r="H30" s="147"/>
      <c r="I30" s="147"/>
      <c r="J30" s="148"/>
    </row>
    <row r="31" spans="1:10" ht="15.75" customHeight="1" x14ac:dyDescent="0.2">
      <c r="A31" s="30"/>
      <c r="B31" s="123" t="s">
        <v>257</v>
      </c>
      <c r="C31" s="124"/>
      <c r="D31" s="129" t="s">
        <v>360</v>
      </c>
      <c r="E31" s="130"/>
      <c r="F31" s="130"/>
      <c r="G31" s="130"/>
      <c r="H31" s="130"/>
      <c r="I31" s="130"/>
      <c r="J31" s="131"/>
    </row>
    <row r="32" spans="1:10" ht="15" customHeight="1" x14ac:dyDescent="0.2">
      <c r="A32" s="30"/>
      <c r="B32" s="125"/>
      <c r="C32" s="126"/>
      <c r="D32" s="132"/>
      <c r="E32" s="133"/>
      <c r="F32" s="133"/>
      <c r="G32" s="133"/>
      <c r="H32" s="133"/>
      <c r="I32" s="133"/>
      <c r="J32" s="134"/>
    </row>
    <row r="33" spans="1:14" ht="27" customHeight="1" thickBot="1" x14ac:dyDescent="0.25">
      <c r="A33" s="30"/>
      <c r="B33" s="127"/>
      <c r="C33" s="128"/>
      <c r="D33" s="135"/>
      <c r="E33" s="136"/>
      <c r="F33" s="136"/>
      <c r="G33" s="136"/>
      <c r="H33" s="136"/>
      <c r="I33" s="136"/>
      <c r="J33" s="137"/>
    </row>
    <row r="34" spans="1:14" ht="19.5" customHeight="1" x14ac:dyDescent="0.25">
      <c r="A34" s="30"/>
      <c r="B34" s="114" t="s">
        <v>258</v>
      </c>
      <c r="C34" s="115"/>
      <c r="D34" s="138" t="s">
        <v>259</v>
      </c>
      <c r="E34" s="138"/>
      <c r="F34" s="138"/>
      <c r="G34" s="138"/>
      <c r="H34" s="138"/>
      <c r="I34" s="138"/>
      <c r="J34" s="139"/>
    </row>
    <row r="35" spans="1:14" ht="19.5" customHeight="1" x14ac:dyDescent="0.25">
      <c r="A35" s="30"/>
      <c r="B35" s="114" t="s">
        <v>260</v>
      </c>
      <c r="C35" s="115"/>
      <c r="D35" s="117" t="s">
        <v>261</v>
      </c>
      <c r="E35" s="117"/>
      <c r="F35" s="117"/>
      <c r="G35" s="117"/>
      <c r="H35" s="117"/>
      <c r="I35" s="117"/>
      <c r="J35" s="118"/>
    </row>
    <row r="36" spans="1:14" ht="19.5" customHeight="1" x14ac:dyDescent="0.25">
      <c r="A36" s="30"/>
      <c r="B36" s="114" t="s">
        <v>262</v>
      </c>
      <c r="C36" s="115"/>
      <c r="D36" s="117" t="s">
        <v>261</v>
      </c>
      <c r="E36" s="117"/>
      <c r="F36" s="117"/>
      <c r="G36" s="117"/>
      <c r="H36" s="117"/>
      <c r="I36" s="117"/>
      <c r="J36" s="118"/>
    </row>
    <row r="37" spans="1:14" ht="19.5" customHeight="1" x14ac:dyDescent="0.25">
      <c r="A37" s="30"/>
      <c r="B37" s="114" t="s">
        <v>263</v>
      </c>
      <c r="C37" s="115"/>
      <c r="D37" s="117" t="s">
        <v>264</v>
      </c>
      <c r="E37" s="117"/>
      <c r="F37" s="117"/>
      <c r="G37" s="117"/>
      <c r="H37" s="117"/>
      <c r="I37" s="117"/>
      <c r="J37" s="118"/>
    </row>
    <row r="38" spans="1:14" ht="19.5" customHeight="1" x14ac:dyDescent="0.25">
      <c r="A38" s="30"/>
      <c r="B38" s="114" t="s">
        <v>265</v>
      </c>
      <c r="C38" s="115"/>
      <c r="D38" s="116"/>
      <c r="E38" s="117"/>
      <c r="F38" s="117"/>
      <c r="G38" s="117"/>
      <c r="H38" s="117"/>
      <c r="I38" s="117"/>
      <c r="J38" s="118"/>
    </row>
    <row r="39" spans="1:14" ht="19.5" customHeight="1" x14ac:dyDescent="0.25">
      <c r="A39" s="30"/>
      <c r="B39" s="114" t="s">
        <v>266</v>
      </c>
      <c r="C39" s="115"/>
      <c r="D39" s="117"/>
      <c r="E39" s="117"/>
      <c r="F39" s="117"/>
      <c r="G39" s="117"/>
      <c r="H39" s="117"/>
      <c r="I39" s="117"/>
      <c r="J39" s="118"/>
    </row>
    <row r="40" spans="1:14" ht="19.5" customHeight="1" x14ac:dyDescent="0.25">
      <c r="A40" s="30"/>
      <c r="B40" s="114" t="s">
        <v>267</v>
      </c>
      <c r="C40" s="115"/>
      <c r="D40" s="117"/>
      <c r="E40" s="117"/>
      <c r="F40" s="117"/>
      <c r="G40" s="117"/>
      <c r="H40" s="117"/>
      <c r="I40" s="117"/>
      <c r="J40" s="118"/>
    </row>
    <row r="41" spans="1:14" ht="19.5" customHeight="1" x14ac:dyDescent="0.25">
      <c r="A41" s="30"/>
      <c r="B41" s="114" t="s">
        <v>268</v>
      </c>
      <c r="C41" s="115"/>
      <c r="D41" s="117">
        <f>D38-D42</f>
        <v>0</v>
      </c>
      <c r="E41" s="117"/>
      <c r="F41" s="117"/>
      <c r="G41" s="117"/>
      <c r="H41" s="117"/>
      <c r="I41" s="117"/>
      <c r="J41" s="118"/>
    </row>
    <row r="42" spans="1:14" ht="19.5" customHeight="1" x14ac:dyDescent="0.25">
      <c r="A42" s="30"/>
      <c r="B42" s="114" t="s">
        <v>269</v>
      </c>
      <c r="C42" s="115"/>
      <c r="D42" s="116"/>
      <c r="E42" s="117"/>
      <c r="F42" s="117"/>
      <c r="G42" s="117"/>
      <c r="H42" s="117"/>
      <c r="I42" s="117"/>
      <c r="J42" s="118"/>
    </row>
    <row r="43" spans="1:14" ht="19.5" customHeight="1" thickBot="1" x14ac:dyDescent="0.3">
      <c r="A43" s="30"/>
      <c r="B43" s="114" t="s">
        <v>270</v>
      </c>
      <c r="C43" s="115"/>
      <c r="D43" s="117"/>
      <c r="E43" s="117"/>
      <c r="F43" s="117"/>
      <c r="G43" s="117"/>
      <c r="H43" s="117"/>
      <c r="I43" s="117"/>
      <c r="J43" s="118"/>
      <c r="N43" s="41"/>
    </row>
    <row r="44" spans="1:14" ht="16.5" thickBot="1" x14ac:dyDescent="0.3">
      <c r="A44" s="30"/>
      <c r="B44" s="42"/>
      <c r="C44" s="33"/>
      <c r="D44" s="33"/>
      <c r="E44" s="33"/>
      <c r="F44" s="33"/>
      <c r="G44" s="33"/>
      <c r="H44" s="33"/>
      <c r="I44" s="33"/>
      <c r="J44" s="34"/>
    </row>
    <row r="45" spans="1:14" ht="15" thickBot="1" x14ac:dyDescent="0.25">
      <c r="A45" s="30"/>
      <c r="B45" s="35"/>
      <c r="C45" s="36"/>
      <c r="D45" s="119" t="s">
        <v>271</v>
      </c>
      <c r="E45" s="120"/>
      <c r="F45" s="43" t="s">
        <v>180</v>
      </c>
      <c r="G45" s="44" t="s">
        <v>272</v>
      </c>
      <c r="H45" s="45" t="s">
        <v>182</v>
      </c>
      <c r="I45" s="36"/>
      <c r="J45" s="37"/>
    </row>
    <row r="46" spans="1:14" ht="17.25" customHeight="1" x14ac:dyDescent="0.2">
      <c r="A46" s="30"/>
      <c r="B46" s="35"/>
      <c r="C46" s="36"/>
      <c r="D46" s="121" t="s">
        <v>273</v>
      </c>
      <c r="E46" s="122"/>
      <c r="F46" s="46">
        <f>SUM(Materiales!R75,Materiales!AB71)</f>
        <v>299926646.16479164</v>
      </c>
      <c r="G46" s="46">
        <f>SUM(Materiales!AC71,Materiales!S75)</f>
        <v>54385912.771310411</v>
      </c>
      <c r="H46" s="47">
        <f>SUM(F46:G46)</f>
        <v>354312558.93610203</v>
      </c>
      <c r="I46" s="36"/>
      <c r="J46" s="37"/>
    </row>
    <row r="47" spans="1:14" ht="17.25" customHeight="1" thickBot="1" x14ac:dyDescent="0.25">
      <c r="A47" s="30"/>
      <c r="B47" s="35"/>
      <c r="C47" s="36"/>
      <c r="D47" s="110" t="s">
        <v>274</v>
      </c>
      <c r="E47" s="111"/>
      <c r="F47" s="48">
        <v>0</v>
      </c>
      <c r="G47" s="48">
        <f>+F47*19%</f>
        <v>0</v>
      </c>
      <c r="H47" s="49">
        <f>SUM(F47:G47)</f>
        <v>0</v>
      </c>
      <c r="I47" s="36"/>
      <c r="J47" s="37"/>
    </row>
    <row r="48" spans="1:14" ht="15.75" thickBot="1" x14ac:dyDescent="0.3">
      <c r="A48" s="30"/>
      <c r="B48" s="35"/>
      <c r="C48" s="36"/>
      <c r="D48" s="112" t="s">
        <v>275</v>
      </c>
      <c r="E48" s="113"/>
      <c r="F48" s="50">
        <f>SUM(F46:F47)</f>
        <v>299926646.16479164</v>
      </c>
      <c r="G48" s="50">
        <f>SUM(G46:G47)</f>
        <v>54385912.771310411</v>
      </c>
      <c r="H48" s="51">
        <f>SUM(H46:H47)</f>
        <v>354312558.93610203</v>
      </c>
      <c r="I48" s="36"/>
      <c r="J48" s="37"/>
    </row>
    <row r="49" spans="1:10" ht="15" thickBot="1" x14ac:dyDescent="0.25">
      <c r="A49" s="30"/>
      <c r="B49" s="38"/>
      <c r="C49" s="39"/>
      <c r="D49" s="39"/>
      <c r="E49" s="39"/>
      <c r="F49" s="39"/>
      <c r="G49" s="39"/>
      <c r="H49" s="39"/>
      <c r="I49" s="39"/>
      <c r="J49" s="40"/>
    </row>
  </sheetData>
  <mergeCells count="32">
    <mergeCell ref="B10:J30"/>
    <mergeCell ref="E3:J3"/>
    <mergeCell ref="E4:J4"/>
    <mergeCell ref="E5:J5"/>
    <mergeCell ref="B8:C9"/>
    <mergeCell ref="D8:J9"/>
    <mergeCell ref="B31:C33"/>
    <mergeCell ref="D31:J33"/>
    <mergeCell ref="B34:C34"/>
    <mergeCell ref="D34:J34"/>
    <mergeCell ref="B35:C35"/>
    <mergeCell ref="D35:J35"/>
    <mergeCell ref="B36:C36"/>
    <mergeCell ref="D36:J36"/>
    <mergeCell ref="B37:C37"/>
    <mergeCell ref="D37:J37"/>
    <mergeCell ref="B38:C38"/>
    <mergeCell ref="D38:J38"/>
    <mergeCell ref="B39:C39"/>
    <mergeCell ref="D39:J39"/>
    <mergeCell ref="B40:C40"/>
    <mergeCell ref="D40:J40"/>
    <mergeCell ref="B41:C41"/>
    <mergeCell ref="D41:J41"/>
    <mergeCell ref="D47:E47"/>
    <mergeCell ref="D48:E48"/>
    <mergeCell ref="B42:C42"/>
    <mergeCell ref="D42:J42"/>
    <mergeCell ref="B43:C43"/>
    <mergeCell ref="D43:J43"/>
    <mergeCell ref="D45:E45"/>
    <mergeCell ref="D46:E4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301"/>
  <sheetViews>
    <sheetView tabSelected="1" topLeftCell="G60" zoomScale="80" zoomScaleNormal="80" workbookViewId="0">
      <selection activeCell="U69" sqref="U69"/>
    </sheetView>
  </sheetViews>
  <sheetFormatPr baseColWidth="10" defaultRowHeight="15" x14ac:dyDescent="0.25"/>
  <cols>
    <col min="1" max="1" width="5.28515625" bestFit="1" customWidth="1"/>
    <col min="2" max="2" width="5.140625" bestFit="1" customWidth="1"/>
    <col min="3" max="3" width="25.28515625" bestFit="1" customWidth="1"/>
    <col min="4" max="4" width="10.28515625" bestFit="1" customWidth="1"/>
    <col min="5" max="5" width="18.28515625" bestFit="1" customWidth="1"/>
    <col min="6" max="6" width="15.140625" style="52" customWidth="1"/>
    <col min="7" max="7" width="14" style="52" bestFit="1" customWidth="1"/>
    <col min="8" max="8" width="13" style="52" bestFit="1" customWidth="1"/>
    <col min="9" max="9" width="14" style="52" bestFit="1" customWidth="1"/>
    <col min="10" max="10" width="14" bestFit="1" customWidth="1"/>
    <col min="11" max="11" width="13" bestFit="1" customWidth="1"/>
    <col min="13" max="13" width="14" customWidth="1"/>
    <col min="14" max="14" width="14.140625" customWidth="1"/>
    <col min="16" max="16" width="17.85546875" bestFit="1" customWidth="1"/>
    <col min="17" max="17" width="13.42578125" bestFit="1" customWidth="1"/>
    <col min="18" max="18" width="14.42578125" bestFit="1" customWidth="1"/>
    <col min="19" max="19" width="13.5703125" bestFit="1" customWidth="1"/>
    <col min="20" max="20" width="14.42578125" bestFit="1" customWidth="1"/>
    <col min="23" max="23" width="5.5703125" bestFit="1" customWidth="1"/>
    <col min="24" max="24" width="52.140625" style="208" bestFit="1" customWidth="1"/>
    <col min="26" max="26" width="18" bestFit="1" customWidth="1"/>
    <col min="27" max="27" width="13.85546875" bestFit="1" customWidth="1"/>
    <col min="28" max="29" width="16" bestFit="1" customWidth="1"/>
    <col min="30" max="30" width="17.140625" bestFit="1" customWidth="1"/>
  </cols>
  <sheetData>
    <row r="1" spans="1:31" ht="15.75" thickBot="1" x14ac:dyDescent="0.3"/>
    <row r="2" spans="1:31" x14ac:dyDescent="0.25">
      <c r="A2" s="53"/>
      <c r="B2" s="181"/>
      <c r="C2" s="182"/>
      <c r="D2" s="183"/>
      <c r="E2" s="190"/>
      <c r="F2" s="191"/>
      <c r="G2" s="191"/>
      <c r="H2" s="191"/>
      <c r="I2" s="192"/>
      <c r="J2" s="53"/>
    </row>
    <row r="3" spans="1:31" ht="18.75" x14ac:dyDescent="0.25">
      <c r="A3" s="53"/>
      <c r="B3" s="184"/>
      <c r="C3" s="185"/>
      <c r="D3" s="186"/>
      <c r="E3" s="193" t="s">
        <v>253</v>
      </c>
      <c r="F3" s="194"/>
      <c r="G3" s="194"/>
      <c r="H3" s="194"/>
      <c r="I3" s="195"/>
      <c r="J3" s="53"/>
    </row>
    <row r="4" spans="1:31" ht="18.75" x14ac:dyDescent="0.25">
      <c r="A4" s="53"/>
      <c r="B4" s="184"/>
      <c r="C4" s="185"/>
      <c r="D4" s="186"/>
      <c r="E4" s="193" t="s">
        <v>254</v>
      </c>
      <c r="F4" s="194"/>
      <c r="G4" s="194"/>
      <c r="H4" s="194"/>
      <c r="I4" s="195"/>
      <c r="J4" s="53"/>
    </row>
    <row r="5" spans="1:31" ht="18.75" x14ac:dyDescent="0.25">
      <c r="A5" s="53"/>
      <c r="B5" s="184"/>
      <c r="C5" s="185"/>
      <c r="D5" s="186"/>
      <c r="E5" s="196" t="s">
        <v>255</v>
      </c>
      <c r="F5" s="197"/>
      <c r="G5" s="197"/>
      <c r="H5" s="197"/>
      <c r="I5" s="198"/>
      <c r="J5" s="53"/>
    </row>
    <row r="6" spans="1:31" ht="15.75" thickBot="1" x14ac:dyDescent="0.3">
      <c r="A6" s="53"/>
      <c r="B6" s="187"/>
      <c r="C6" s="188"/>
      <c r="D6" s="189"/>
      <c r="E6" s="199"/>
      <c r="F6" s="200"/>
      <c r="G6" s="200"/>
      <c r="H6" s="200"/>
      <c r="I6" s="201"/>
      <c r="J6" s="53"/>
    </row>
    <row r="7" spans="1:31" x14ac:dyDescent="0.25">
      <c r="A7" s="53"/>
      <c r="B7" s="54"/>
      <c r="C7" s="54"/>
      <c r="D7" s="54"/>
      <c r="E7" s="53"/>
      <c r="F7" s="55"/>
      <c r="G7" s="55"/>
      <c r="H7" s="55"/>
      <c r="I7" s="55"/>
      <c r="J7" s="53"/>
    </row>
    <row r="8" spans="1:31" ht="15.75" thickBot="1" x14ac:dyDescent="0.3">
      <c r="A8" s="53"/>
      <c r="B8" s="54"/>
      <c r="C8" s="54"/>
      <c r="D8" s="54"/>
      <c r="E8" s="53"/>
      <c r="F8" s="55"/>
      <c r="G8" s="55"/>
      <c r="H8" s="55"/>
      <c r="I8" s="55"/>
      <c r="J8" s="53"/>
    </row>
    <row r="9" spans="1:31" ht="16.5" thickBot="1" x14ac:dyDescent="0.3">
      <c r="A9" s="202" t="s">
        <v>277</v>
      </c>
      <c r="B9" s="203"/>
      <c r="C9" s="203"/>
      <c r="D9" s="203"/>
      <c r="E9" s="203"/>
      <c r="F9" s="203"/>
      <c r="G9" s="203"/>
      <c r="H9" s="203"/>
      <c r="I9" s="203"/>
      <c r="J9" s="204"/>
      <c r="L9" s="205" t="s">
        <v>278</v>
      </c>
      <c r="M9" s="206"/>
      <c r="N9" s="206"/>
      <c r="O9" s="206"/>
      <c r="P9" s="206"/>
      <c r="Q9" s="206"/>
      <c r="R9" s="206"/>
      <c r="S9" s="206"/>
      <c r="T9" s="207"/>
      <c r="W9" s="177" t="s">
        <v>283</v>
      </c>
      <c r="X9" s="178"/>
      <c r="Y9" s="178"/>
      <c r="Z9" s="178"/>
      <c r="AA9" s="178"/>
      <c r="AB9" s="178"/>
      <c r="AC9" s="178"/>
      <c r="AD9" s="179"/>
      <c r="AE9" s="56"/>
    </row>
    <row r="10" spans="1:31" ht="30.75" thickBot="1" x14ac:dyDescent="0.3">
      <c r="A10" s="77" t="s">
        <v>175</v>
      </c>
      <c r="B10" s="180" t="s">
        <v>271</v>
      </c>
      <c r="C10" s="180"/>
      <c r="D10" s="78" t="s">
        <v>177</v>
      </c>
      <c r="E10" s="78" t="s">
        <v>178</v>
      </c>
      <c r="F10" s="81" t="s">
        <v>284</v>
      </c>
      <c r="G10" s="82" t="s">
        <v>0</v>
      </c>
      <c r="H10" s="81" t="s">
        <v>1</v>
      </c>
      <c r="I10" s="81" t="s">
        <v>2</v>
      </c>
      <c r="J10" s="83" t="s">
        <v>3</v>
      </c>
      <c r="L10" s="77" t="s">
        <v>175</v>
      </c>
      <c r="M10" s="180" t="s">
        <v>176</v>
      </c>
      <c r="N10" s="180"/>
      <c r="O10" s="78" t="s">
        <v>177</v>
      </c>
      <c r="P10" s="78" t="s">
        <v>178</v>
      </c>
      <c r="Q10" s="78" t="s">
        <v>179</v>
      </c>
      <c r="R10" s="78" t="s">
        <v>180</v>
      </c>
      <c r="S10" s="78" t="s">
        <v>181</v>
      </c>
      <c r="T10" s="79" t="s">
        <v>182</v>
      </c>
      <c r="W10" s="57" t="s">
        <v>175</v>
      </c>
      <c r="X10" s="209" t="s">
        <v>176</v>
      </c>
      <c r="Y10" s="58" t="s">
        <v>177</v>
      </c>
      <c r="Z10" s="58" t="s">
        <v>178</v>
      </c>
      <c r="AA10" s="58" t="s">
        <v>179</v>
      </c>
      <c r="AB10" s="58" t="s">
        <v>180</v>
      </c>
      <c r="AC10" s="58" t="s">
        <v>181</v>
      </c>
      <c r="AD10" s="59" t="s">
        <v>182</v>
      </c>
    </row>
    <row r="11" spans="1:31" x14ac:dyDescent="0.25">
      <c r="A11" s="19">
        <v>1</v>
      </c>
      <c r="B11" s="169" t="s">
        <v>46</v>
      </c>
      <c r="C11" s="169"/>
      <c r="D11" s="60">
        <v>55</v>
      </c>
      <c r="E11" s="60" t="s">
        <v>6</v>
      </c>
      <c r="F11" s="63">
        <v>44370</v>
      </c>
      <c r="G11" s="61"/>
      <c r="H11" s="64"/>
      <c r="I11" s="61">
        <v>6</v>
      </c>
      <c r="J11" s="65">
        <f>I11*D11</f>
        <v>330</v>
      </c>
      <c r="L11" s="19">
        <v>1</v>
      </c>
      <c r="M11" s="170" t="s">
        <v>46</v>
      </c>
      <c r="N11" s="170"/>
      <c r="O11" s="98">
        <f>SUM(J11,J23,J37,J43,J54,J56,J103,J200,J213,J240,J235)/6</f>
        <v>349</v>
      </c>
      <c r="P11" s="99" t="s">
        <v>6</v>
      </c>
      <c r="Q11" s="100">
        <v>3780</v>
      </c>
      <c r="R11" s="101">
        <f>Q11*O11</f>
        <v>1319220</v>
      </c>
      <c r="S11" s="101">
        <f>R11*0.19</f>
        <v>250651.80000000002</v>
      </c>
      <c r="T11" s="102">
        <f>SUM(R11:S11)</f>
        <v>1569871.8</v>
      </c>
      <c r="W11" s="87">
        <v>1</v>
      </c>
      <c r="X11" s="210" t="s">
        <v>285</v>
      </c>
      <c r="Y11" s="84">
        <v>70</v>
      </c>
      <c r="Z11" s="84" t="s">
        <v>6</v>
      </c>
      <c r="AA11" s="85">
        <v>2521.0100000000002</v>
      </c>
      <c r="AB11" s="85">
        <f>AA11*Y11</f>
        <v>176470.7</v>
      </c>
      <c r="AC11" s="86">
        <f>AB11*0.19</f>
        <v>33529.433000000005</v>
      </c>
      <c r="AD11" s="88">
        <f>SUM(AC11,AB11)</f>
        <v>210000.13300000003</v>
      </c>
    </row>
    <row r="12" spans="1:31" x14ac:dyDescent="0.25">
      <c r="A12" s="20">
        <v>2</v>
      </c>
      <c r="B12" s="165" t="s">
        <v>33</v>
      </c>
      <c r="C12" s="165"/>
      <c r="D12" s="2">
        <v>40</v>
      </c>
      <c r="E12" s="2" t="s">
        <v>6</v>
      </c>
      <c r="F12" s="6">
        <v>44370</v>
      </c>
      <c r="G12" s="7">
        <f>0.2*0.18</f>
        <v>3.5999999999999997E-2</v>
      </c>
      <c r="H12" s="8">
        <f>G12*D12</f>
        <v>1.44</v>
      </c>
      <c r="I12" s="7"/>
      <c r="J12" s="66"/>
      <c r="L12" s="20">
        <v>2</v>
      </c>
      <c r="M12" s="171" t="s">
        <v>183</v>
      </c>
      <c r="N12" s="171"/>
      <c r="O12" s="3">
        <f>SUM(H12,H90,H91,H108,H122,H123,H124,H92,H135,H129,H134)/14.4</f>
        <v>0.9396458333333334</v>
      </c>
      <c r="P12" s="4" t="s">
        <v>6</v>
      </c>
      <c r="Q12" s="28">
        <v>5811160</v>
      </c>
      <c r="R12" s="80">
        <f t="shared" ref="R12:R72" si="0">Q12*O12</f>
        <v>5460432.2808333337</v>
      </c>
      <c r="S12" s="80">
        <f t="shared" ref="S12:S70" si="1">R12*0.19</f>
        <v>1037482.1333583334</v>
      </c>
      <c r="T12" s="103">
        <f t="shared" ref="T12:T72" si="2">SUM(R12:S12)</f>
        <v>6497914.414191667</v>
      </c>
      <c r="W12" s="87">
        <v>2</v>
      </c>
      <c r="X12" s="210" t="s">
        <v>286</v>
      </c>
      <c r="Y12" s="84">
        <v>150</v>
      </c>
      <c r="Z12" s="84" t="s">
        <v>6</v>
      </c>
      <c r="AA12" s="85">
        <v>1260</v>
      </c>
      <c r="AB12" s="85">
        <f t="shared" ref="AB12:AB66" si="3">AA12*Y12</f>
        <v>189000</v>
      </c>
      <c r="AC12" s="86">
        <f t="shared" ref="AC12:AC66" si="4">AB12*0.19</f>
        <v>35910</v>
      </c>
      <c r="AD12" s="88">
        <f t="shared" ref="AD12:AD66" si="5">SUM(AC12,AB12)</f>
        <v>224910</v>
      </c>
    </row>
    <row r="13" spans="1:31" x14ac:dyDescent="0.25">
      <c r="A13" s="20">
        <v>3</v>
      </c>
      <c r="B13" s="165" t="s">
        <v>96</v>
      </c>
      <c r="C13" s="165"/>
      <c r="D13" s="2">
        <v>17.5</v>
      </c>
      <c r="E13" s="2" t="s">
        <v>6</v>
      </c>
      <c r="F13" s="6">
        <v>44370</v>
      </c>
      <c r="G13" s="7"/>
      <c r="H13" s="8"/>
      <c r="I13" s="7">
        <v>6</v>
      </c>
      <c r="J13" s="66">
        <f>I13*D13</f>
        <v>105</v>
      </c>
      <c r="L13" s="20">
        <v>3</v>
      </c>
      <c r="M13" s="171" t="s">
        <v>96</v>
      </c>
      <c r="N13" s="171"/>
      <c r="O13" s="3">
        <f>SUM(J13,J31,J39,J48,J64,J111,J137,J138,J146,J157,J175,J176,J248,J261,J264:J265,J267:J269,J273,J276:J277,J293,J297)/6</f>
        <v>105.68333333333332</v>
      </c>
      <c r="P13" s="4" t="s">
        <v>6</v>
      </c>
      <c r="Q13" s="28">
        <v>117448</v>
      </c>
      <c r="R13" s="80">
        <f t="shared" si="0"/>
        <v>12412296.133333333</v>
      </c>
      <c r="S13" s="80">
        <f t="shared" si="1"/>
        <v>2358336.2653333331</v>
      </c>
      <c r="T13" s="103">
        <f t="shared" si="2"/>
        <v>14770632.398666665</v>
      </c>
      <c r="W13" s="87">
        <v>3</v>
      </c>
      <c r="X13" s="210" t="s">
        <v>287</v>
      </c>
      <c r="Y13" s="84">
        <v>145</v>
      </c>
      <c r="Z13" s="84" t="s">
        <v>6</v>
      </c>
      <c r="AA13" s="85">
        <v>6250</v>
      </c>
      <c r="AB13" s="85">
        <f t="shared" si="3"/>
        <v>906250</v>
      </c>
      <c r="AC13" s="86">
        <f t="shared" si="4"/>
        <v>172187.5</v>
      </c>
      <c r="AD13" s="88">
        <f t="shared" si="5"/>
        <v>1078437.5</v>
      </c>
    </row>
    <row r="14" spans="1:31" x14ac:dyDescent="0.25">
      <c r="A14" s="20">
        <v>4</v>
      </c>
      <c r="B14" s="165" t="s">
        <v>53</v>
      </c>
      <c r="C14" s="165"/>
      <c r="D14" s="2">
        <v>4</v>
      </c>
      <c r="E14" s="2" t="s">
        <v>6</v>
      </c>
      <c r="F14" s="6">
        <v>44370</v>
      </c>
      <c r="G14" s="7"/>
      <c r="H14" s="8"/>
      <c r="I14" s="7">
        <v>6</v>
      </c>
      <c r="J14" s="66">
        <f>I14*D14</f>
        <v>24</v>
      </c>
      <c r="L14" s="20">
        <v>4</v>
      </c>
      <c r="M14" s="171" t="s">
        <v>53</v>
      </c>
      <c r="N14" s="171"/>
      <c r="O14" s="3">
        <f>SUM(J14,J24,J47,J113,J155,J166,J186,J215,J234)/6</f>
        <v>30.583333333333332</v>
      </c>
      <c r="P14" s="4" t="s">
        <v>6</v>
      </c>
      <c r="Q14" s="28">
        <v>389222</v>
      </c>
      <c r="R14" s="80">
        <f t="shared" si="0"/>
        <v>11903706.166666666</v>
      </c>
      <c r="S14" s="80">
        <f t="shared" si="1"/>
        <v>2261704.1716666664</v>
      </c>
      <c r="T14" s="103">
        <f t="shared" si="2"/>
        <v>14165410.338333333</v>
      </c>
      <c r="W14" s="87">
        <v>4</v>
      </c>
      <c r="X14" s="210" t="s">
        <v>288</v>
      </c>
      <c r="Y14" s="84">
        <v>917</v>
      </c>
      <c r="Z14" s="84" t="s">
        <v>6</v>
      </c>
      <c r="AA14" s="85">
        <v>16807</v>
      </c>
      <c r="AB14" s="85">
        <f t="shared" si="3"/>
        <v>15412019</v>
      </c>
      <c r="AC14" s="86">
        <f t="shared" si="4"/>
        <v>2928283.61</v>
      </c>
      <c r="AD14" s="88">
        <f t="shared" si="5"/>
        <v>18340302.609999999</v>
      </c>
    </row>
    <row r="15" spans="1:31" x14ac:dyDescent="0.25">
      <c r="A15" s="20">
        <v>5</v>
      </c>
      <c r="B15" s="165" t="s">
        <v>88</v>
      </c>
      <c r="C15" s="165"/>
      <c r="D15" s="2">
        <v>1</v>
      </c>
      <c r="E15" s="2" t="s">
        <v>6</v>
      </c>
      <c r="F15" s="6">
        <v>44370</v>
      </c>
      <c r="G15" s="7"/>
      <c r="H15" s="8"/>
      <c r="I15" s="7">
        <v>6</v>
      </c>
      <c r="J15" s="66">
        <f t="shared" ref="J15:J16" si="6">I15*D15</f>
        <v>6</v>
      </c>
      <c r="L15" s="20">
        <v>5</v>
      </c>
      <c r="M15" s="171" t="s">
        <v>88</v>
      </c>
      <c r="N15" s="171"/>
      <c r="O15" s="3">
        <f>SUM(J15,J32,J249,J287)/6</f>
        <v>12</v>
      </c>
      <c r="P15" s="4" t="s">
        <v>6</v>
      </c>
      <c r="Q15" s="28">
        <v>153421</v>
      </c>
      <c r="R15" s="80">
        <f t="shared" si="0"/>
        <v>1841052</v>
      </c>
      <c r="S15" s="80">
        <f t="shared" si="1"/>
        <v>349799.88</v>
      </c>
      <c r="T15" s="103">
        <f t="shared" si="2"/>
        <v>2190851.88</v>
      </c>
      <c r="W15" s="87">
        <v>5</v>
      </c>
      <c r="X15" s="210" t="s">
        <v>289</v>
      </c>
      <c r="Y15" s="84">
        <v>99</v>
      </c>
      <c r="Z15" s="84" t="s">
        <v>6</v>
      </c>
      <c r="AA15" s="85">
        <v>8824</v>
      </c>
      <c r="AB15" s="85">
        <f t="shared" si="3"/>
        <v>873576</v>
      </c>
      <c r="AC15" s="86">
        <f t="shared" si="4"/>
        <v>165979.44</v>
      </c>
      <c r="AD15" s="88">
        <f t="shared" si="5"/>
        <v>1039555.44</v>
      </c>
    </row>
    <row r="16" spans="1:31" x14ac:dyDescent="0.25">
      <c r="A16" s="20">
        <v>6</v>
      </c>
      <c r="B16" s="165" t="s">
        <v>7</v>
      </c>
      <c r="C16" s="165"/>
      <c r="D16" s="2">
        <v>2</v>
      </c>
      <c r="E16" s="2" t="s">
        <v>6</v>
      </c>
      <c r="F16" s="6">
        <v>44370</v>
      </c>
      <c r="G16" s="7"/>
      <c r="H16" s="8"/>
      <c r="I16" s="7">
        <v>6</v>
      </c>
      <c r="J16" s="66">
        <f t="shared" si="6"/>
        <v>12</v>
      </c>
      <c r="L16" s="20">
        <v>6</v>
      </c>
      <c r="M16" s="171" t="s">
        <v>7</v>
      </c>
      <c r="N16" s="171"/>
      <c r="O16" s="3">
        <f>SUM(J16,J19,J30,J27,J60,J81,J82,J83,J104,J112,J151,J153,J156,J167,J202,J243)/6</f>
        <v>43</v>
      </c>
      <c r="P16" s="4" t="s">
        <v>6</v>
      </c>
      <c r="Q16" s="28">
        <v>199875</v>
      </c>
      <c r="R16" s="80">
        <f t="shared" si="0"/>
        <v>8594625</v>
      </c>
      <c r="S16" s="80">
        <f t="shared" si="1"/>
        <v>1632978.75</v>
      </c>
      <c r="T16" s="103">
        <f t="shared" si="2"/>
        <v>10227603.75</v>
      </c>
      <c r="W16" s="87">
        <v>6</v>
      </c>
      <c r="X16" s="210" t="s">
        <v>290</v>
      </c>
      <c r="Y16" s="84">
        <v>2</v>
      </c>
      <c r="Z16" s="84" t="s">
        <v>6</v>
      </c>
      <c r="AA16" s="85">
        <v>11500</v>
      </c>
      <c r="AB16" s="85">
        <f t="shared" si="3"/>
        <v>23000</v>
      </c>
      <c r="AC16" s="86">
        <f t="shared" si="4"/>
        <v>4370</v>
      </c>
      <c r="AD16" s="88">
        <f t="shared" si="5"/>
        <v>27370</v>
      </c>
    </row>
    <row r="17" spans="1:30" x14ac:dyDescent="0.25">
      <c r="A17" s="20">
        <v>7</v>
      </c>
      <c r="B17" s="163" t="s">
        <v>82</v>
      </c>
      <c r="C17" s="163"/>
      <c r="D17" s="2">
        <v>5</v>
      </c>
      <c r="E17" s="2" t="s">
        <v>6</v>
      </c>
      <c r="F17" s="6">
        <v>44370</v>
      </c>
      <c r="G17" s="7"/>
      <c r="H17" s="8"/>
      <c r="I17" s="7">
        <v>6</v>
      </c>
      <c r="J17" s="66">
        <f>I17*D17</f>
        <v>30</v>
      </c>
      <c r="L17" s="20">
        <v>7</v>
      </c>
      <c r="M17" s="166" t="s">
        <v>82</v>
      </c>
      <c r="N17" s="166"/>
      <c r="O17" s="3">
        <f>SUM(J17,J26,J45,J52,J109,J187,J192,J199,J205,J296,J226,J241)/6</f>
        <v>61.5</v>
      </c>
      <c r="P17" s="4" t="s">
        <v>6</v>
      </c>
      <c r="Q17" s="28">
        <v>164214</v>
      </c>
      <c r="R17" s="80">
        <f t="shared" si="0"/>
        <v>10099161</v>
      </c>
      <c r="S17" s="80">
        <f t="shared" si="1"/>
        <v>1918840.59</v>
      </c>
      <c r="T17" s="103">
        <f t="shared" si="2"/>
        <v>12018001.59</v>
      </c>
      <c r="W17" s="87">
        <v>7</v>
      </c>
      <c r="X17" s="210" t="s">
        <v>291</v>
      </c>
      <c r="Y17" s="84">
        <v>65</v>
      </c>
      <c r="Z17" s="84" t="s">
        <v>6</v>
      </c>
      <c r="AA17" s="85">
        <v>1500</v>
      </c>
      <c r="AB17" s="85">
        <f t="shared" si="3"/>
        <v>97500</v>
      </c>
      <c r="AC17" s="86">
        <f t="shared" si="4"/>
        <v>18525</v>
      </c>
      <c r="AD17" s="88">
        <f t="shared" si="5"/>
        <v>116025</v>
      </c>
    </row>
    <row r="18" spans="1:30" x14ac:dyDescent="0.25">
      <c r="A18" s="20">
        <v>8</v>
      </c>
      <c r="B18" s="163" t="s">
        <v>81</v>
      </c>
      <c r="C18" s="163"/>
      <c r="D18" s="2">
        <v>2</v>
      </c>
      <c r="E18" s="2" t="s">
        <v>6</v>
      </c>
      <c r="F18" s="6">
        <v>44370</v>
      </c>
      <c r="G18" s="7"/>
      <c r="H18" s="8"/>
      <c r="I18" s="7">
        <v>6</v>
      </c>
      <c r="J18" s="66">
        <f>I18*D18</f>
        <v>12</v>
      </c>
      <c r="L18" s="20">
        <v>8</v>
      </c>
      <c r="M18" s="166" t="s">
        <v>81</v>
      </c>
      <c r="N18" s="166"/>
      <c r="O18" s="3">
        <f>SUM(J18,J22,J25,J46,J53,J110,J188,J227,J242,J295)/6</f>
        <v>37.5</v>
      </c>
      <c r="P18" s="4" t="s">
        <v>6</v>
      </c>
      <c r="Q18" s="28">
        <v>40992</v>
      </c>
      <c r="R18" s="80">
        <f t="shared" si="0"/>
        <v>1537200</v>
      </c>
      <c r="S18" s="80">
        <f t="shared" si="1"/>
        <v>292068</v>
      </c>
      <c r="T18" s="103">
        <f t="shared" si="2"/>
        <v>1829268</v>
      </c>
      <c r="W18" s="87">
        <v>8</v>
      </c>
      <c r="X18" s="210" t="s">
        <v>292</v>
      </c>
      <c r="Y18" s="84">
        <v>944</v>
      </c>
      <c r="Z18" s="84" t="s">
        <v>6</v>
      </c>
      <c r="AA18" s="85">
        <v>1261</v>
      </c>
      <c r="AB18" s="85">
        <f t="shared" si="3"/>
        <v>1190384</v>
      </c>
      <c r="AC18" s="86">
        <f t="shared" si="4"/>
        <v>226172.96</v>
      </c>
      <c r="AD18" s="88">
        <f t="shared" si="5"/>
        <v>1416556.96</v>
      </c>
    </row>
    <row r="19" spans="1:30" x14ac:dyDescent="0.25">
      <c r="A19" s="20">
        <v>9</v>
      </c>
      <c r="B19" s="165" t="s">
        <v>7</v>
      </c>
      <c r="C19" s="165"/>
      <c r="D19" s="2">
        <v>2</v>
      </c>
      <c r="E19" s="2" t="s">
        <v>6</v>
      </c>
      <c r="F19" s="6">
        <v>44370</v>
      </c>
      <c r="G19" s="7"/>
      <c r="H19" s="8"/>
      <c r="I19" s="7">
        <v>6</v>
      </c>
      <c r="J19" s="66">
        <f>I19*D19</f>
        <v>12</v>
      </c>
      <c r="L19" s="20">
        <v>9</v>
      </c>
      <c r="M19" s="171" t="s">
        <v>184</v>
      </c>
      <c r="N19" s="171"/>
      <c r="O19" s="3">
        <f>SUM(H20,H38,H50,H55,H73,H116,H133,H142,H143,H144,H145,H159:H165,H169,H182:H185,H207:H210,H237:H239,H279,H300,H232,)/14.4</f>
        <v>3.9698333333333329</v>
      </c>
      <c r="P19" s="4" t="s">
        <v>6</v>
      </c>
      <c r="Q19" s="28">
        <v>3047900</v>
      </c>
      <c r="R19" s="80">
        <f t="shared" si="0"/>
        <v>12099655.016666666</v>
      </c>
      <c r="S19" s="80">
        <f t="shared" si="1"/>
        <v>2298934.4531666664</v>
      </c>
      <c r="T19" s="103">
        <f t="shared" si="2"/>
        <v>14398589.469833333</v>
      </c>
      <c r="W19" s="87">
        <v>9</v>
      </c>
      <c r="X19" s="210" t="s">
        <v>293</v>
      </c>
      <c r="Y19" s="84">
        <v>2132</v>
      </c>
      <c r="Z19" s="84" t="s">
        <v>6</v>
      </c>
      <c r="AA19" s="85">
        <v>336</v>
      </c>
      <c r="AB19" s="85">
        <f t="shared" si="3"/>
        <v>716352</v>
      </c>
      <c r="AC19" s="86">
        <f t="shared" si="4"/>
        <v>136106.88</v>
      </c>
      <c r="AD19" s="88">
        <f t="shared" si="5"/>
        <v>852458.88</v>
      </c>
    </row>
    <row r="20" spans="1:30" x14ac:dyDescent="0.25">
      <c r="A20" s="20">
        <v>10</v>
      </c>
      <c r="B20" s="165" t="s">
        <v>97</v>
      </c>
      <c r="C20" s="165"/>
      <c r="D20" s="2">
        <v>3</v>
      </c>
      <c r="E20" s="2" t="s">
        <v>6</v>
      </c>
      <c r="F20" s="6">
        <v>44370</v>
      </c>
      <c r="G20" s="7">
        <f>0.5*0.5</f>
        <v>0.25</v>
      </c>
      <c r="H20" s="8">
        <f>G20*D20</f>
        <v>0.75</v>
      </c>
      <c r="I20" s="7"/>
      <c r="J20" s="66"/>
      <c r="L20" s="20">
        <v>10</v>
      </c>
      <c r="M20" s="171" t="s">
        <v>280</v>
      </c>
      <c r="N20" s="171"/>
      <c r="O20" s="3">
        <f>SUM(H21,H253,H257:H259,H284:H285,H289:H291,H298)/10.8</f>
        <v>4.8060370370370364</v>
      </c>
      <c r="P20" s="4" t="s">
        <v>6</v>
      </c>
      <c r="Q20" s="28">
        <v>1535920</v>
      </c>
      <c r="R20" s="80">
        <f t="shared" si="0"/>
        <v>7381688.4059259249</v>
      </c>
      <c r="S20" s="80">
        <f t="shared" si="1"/>
        <v>1402520.7971259258</v>
      </c>
      <c r="T20" s="103">
        <f t="shared" si="2"/>
        <v>8784209.2030518502</v>
      </c>
      <c r="W20" s="87">
        <v>10</v>
      </c>
      <c r="X20" s="210" t="s">
        <v>294</v>
      </c>
      <c r="Y20" s="84">
        <v>46</v>
      </c>
      <c r="Z20" s="84" t="s">
        <v>6</v>
      </c>
      <c r="AA20" s="85">
        <v>55392</v>
      </c>
      <c r="AB20" s="85">
        <f t="shared" si="3"/>
        <v>2548032</v>
      </c>
      <c r="AC20" s="86">
        <f t="shared" si="4"/>
        <v>484126.08</v>
      </c>
      <c r="AD20" s="88">
        <f t="shared" si="5"/>
        <v>3032158.08</v>
      </c>
    </row>
    <row r="21" spans="1:30" x14ac:dyDescent="0.25">
      <c r="A21" s="20">
        <v>11</v>
      </c>
      <c r="B21" s="165" t="s">
        <v>98</v>
      </c>
      <c r="C21" s="165"/>
      <c r="D21" s="2">
        <v>1</v>
      </c>
      <c r="E21" s="2" t="s">
        <v>6</v>
      </c>
      <c r="F21" s="6">
        <v>44370</v>
      </c>
      <c r="G21" s="7">
        <v>1</v>
      </c>
      <c r="H21" s="8">
        <f>G21*D21</f>
        <v>1</v>
      </c>
      <c r="I21" s="7"/>
      <c r="J21" s="66"/>
      <c r="L21" s="20">
        <v>11</v>
      </c>
      <c r="M21" s="171" t="s">
        <v>112</v>
      </c>
      <c r="N21" s="171"/>
      <c r="O21" s="3">
        <f>SUM(J28,J29,J33,J42,J57,J58,J63,J72,J93,J94,J95,J97,J96,J98,J99,J136,J220)/6</f>
        <v>21.92883333333333</v>
      </c>
      <c r="P21" s="4" t="s">
        <v>6</v>
      </c>
      <c r="Q21" s="28">
        <v>994680</v>
      </c>
      <c r="R21" s="80">
        <f t="shared" si="0"/>
        <v>21812171.939999998</v>
      </c>
      <c r="S21" s="80">
        <f t="shared" si="1"/>
        <v>4144312.6685999995</v>
      </c>
      <c r="T21" s="103">
        <f t="shared" si="2"/>
        <v>25956484.608599998</v>
      </c>
      <c r="W21" s="87">
        <v>11</v>
      </c>
      <c r="X21" s="210" t="s">
        <v>295</v>
      </c>
      <c r="Y21" s="84">
        <v>8</v>
      </c>
      <c r="Z21" s="84" t="s">
        <v>6</v>
      </c>
      <c r="AA21" s="85">
        <v>17008</v>
      </c>
      <c r="AB21" s="85">
        <f t="shared" si="3"/>
        <v>136064</v>
      </c>
      <c r="AC21" s="86">
        <f t="shared" si="4"/>
        <v>25852.16</v>
      </c>
      <c r="AD21" s="88">
        <f t="shared" si="5"/>
        <v>161916.16</v>
      </c>
    </row>
    <row r="22" spans="1:30" x14ac:dyDescent="0.25">
      <c r="A22" s="20">
        <v>12</v>
      </c>
      <c r="B22" s="163" t="s">
        <v>81</v>
      </c>
      <c r="C22" s="163"/>
      <c r="D22" s="2">
        <v>2</v>
      </c>
      <c r="E22" s="2" t="s">
        <v>6</v>
      </c>
      <c r="F22" s="6">
        <v>44370</v>
      </c>
      <c r="G22" s="7"/>
      <c r="H22" s="8"/>
      <c r="I22" s="7">
        <v>6</v>
      </c>
      <c r="J22" s="66">
        <f>I22*D22</f>
        <v>12</v>
      </c>
      <c r="L22" s="20">
        <v>12</v>
      </c>
      <c r="M22" s="166" t="s">
        <v>93</v>
      </c>
      <c r="N22" s="166"/>
      <c r="O22" s="3">
        <f>SUM(J34,J51,J80,J223,J233,)/6</f>
        <v>5.7733333333333334</v>
      </c>
      <c r="P22" s="4" t="s">
        <v>6</v>
      </c>
      <c r="Q22" s="28">
        <v>302670</v>
      </c>
      <c r="R22" s="80">
        <f t="shared" si="0"/>
        <v>1747414.8</v>
      </c>
      <c r="S22" s="80">
        <f t="shared" si="1"/>
        <v>332008.81200000003</v>
      </c>
      <c r="T22" s="103">
        <f t="shared" si="2"/>
        <v>2079423.6120000002</v>
      </c>
      <c r="W22" s="87">
        <v>12</v>
      </c>
      <c r="X22" s="210" t="s">
        <v>296</v>
      </c>
      <c r="Y22" s="84">
        <v>46</v>
      </c>
      <c r="Z22" s="84" t="s">
        <v>6</v>
      </c>
      <c r="AA22" s="85">
        <v>51000</v>
      </c>
      <c r="AB22" s="85">
        <f t="shared" si="3"/>
        <v>2346000</v>
      </c>
      <c r="AC22" s="86">
        <f t="shared" si="4"/>
        <v>445740</v>
      </c>
      <c r="AD22" s="88">
        <f t="shared" si="5"/>
        <v>2791740</v>
      </c>
    </row>
    <row r="23" spans="1:30" x14ac:dyDescent="0.25">
      <c r="A23" s="20">
        <v>13</v>
      </c>
      <c r="B23" s="163" t="s">
        <v>46</v>
      </c>
      <c r="C23" s="163"/>
      <c r="D23" s="2">
        <v>25</v>
      </c>
      <c r="E23" s="2" t="s">
        <v>6</v>
      </c>
      <c r="F23" s="6">
        <v>44371</v>
      </c>
      <c r="G23" s="7"/>
      <c r="H23" s="8"/>
      <c r="I23" s="7">
        <v>6</v>
      </c>
      <c r="J23" s="66">
        <f>I23*D23</f>
        <v>150</v>
      </c>
      <c r="L23" s="20">
        <v>13</v>
      </c>
      <c r="M23" s="166" t="s">
        <v>86</v>
      </c>
      <c r="N23" s="166"/>
      <c r="O23" s="3">
        <f>SUM(J35,J41,J74,J231,J270)/6</f>
        <v>4.1533333333333333</v>
      </c>
      <c r="P23" s="4" t="s">
        <v>6</v>
      </c>
      <c r="Q23" s="28">
        <v>262500</v>
      </c>
      <c r="R23" s="80">
        <f t="shared" si="0"/>
        <v>1090250</v>
      </c>
      <c r="S23" s="80">
        <f t="shared" si="1"/>
        <v>207147.5</v>
      </c>
      <c r="T23" s="103">
        <f t="shared" si="2"/>
        <v>1297397.5</v>
      </c>
      <c r="W23" s="87">
        <v>13</v>
      </c>
      <c r="X23" s="210" t="s">
        <v>297</v>
      </c>
      <c r="Y23" s="84">
        <v>3</v>
      </c>
      <c r="Z23" s="84" t="s">
        <v>6</v>
      </c>
      <c r="AA23" s="85">
        <v>2185</v>
      </c>
      <c r="AB23" s="85">
        <f t="shared" si="3"/>
        <v>6555</v>
      </c>
      <c r="AC23" s="86">
        <f t="shared" si="4"/>
        <v>1245.45</v>
      </c>
      <c r="AD23" s="88">
        <f t="shared" si="5"/>
        <v>7800.45</v>
      </c>
    </row>
    <row r="24" spans="1:30" ht="15" customHeight="1" x14ac:dyDescent="0.25">
      <c r="A24" s="20">
        <v>14</v>
      </c>
      <c r="B24" s="165" t="s">
        <v>53</v>
      </c>
      <c r="C24" s="165"/>
      <c r="D24" s="2">
        <v>2</v>
      </c>
      <c r="E24" s="2" t="s">
        <v>6</v>
      </c>
      <c r="F24" s="9">
        <v>44378</v>
      </c>
      <c r="G24" s="2"/>
      <c r="H24" s="10"/>
      <c r="I24" s="2">
        <v>6</v>
      </c>
      <c r="J24" s="67">
        <f t="shared" ref="J24:J37" si="7">I24*D24</f>
        <v>12</v>
      </c>
      <c r="L24" s="20">
        <v>14</v>
      </c>
      <c r="M24" s="171" t="s">
        <v>58</v>
      </c>
      <c r="N24" s="171"/>
      <c r="O24" s="3">
        <f>SUM(J36,J118,J263)/6</f>
        <v>20.040000000000003</v>
      </c>
      <c r="P24" s="4" t="s">
        <v>6</v>
      </c>
      <c r="Q24" s="28">
        <v>101120</v>
      </c>
      <c r="R24" s="80">
        <f t="shared" si="0"/>
        <v>2026444.8000000003</v>
      </c>
      <c r="S24" s="80">
        <f t="shared" si="1"/>
        <v>385024.51200000005</v>
      </c>
      <c r="T24" s="103">
        <f t="shared" si="2"/>
        <v>2411469.3120000004</v>
      </c>
      <c r="W24" s="87">
        <v>14</v>
      </c>
      <c r="X24" s="210" t="s">
        <v>298</v>
      </c>
      <c r="Y24" s="84">
        <v>1</v>
      </c>
      <c r="Z24" s="84" t="s">
        <v>6</v>
      </c>
      <c r="AA24" s="85">
        <v>5924.12</v>
      </c>
      <c r="AB24" s="85">
        <f t="shared" si="3"/>
        <v>5924.12</v>
      </c>
      <c r="AC24" s="86">
        <f t="shared" si="4"/>
        <v>1125.5827999999999</v>
      </c>
      <c r="AD24" s="88">
        <f t="shared" si="5"/>
        <v>7049.7028</v>
      </c>
    </row>
    <row r="25" spans="1:30" ht="15" customHeight="1" x14ac:dyDescent="0.25">
      <c r="A25" s="20">
        <v>15</v>
      </c>
      <c r="B25" s="163" t="s">
        <v>81</v>
      </c>
      <c r="C25" s="163"/>
      <c r="D25" s="2">
        <v>6</v>
      </c>
      <c r="E25" s="2" t="s">
        <v>6</v>
      </c>
      <c r="F25" s="9">
        <v>44378</v>
      </c>
      <c r="G25" s="2"/>
      <c r="H25" s="10"/>
      <c r="I25" s="2">
        <v>6</v>
      </c>
      <c r="J25" s="67">
        <f t="shared" si="7"/>
        <v>36</v>
      </c>
      <c r="L25" s="20">
        <v>15</v>
      </c>
      <c r="M25" s="171" t="s">
        <v>113</v>
      </c>
      <c r="N25" s="171"/>
      <c r="O25" s="3">
        <f>SUM(J40)/6</f>
        <v>2</v>
      </c>
      <c r="P25" s="4" t="s">
        <v>6</v>
      </c>
      <c r="Q25" s="28">
        <v>43976</v>
      </c>
      <c r="R25" s="80">
        <f t="shared" si="0"/>
        <v>87952</v>
      </c>
      <c r="S25" s="80">
        <f t="shared" si="1"/>
        <v>16710.88</v>
      </c>
      <c r="T25" s="103">
        <f t="shared" si="2"/>
        <v>104662.88</v>
      </c>
      <c r="W25" s="87">
        <v>15</v>
      </c>
      <c r="X25" s="210" t="s">
        <v>299</v>
      </c>
      <c r="Y25" s="84">
        <v>1</v>
      </c>
      <c r="Z25" s="84" t="s">
        <v>6</v>
      </c>
      <c r="AA25" s="85">
        <v>2521</v>
      </c>
      <c r="AB25" s="85">
        <f t="shared" si="3"/>
        <v>2521</v>
      </c>
      <c r="AC25" s="86">
        <f t="shared" si="4"/>
        <v>478.99</v>
      </c>
      <c r="AD25" s="88">
        <f t="shared" si="5"/>
        <v>2999.99</v>
      </c>
    </row>
    <row r="26" spans="1:30" ht="15" customHeight="1" x14ac:dyDescent="0.25">
      <c r="A26" s="20">
        <v>16</v>
      </c>
      <c r="B26" s="163" t="s">
        <v>82</v>
      </c>
      <c r="C26" s="163"/>
      <c r="D26" s="2">
        <v>6</v>
      </c>
      <c r="E26" s="2" t="s">
        <v>6</v>
      </c>
      <c r="F26" s="9">
        <v>44378</v>
      </c>
      <c r="G26" s="2"/>
      <c r="H26" s="10"/>
      <c r="I26" s="2">
        <v>6</v>
      </c>
      <c r="J26" s="67">
        <f t="shared" si="7"/>
        <v>36</v>
      </c>
      <c r="L26" s="20">
        <v>16</v>
      </c>
      <c r="M26" s="163" t="s">
        <v>114</v>
      </c>
      <c r="N26" s="163"/>
      <c r="O26" s="3">
        <f>SUM(J44,J139,J140,J141,J147,J148,J149,J150,J152,J154,J177:J181,J236,J286,J292,J250)/6</f>
        <v>115.87833333333334</v>
      </c>
      <c r="P26" s="4" t="s">
        <v>6</v>
      </c>
      <c r="Q26" s="28">
        <v>43735</v>
      </c>
      <c r="R26" s="80">
        <f t="shared" si="0"/>
        <v>5067938.9083333341</v>
      </c>
      <c r="S26" s="80">
        <f t="shared" si="1"/>
        <v>962908.39258333354</v>
      </c>
      <c r="T26" s="103">
        <f t="shared" si="2"/>
        <v>6030847.300916668</v>
      </c>
      <c r="W26" s="87">
        <v>16</v>
      </c>
      <c r="X26" s="210" t="s">
        <v>300</v>
      </c>
      <c r="Y26" s="84">
        <v>68</v>
      </c>
      <c r="Z26" s="84" t="s">
        <v>6</v>
      </c>
      <c r="AA26" s="85">
        <v>841</v>
      </c>
      <c r="AB26" s="85">
        <f t="shared" si="3"/>
        <v>57188</v>
      </c>
      <c r="AC26" s="86">
        <f t="shared" si="4"/>
        <v>10865.72</v>
      </c>
      <c r="AD26" s="88">
        <f t="shared" si="5"/>
        <v>68053.72</v>
      </c>
    </row>
    <row r="27" spans="1:30" ht="15" customHeight="1" x14ac:dyDescent="0.25">
      <c r="A27" s="20">
        <v>17</v>
      </c>
      <c r="B27" s="165" t="s">
        <v>7</v>
      </c>
      <c r="C27" s="165"/>
      <c r="D27" s="2">
        <v>1</v>
      </c>
      <c r="E27" s="2" t="s">
        <v>6</v>
      </c>
      <c r="F27" s="9">
        <v>44378</v>
      </c>
      <c r="G27" s="2"/>
      <c r="H27" s="10"/>
      <c r="I27" s="2">
        <v>6</v>
      </c>
      <c r="J27" s="67">
        <f t="shared" si="7"/>
        <v>6</v>
      </c>
      <c r="L27" s="20">
        <v>17</v>
      </c>
      <c r="M27" s="166" t="s">
        <v>115</v>
      </c>
      <c r="N27" s="166"/>
      <c r="O27" s="3">
        <f>SUM(J49,J100:J102,J206)/6</f>
        <v>4.3373333333333335</v>
      </c>
      <c r="P27" s="4" t="s">
        <v>6</v>
      </c>
      <c r="Q27" s="28">
        <v>4264893</v>
      </c>
      <c r="R27" s="80">
        <f t="shared" si="0"/>
        <v>18498262.572000001</v>
      </c>
      <c r="S27" s="80">
        <f t="shared" si="1"/>
        <v>3514669.8886800003</v>
      </c>
      <c r="T27" s="103">
        <f t="shared" si="2"/>
        <v>22012932.46068</v>
      </c>
      <c r="W27" s="87">
        <v>17</v>
      </c>
      <c r="X27" s="210" t="s">
        <v>301</v>
      </c>
      <c r="Y27" s="84">
        <v>75.5</v>
      </c>
      <c r="Z27" s="84" t="s">
        <v>6</v>
      </c>
      <c r="AA27" s="85">
        <v>17310</v>
      </c>
      <c r="AB27" s="85">
        <f t="shared" si="3"/>
        <v>1306905</v>
      </c>
      <c r="AC27" s="86">
        <f t="shared" si="4"/>
        <v>248311.95</v>
      </c>
      <c r="AD27" s="88">
        <f t="shared" si="5"/>
        <v>1555216.95</v>
      </c>
    </row>
    <row r="28" spans="1:30" ht="15" customHeight="1" x14ac:dyDescent="0.25">
      <c r="A28" s="20">
        <v>18</v>
      </c>
      <c r="B28" s="163" t="s">
        <v>83</v>
      </c>
      <c r="C28" s="163"/>
      <c r="D28" s="2">
        <v>4</v>
      </c>
      <c r="E28" s="2" t="s">
        <v>6</v>
      </c>
      <c r="F28" s="9">
        <v>44379</v>
      </c>
      <c r="G28" s="2"/>
      <c r="H28" s="10"/>
      <c r="I28" s="2">
        <v>12</v>
      </c>
      <c r="J28" s="67">
        <f t="shared" si="7"/>
        <v>48</v>
      </c>
      <c r="L28" s="20">
        <v>18</v>
      </c>
      <c r="M28" s="175" t="s">
        <v>185</v>
      </c>
      <c r="N28" s="175"/>
      <c r="O28" s="3">
        <f>SUM(H59,H66:H71,H84:H89,H115,H130:H132,H158,H171,H172,H194,H211,H244,H280)/14.4</f>
        <v>0.61922291666666662</v>
      </c>
      <c r="P28" s="4" t="s">
        <v>6</v>
      </c>
      <c r="Q28" s="28">
        <v>3670620</v>
      </c>
      <c r="R28" s="80">
        <f t="shared" si="0"/>
        <v>2272932.0223749997</v>
      </c>
      <c r="S28" s="80">
        <f t="shared" si="1"/>
        <v>431857.08425124997</v>
      </c>
      <c r="T28" s="103">
        <f t="shared" si="2"/>
        <v>2704789.1066262498</v>
      </c>
      <c r="W28" s="87">
        <v>18</v>
      </c>
      <c r="X28" s="210" t="s">
        <v>302</v>
      </c>
      <c r="Y28" s="84">
        <v>9</v>
      </c>
      <c r="Z28" s="84" t="s">
        <v>6</v>
      </c>
      <c r="AA28" s="85">
        <v>53638</v>
      </c>
      <c r="AB28" s="85">
        <f t="shared" si="3"/>
        <v>482742</v>
      </c>
      <c r="AC28" s="86">
        <f t="shared" si="4"/>
        <v>91720.98</v>
      </c>
      <c r="AD28" s="88">
        <f t="shared" si="5"/>
        <v>574462.98</v>
      </c>
    </row>
    <row r="29" spans="1:30" ht="15" customHeight="1" x14ac:dyDescent="0.25">
      <c r="A29" s="20">
        <v>19</v>
      </c>
      <c r="B29" s="163" t="s">
        <v>84</v>
      </c>
      <c r="C29" s="163"/>
      <c r="D29" s="2">
        <v>1</v>
      </c>
      <c r="E29" s="2" t="s">
        <v>6</v>
      </c>
      <c r="F29" s="9">
        <v>44379</v>
      </c>
      <c r="G29" s="2"/>
      <c r="H29" s="10"/>
      <c r="I29" s="2">
        <v>8</v>
      </c>
      <c r="J29" s="67">
        <f t="shared" si="7"/>
        <v>8</v>
      </c>
      <c r="L29" s="20">
        <v>19</v>
      </c>
      <c r="M29" s="176" t="s">
        <v>117</v>
      </c>
      <c r="N29" s="176"/>
      <c r="O29" s="3">
        <f>SUM(J61,J77:J78,J107)/6</f>
        <v>10.48</v>
      </c>
      <c r="P29" s="4" t="s">
        <v>6</v>
      </c>
      <c r="Q29" s="28">
        <v>720465</v>
      </c>
      <c r="R29" s="80">
        <f t="shared" si="0"/>
        <v>7550473.2000000002</v>
      </c>
      <c r="S29" s="80">
        <f t="shared" si="1"/>
        <v>1434589.9080000001</v>
      </c>
      <c r="T29" s="103">
        <f t="shared" si="2"/>
        <v>8985063.1080000009</v>
      </c>
      <c r="W29" s="87">
        <v>19</v>
      </c>
      <c r="X29" s="210" t="s">
        <v>303</v>
      </c>
      <c r="Y29" s="84">
        <v>88</v>
      </c>
      <c r="Z29" s="84" t="s">
        <v>6</v>
      </c>
      <c r="AA29" s="85">
        <v>53638</v>
      </c>
      <c r="AB29" s="85">
        <f t="shared" si="3"/>
        <v>4720144</v>
      </c>
      <c r="AC29" s="86">
        <f t="shared" si="4"/>
        <v>896827.36</v>
      </c>
      <c r="AD29" s="88">
        <f t="shared" si="5"/>
        <v>5616971.3600000003</v>
      </c>
    </row>
    <row r="30" spans="1:30" ht="15" customHeight="1" x14ac:dyDescent="0.25">
      <c r="A30" s="20">
        <v>20</v>
      </c>
      <c r="B30" s="165" t="s">
        <v>7</v>
      </c>
      <c r="C30" s="165"/>
      <c r="D30" s="2">
        <v>2</v>
      </c>
      <c r="E30" s="2" t="s">
        <v>6</v>
      </c>
      <c r="F30" s="9">
        <v>44379</v>
      </c>
      <c r="G30" s="2"/>
      <c r="H30" s="10"/>
      <c r="I30" s="2">
        <v>6</v>
      </c>
      <c r="J30" s="67">
        <f t="shared" si="7"/>
        <v>12</v>
      </c>
      <c r="L30" s="20">
        <v>20</v>
      </c>
      <c r="M30" s="176" t="s">
        <v>47</v>
      </c>
      <c r="N30" s="176"/>
      <c r="O30" s="3">
        <f>SUM(J62,J105)/6</f>
        <v>5</v>
      </c>
      <c r="P30" s="4" t="s">
        <v>6</v>
      </c>
      <c r="Q30" s="28">
        <v>604675</v>
      </c>
      <c r="R30" s="80">
        <f t="shared" si="0"/>
        <v>3023375</v>
      </c>
      <c r="S30" s="80">
        <f t="shared" si="1"/>
        <v>574441.25</v>
      </c>
      <c r="T30" s="103">
        <f t="shared" si="2"/>
        <v>3597816.25</v>
      </c>
      <c r="W30" s="87">
        <v>20</v>
      </c>
      <c r="X30" s="210" t="s">
        <v>304</v>
      </c>
      <c r="Y30" s="84">
        <v>2</v>
      </c>
      <c r="Z30" s="84" t="s">
        <v>6</v>
      </c>
      <c r="AA30" s="85">
        <v>1800</v>
      </c>
      <c r="AB30" s="85">
        <f t="shared" si="3"/>
        <v>3600</v>
      </c>
      <c r="AC30" s="86">
        <f t="shared" si="4"/>
        <v>684</v>
      </c>
      <c r="AD30" s="88">
        <f t="shared" si="5"/>
        <v>4284</v>
      </c>
    </row>
    <row r="31" spans="1:30" ht="15" customHeight="1" x14ac:dyDescent="0.25">
      <c r="A31" s="20">
        <v>21</v>
      </c>
      <c r="B31" s="165" t="s">
        <v>11</v>
      </c>
      <c r="C31" s="165"/>
      <c r="D31" s="2">
        <v>2</v>
      </c>
      <c r="E31" s="2" t="s">
        <v>6</v>
      </c>
      <c r="F31" s="9">
        <v>44379</v>
      </c>
      <c r="G31" s="2"/>
      <c r="H31" s="10"/>
      <c r="I31" s="2">
        <v>6</v>
      </c>
      <c r="J31" s="67">
        <f t="shared" si="7"/>
        <v>12</v>
      </c>
      <c r="L31" s="20">
        <v>21</v>
      </c>
      <c r="M31" s="175" t="s">
        <v>116</v>
      </c>
      <c r="N31" s="175"/>
      <c r="O31" s="3">
        <f>SUM(J79,J106)/6</f>
        <v>2.1666666666666665</v>
      </c>
      <c r="P31" s="4" t="s">
        <v>6</v>
      </c>
      <c r="Q31" s="28">
        <v>383211</v>
      </c>
      <c r="R31" s="80">
        <f t="shared" si="0"/>
        <v>830290.5</v>
      </c>
      <c r="S31" s="80">
        <f t="shared" si="1"/>
        <v>157755.19500000001</v>
      </c>
      <c r="T31" s="103">
        <f t="shared" si="2"/>
        <v>988045.69500000007</v>
      </c>
      <c r="W31" s="87">
        <v>21</v>
      </c>
      <c r="X31" s="210" t="s">
        <v>355</v>
      </c>
      <c r="Y31" s="84">
        <v>2</v>
      </c>
      <c r="Z31" s="84" t="s">
        <v>6</v>
      </c>
      <c r="AA31" s="85">
        <v>24370</v>
      </c>
      <c r="AB31" s="85">
        <f t="shared" si="3"/>
        <v>48740</v>
      </c>
      <c r="AC31" s="86">
        <f t="shared" si="4"/>
        <v>9260.6</v>
      </c>
      <c r="AD31" s="88">
        <f t="shared" si="5"/>
        <v>58000.6</v>
      </c>
    </row>
    <row r="32" spans="1:30" ht="15" customHeight="1" x14ac:dyDescent="0.25">
      <c r="A32" s="20">
        <v>22</v>
      </c>
      <c r="B32" s="165" t="s">
        <v>88</v>
      </c>
      <c r="C32" s="165"/>
      <c r="D32" s="2">
        <v>1</v>
      </c>
      <c r="E32" s="2" t="s">
        <v>6</v>
      </c>
      <c r="F32" s="9">
        <v>44379</v>
      </c>
      <c r="G32" s="2"/>
      <c r="H32" s="10"/>
      <c r="I32" s="2">
        <v>6</v>
      </c>
      <c r="J32" s="67">
        <f t="shared" si="7"/>
        <v>6</v>
      </c>
      <c r="L32" s="20">
        <v>22</v>
      </c>
      <c r="M32" s="176" t="s">
        <v>282</v>
      </c>
      <c r="N32" s="176"/>
      <c r="O32" s="3">
        <f>SUM(J65,J114,J197,J230,J262,J282,)/6</f>
        <v>10.536666666666667</v>
      </c>
      <c r="P32" s="4" t="s">
        <v>6</v>
      </c>
      <c r="Q32" s="28">
        <v>117448</v>
      </c>
      <c r="R32" s="80">
        <f t="shared" si="0"/>
        <v>1237510.4266666668</v>
      </c>
      <c r="S32" s="80">
        <f t="shared" si="1"/>
        <v>235126.98106666669</v>
      </c>
      <c r="T32" s="103">
        <f t="shared" si="2"/>
        <v>1472637.4077333335</v>
      </c>
      <c r="W32" s="87">
        <v>22</v>
      </c>
      <c r="X32" s="210" t="s">
        <v>305</v>
      </c>
      <c r="Y32" s="84">
        <v>86</v>
      </c>
      <c r="Z32" s="84" t="s">
        <v>6</v>
      </c>
      <c r="AA32" s="85">
        <v>35421</v>
      </c>
      <c r="AB32" s="85">
        <f t="shared" si="3"/>
        <v>3046206</v>
      </c>
      <c r="AC32" s="86">
        <f t="shared" si="4"/>
        <v>578779.14</v>
      </c>
      <c r="AD32" s="88">
        <f t="shared" si="5"/>
        <v>3624985.14</v>
      </c>
    </row>
    <row r="33" spans="1:30" ht="15" customHeight="1" x14ac:dyDescent="0.25">
      <c r="A33" s="20">
        <v>23</v>
      </c>
      <c r="B33" s="165" t="s">
        <v>83</v>
      </c>
      <c r="C33" s="165"/>
      <c r="D33" s="2">
        <v>1</v>
      </c>
      <c r="E33" s="2" t="s">
        <v>6</v>
      </c>
      <c r="F33" s="9">
        <v>44379</v>
      </c>
      <c r="G33" s="2"/>
      <c r="H33" s="10"/>
      <c r="I33" s="2">
        <v>12</v>
      </c>
      <c r="J33" s="67">
        <f t="shared" si="7"/>
        <v>12</v>
      </c>
      <c r="L33" s="20">
        <v>23</v>
      </c>
      <c r="M33" s="171" t="s">
        <v>187</v>
      </c>
      <c r="N33" s="171"/>
      <c r="O33" s="3">
        <f>SUM(H75,H246:H247,H256,H278,H299,H274)/10.8</f>
        <v>6.6554629629629627</v>
      </c>
      <c r="P33" s="4" t="s">
        <v>6</v>
      </c>
      <c r="Q33" s="28">
        <v>1159480</v>
      </c>
      <c r="R33" s="80">
        <f t="shared" si="0"/>
        <v>7716876.1962962961</v>
      </c>
      <c r="S33" s="80">
        <f t="shared" si="1"/>
        <v>1466206.4772962963</v>
      </c>
      <c r="T33" s="103">
        <f t="shared" si="2"/>
        <v>9183082.6735925917</v>
      </c>
      <c r="W33" s="87">
        <v>23</v>
      </c>
      <c r="X33" s="210" t="s">
        <v>306</v>
      </c>
      <c r="Y33" s="84">
        <v>8</v>
      </c>
      <c r="Z33" s="84" t="s">
        <v>6</v>
      </c>
      <c r="AA33" s="85">
        <v>15900</v>
      </c>
      <c r="AB33" s="85">
        <f t="shared" si="3"/>
        <v>127200</v>
      </c>
      <c r="AC33" s="86">
        <f t="shared" si="4"/>
        <v>24168</v>
      </c>
      <c r="AD33" s="88">
        <f t="shared" si="5"/>
        <v>151368</v>
      </c>
    </row>
    <row r="34" spans="1:30" ht="15" customHeight="1" x14ac:dyDescent="0.25">
      <c r="A34" s="20">
        <v>24</v>
      </c>
      <c r="B34" s="163" t="s">
        <v>85</v>
      </c>
      <c r="C34" s="163"/>
      <c r="D34" s="2">
        <v>1</v>
      </c>
      <c r="E34" s="2" t="s">
        <v>6</v>
      </c>
      <c r="F34" s="9">
        <v>44380</v>
      </c>
      <c r="G34" s="2"/>
      <c r="H34" s="10"/>
      <c r="I34" s="2">
        <v>3</v>
      </c>
      <c r="J34" s="67">
        <f t="shared" si="7"/>
        <v>3</v>
      </c>
      <c r="L34" s="20">
        <v>24</v>
      </c>
      <c r="M34" s="214" t="s">
        <v>21</v>
      </c>
      <c r="N34" s="214"/>
      <c r="O34" s="3">
        <f>SUM(J76)/3</f>
        <v>2</v>
      </c>
      <c r="P34" s="4" t="s">
        <v>6</v>
      </c>
      <c r="Q34" s="28">
        <v>79170</v>
      </c>
      <c r="R34" s="80">
        <f t="shared" si="0"/>
        <v>158340</v>
      </c>
      <c r="S34" s="80">
        <f t="shared" si="1"/>
        <v>30084.6</v>
      </c>
      <c r="T34" s="103">
        <f t="shared" si="2"/>
        <v>188424.6</v>
      </c>
      <c r="W34" s="87">
        <v>24</v>
      </c>
      <c r="X34" s="210" t="s">
        <v>307</v>
      </c>
      <c r="Y34" s="84">
        <v>20</v>
      </c>
      <c r="Z34" s="84" t="s">
        <v>6</v>
      </c>
      <c r="AA34" s="85">
        <v>10000</v>
      </c>
      <c r="AB34" s="85">
        <f t="shared" si="3"/>
        <v>200000</v>
      </c>
      <c r="AC34" s="86">
        <f t="shared" si="4"/>
        <v>38000</v>
      </c>
      <c r="AD34" s="88">
        <f t="shared" si="5"/>
        <v>238000</v>
      </c>
    </row>
    <row r="35" spans="1:30" ht="15" customHeight="1" x14ac:dyDescent="0.25">
      <c r="A35" s="20">
        <v>25</v>
      </c>
      <c r="B35" s="163" t="s">
        <v>86</v>
      </c>
      <c r="C35" s="163"/>
      <c r="D35" s="2">
        <v>1</v>
      </c>
      <c r="E35" s="2" t="s">
        <v>6</v>
      </c>
      <c r="F35" s="9">
        <v>44380</v>
      </c>
      <c r="G35" s="2"/>
      <c r="H35" s="10"/>
      <c r="I35" s="2">
        <v>6</v>
      </c>
      <c r="J35" s="67">
        <f t="shared" si="7"/>
        <v>6</v>
      </c>
      <c r="L35" s="20">
        <v>25</v>
      </c>
      <c r="M35" s="215" t="s">
        <v>57</v>
      </c>
      <c r="N35" s="215"/>
      <c r="O35" s="3">
        <f>SUM(J117)/6</f>
        <v>5</v>
      </c>
      <c r="P35" s="4" t="s">
        <v>6</v>
      </c>
      <c r="Q35" s="28">
        <v>28105</v>
      </c>
      <c r="R35" s="80">
        <f t="shared" si="0"/>
        <v>140525</v>
      </c>
      <c r="S35" s="80">
        <f t="shared" si="1"/>
        <v>26699.75</v>
      </c>
      <c r="T35" s="103">
        <f t="shared" si="2"/>
        <v>167224.75</v>
      </c>
      <c r="W35" s="87">
        <v>25</v>
      </c>
      <c r="X35" s="210" t="s">
        <v>308</v>
      </c>
      <c r="Y35" s="84">
        <v>170</v>
      </c>
      <c r="Z35" s="84" t="s">
        <v>6</v>
      </c>
      <c r="AA35" s="85">
        <v>14076</v>
      </c>
      <c r="AB35" s="85">
        <f t="shared" si="3"/>
        <v>2392920</v>
      </c>
      <c r="AC35" s="86">
        <f t="shared" si="4"/>
        <v>454654.8</v>
      </c>
      <c r="AD35" s="88">
        <f t="shared" si="5"/>
        <v>2847574.8</v>
      </c>
    </row>
    <row r="36" spans="1:30" ht="15" customHeight="1" x14ac:dyDescent="0.25">
      <c r="A36" s="20">
        <v>26</v>
      </c>
      <c r="B36" s="165" t="s">
        <v>58</v>
      </c>
      <c r="C36" s="165"/>
      <c r="D36" s="2">
        <v>4</v>
      </c>
      <c r="E36" s="2" t="s">
        <v>6</v>
      </c>
      <c r="F36" s="9">
        <v>44380</v>
      </c>
      <c r="G36" s="2"/>
      <c r="H36" s="10"/>
      <c r="I36" s="2">
        <v>6</v>
      </c>
      <c r="J36" s="67">
        <f t="shared" si="7"/>
        <v>24</v>
      </c>
      <c r="L36" s="20">
        <v>26</v>
      </c>
      <c r="M36" s="215" t="s">
        <v>118</v>
      </c>
      <c r="N36" s="215"/>
      <c r="O36" s="3">
        <f>SUM(J119)/6</f>
        <v>0.26666666666666666</v>
      </c>
      <c r="P36" s="4" t="s">
        <v>6</v>
      </c>
      <c r="Q36" s="28">
        <v>412745</v>
      </c>
      <c r="R36" s="80">
        <f t="shared" si="0"/>
        <v>110065.33333333333</v>
      </c>
      <c r="S36" s="80">
        <f t="shared" si="1"/>
        <v>20912.413333333334</v>
      </c>
      <c r="T36" s="103">
        <f t="shared" si="2"/>
        <v>130977.74666666666</v>
      </c>
      <c r="W36" s="87">
        <v>26</v>
      </c>
      <c r="X36" s="210" t="s">
        <v>309</v>
      </c>
      <c r="Y36" s="84">
        <v>90</v>
      </c>
      <c r="Z36" s="84" t="s">
        <v>6</v>
      </c>
      <c r="AA36" s="85">
        <v>7311</v>
      </c>
      <c r="AB36" s="85">
        <f t="shared" si="3"/>
        <v>657990</v>
      </c>
      <c r="AC36" s="86">
        <f t="shared" si="4"/>
        <v>125018.1</v>
      </c>
      <c r="AD36" s="88">
        <f t="shared" si="5"/>
        <v>783008.1</v>
      </c>
    </row>
    <row r="37" spans="1:30" ht="15" customHeight="1" x14ac:dyDescent="0.25">
      <c r="A37" s="20">
        <v>27</v>
      </c>
      <c r="B37" s="165" t="s">
        <v>46</v>
      </c>
      <c r="C37" s="165"/>
      <c r="D37" s="2">
        <v>30</v>
      </c>
      <c r="E37" s="2" t="s">
        <v>6</v>
      </c>
      <c r="F37" s="9">
        <v>44380</v>
      </c>
      <c r="G37" s="2"/>
      <c r="H37" s="10"/>
      <c r="I37" s="2">
        <v>6</v>
      </c>
      <c r="J37" s="67">
        <f t="shared" si="7"/>
        <v>180</v>
      </c>
      <c r="L37" s="20">
        <v>27</v>
      </c>
      <c r="M37" s="216" t="s">
        <v>186</v>
      </c>
      <c r="N37" s="216"/>
      <c r="O37" s="3">
        <f>SUM(H120:H121)/14.4</f>
        <v>0.16500000000000001</v>
      </c>
      <c r="P37" s="4" t="s">
        <v>6</v>
      </c>
      <c r="Q37" s="28">
        <v>7647780</v>
      </c>
      <c r="R37" s="80">
        <f t="shared" si="0"/>
        <v>1261883.7</v>
      </c>
      <c r="S37" s="80">
        <f t="shared" si="1"/>
        <v>239757.90299999999</v>
      </c>
      <c r="T37" s="103">
        <f t="shared" si="2"/>
        <v>1501641.6029999999</v>
      </c>
      <c r="W37" s="87">
        <v>27</v>
      </c>
      <c r="X37" s="210" t="s">
        <v>310</v>
      </c>
      <c r="Y37" s="84">
        <v>43</v>
      </c>
      <c r="Z37" s="84" t="s">
        <v>6</v>
      </c>
      <c r="AA37" s="85">
        <v>19328</v>
      </c>
      <c r="AB37" s="85">
        <f t="shared" si="3"/>
        <v>831104</v>
      </c>
      <c r="AC37" s="86">
        <f t="shared" si="4"/>
        <v>157909.76000000001</v>
      </c>
      <c r="AD37" s="88">
        <f t="shared" si="5"/>
        <v>989013.76</v>
      </c>
    </row>
    <row r="38" spans="1:30" ht="15" customHeight="1" x14ac:dyDescent="0.25">
      <c r="A38" s="20">
        <v>28</v>
      </c>
      <c r="B38" s="163" t="s">
        <v>87</v>
      </c>
      <c r="C38" s="163"/>
      <c r="D38" s="2">
        <v>4</v>
      </c>
      <c r="E38" s="2" t="s">
        <v>6</v>
      </c>
      <c r="F38" s="9">
        <v>44381</v>
      </c>
      <c r="G38" s="2">
        <f>1.8*0.23</f>
        <v>0.41400000000000003</v>
      </c>
      <c r="H38" s="10">
        <f>G38*D38</f>
        <v>1.6560000000000001</v>
      </c>
      <c r="I38" s="2"/>
      <c r="J38" s="67"/>
      <c r="L38" s="20">
        <v>28</v>
      </c>
      <c r="M38" s="217" t="s">
        <v>165</v>
      </c>
      <c r="N38" s="217"/>
      <c r="O38" s="3">
        <f>SUM(J126:J127)/6</f>
        <v>0.16500000000000001</v>
      </c>
      <c r="P38" s="4" t="s">
        <v>6</v>
      </c>
      <c r="Q38" s="28">
        <v>986483</v>
      </c>
      <c r="R38" s="80">
        <f t="shared" si="0"/>
        <v>162769.69500000001</v>
      </c>
      <c r="S38" s="80">
        <f t="shared" si="1"/>
        <v>30926.242050000001</v>
      </c>
      <c r="T38" s="103">
        <f t="shared" si="2"/>
        <v>193695.93705000001</v>
      </c>
      <c r="W38" s="87">
        <v>28</v>
      </c>
      <c r="X38" s="210" t="s">
        <v>311</v>
      </c>
      <c r="Y38" s="84">
        <v>20</v>
      </c>
      <c r="Z38" s="84" t="s">
        <v>6</v>
      </c>
      <c r="AA38" s="85">
        <v>23453</v>
      </c>
      <c r="AB38" s="85">
        <f t="shared" si="3"/>
        <v>469060</v>
      </c>
      <c r="AC38" s="86">
        <f t="shared" si="4"/>
        <v>89121.4</v>
      </c>
      <c r="AD38" s="88">
        <f t="shared" si="5"/>
        <v>558181.4</v>
      </c>
    </row>
    <row r="39" spans="1:30" ht="15" customHeight="1" x14ac:dyDescent="0.25">
      <c r="A39" s="20">
        <v>29</v>
      </c>
      <c r="B39" s="165" t="s">
        <v>11</v>
      </c>
      <c r="C39" s="165"/>
      <c r="D39" s="2">
        <v>2</v>
      </c>
      <c r="E39" s="2" t="s">
        <v>6</v>
      </c>
      <c r="F39" s="9">
        <v>44381</v>
      </c>
      <c r="G39" s="2"/>
      <c r="H39" s="10"/>
      <c r="I39" s="2">
        <v>6</v>
      </c>
      <c r="J39" s="67">
        <f>I39*D39</f>
        <v>12</v>
      </c>
      <c r="L39" s="20">
        <v>29</v>
      </c>
      <c r="M39" s="217" t="s">
        <v>164</v>
      </c>
      <c r="N39" s="217"/>
      <c r="O39" s="3">
        <f>SUM(J128,J222)/6</f>
        <v>0.14500000000000002</v>
      </c>
      <c r="P39" s="4" t="s">
        <v>6</v>
      </c>
      <c r="Q39" s="28">
        <v>1294873</v>
      </c>
      <c r="R39" s="80">
        <f t="shared" si="0"/>
        <v>187756.58500000002</v>
      </c>
      <c r="S39" s="80">
        <f t="shared" si="1"/>
        <v>35673.751150000004</v>
      </c>
      <c r="T39" s="103">
        <f t="shared" si="2"/>
        <v>223430.33615000002</v>
      </c>
      <c r="W39" s="87">
        <v>29</v>
      </c>
      <c r="X39" s="210" t="s">
        <v>312</v>
      </c>
      <c r="Y39" s="84">
        <v>145</v>
      </c>
      <c r="Z39" s="84" t="s">
        <v>6</v>
      </c>
      <c r="AA39" s="85">
        <v>3794</v>
      </c>
      <c r="AB39" s="85">
        <f t="shared" si="3"/>
        <v>550130</v>
      </c>
      <c r="AC39" s="86">
        <f t="shared" si="4"/>
        <v>104524.7</v>
      </c>
      <c r="AD39" s="88">
        <f t="shared" si="5"/>
        <v>654654.69999999995</v>
      </c>
    </row>
    <row r="40" spans="1:30" ht="15" customHeight="1" x14ac:dyDescent="0.25">
      <c r="A40" s="20">
        <v>30</v>
      </c>
      <c r="B40" s="165" t="s">
        <v>89</v>
      </c>
      <c r="C40" s="165"/>
      <c r="D40" s="2">
        <v>2</v>
      </c>
      <c r="E40" s="2" t="s">
        <v>6</v>
      </c>
      <c r="F40" s="9">
        <v>44381</v>
      </c>
      <c r="G40" s="2"/>
      <c r="H40" s="10"/>
      <c r="I40" s="2">
        <v>6</v>
      </c>
      <c r="J40" s="67">
        <f t="shared" ref="J40:J49" si="8">I40*D40</f>
        <v>12</v>
      </c>
      <c r="L40" s="20">
        <v>30</v>
      </c>
      <c r="M40" s="216" t="s">
        <v>135</v>
      </c>
      <c r="N40" s="216"/>
      <c r="O40" s="24">
        <f>SUM(J168,J190,J203,J245,J255,J260,J281)/6</f>
        <v>23.223333333333329</v>
      </c>
      <c r="P40" s="4" t="s">
        <v>6</v>
      </c>
      <c r="Q40" s="28">
        <v>57966</v>
      </c>
      <c r="R40" s="80">
        <f t="shared" si="0"/>
        <v>1346163.7399999998</v>
      </c>
      <c r="S40" s="80">
        <f t="shared" si="1"/>
        <v>255771.11059999996</v>
      </c>
      <c r="T40" s="103">
        <f t="shared" si="2"/>
        <v>1601934.8505999998</v>
      </c>
      <c r="W40" s="87">
        <v>30</v>
      </c>
      <c r="X40" s="210" t="s">
        <v>313</v>
      </c>
      <c r="Y40" s="84">
        <v>8</v>
      </c>
      <c r="Z40" s="84" t="s">
        <v>6</v>
      </c>
      <c r="AA40" s="85">
        <v>85600</v>
      </c>
      <c r="AB40" s="85">
        <f t="shared" si="3"/>
        <v>684800</v>
      </c>
      <c r="AC40" s="86">
        <f t="shared" si="4"/>
        <v>130112</v>
      </c>
      <c r="AD40" s="88">
        <f t="shared" si="5"/>
        <v>814912</v>
      </c>
    </row>
    <row r="41" spans="1:30" ht="15" customHeight="1" x14ac:dyDescent="0.25">
      <c r="A41" s="20">
        <v>31</v>
      </c>
      <c r="B41" s="165" t="s">
        <v>86</v>
      </c>
      <c r="C41" s="165"/>
      <c r="D41" s="2">
        <v>2</v>
      </c>
      <c r="E41" s="2" t="s">
        <v>6</v>
      </c>
      <c r="F41" s="9">
        <v>44381</v>
      </c>
      <c r="G41" s="2"/>
      <c r="H41" s="10"/>
      <c r="I41" s="2">
        <v>6</v>
      </c>
      <c r="J41" s="67">
        <f t="shared" si="8"/>
        <v>12</v>
      </c>
      <c r="L41" s="20">
        <v>31</v>
      </c>
      <c r="M41" s="218" t="s">
        <v>136</v>
      </c>
      <c r="N41" s="218"/>
      <c r="O41" s="24">
        <f>SUM(J170,J173:J174,J195,J212,J221,J228,J251,J2565,J252)/6</f>
        <v>17.826666666666664</v>
      </c>
      <c r="P41" s="4" t="s">
        <v>6</v>
      </c>
      <c r="Q41" s="28">
        <v>92658</v>
      </c>
      <c r="R41" s="80">
        <f t="shared" si="0"/>
        <v>1651783.2799999998</v>
      </c>
      <c r="S41" s="80">
        <f t="shared" si="1"/>
        <v>313838.82319999998</v>
      </c>
      <c r="T41" s="103">
        <f t="shared" si="2"/>
        <v>1965622.1031999998</v>
      </c>
      <c r="W41" s="87">
        <v>31</v>
      </c>
      <c r="X41" s="210" t="s">
        <v>314</v>
      </c>
      <c r="Y41" s="84">
        <v>4</v>
      </c>
      <c r="Z41" s="84" t="s">
        <v>6</v>
      </c>
      <c r="AA41" s="85">
        <v>3784</v>
      </c>
      <c r="AB41" s="85">
        <f t="shared" si="3"/>
        <v>15136</v>
      </c>
      <c r="AC41" s="86">
        <f t="shared" si="4"/>
        <v>2875.84</v>
      </c>
      <c r="AD41" s="88">
        <f t="shared" si="5"/>
        <v>18011.84</v>
      </c>
    </row>
    <row r="42" spans="1:30" ht="15" customHeight="1" x14ac:dyDescent="0.25">
      <c r="A42" s="20">
        <v>32</v>
      </c>
      <c r="B42" s="163" t="s">
        <v>83</v>
      </c>
      <c r="C42" s="163"/>
      <c r="D42" s="2">
        <v>1</v>
      </c>
      <c r="E42" s="2" t="s">
        <v>6</v>
      </c>
      <c r="F42" s="9">
        <v>44382</v>
      </c>
      <c r="G42" s="2"/>
      <c r="H42" s="10"/>
      <c r="I42" s="2">
        <v>12</v>
      </c>
      <c r="J42" s="67">
        <f t="shared" si="8"/>
        <v>12</v>
      </c>
      <c r="L42" s="20">
        <v>32</v>
      </c>
      <c r="M42" s="218" t="s">
        <v>148</v>
      </c>
      <c r="N42" s="218"/>
      <c r="O42" s="3">
        <f>SUM(J189,J193,J204,J214,J294)/6</f>
        <v>27</v>
      </c>
      <c r="P42" s="4" t="s">
        <v>6</v>
      </c>
      <c r="Q42" s="28">
        <v>141637</v>
      </c>
      <c r="R42" s="80">
        <f t="shared" si="0"/>
        <v>3824199</v>
      </c>
      <c r="S42" s="80">
        <f t="shared" si="1"/>
        <v>726597.81</v>
      </c>
      <c r="T42" s="103">
        <f t="shared" si="2"/>
        <v>4550796.8100000005</v>
      </c>
      <c r="W42" s="87">
        <v>32</v>
      </c>
      <c r="X42" s="210" t="s">
        <v>315</v>
      </c>
      <c r="Y42" s="84">
        <v>2</v>
      </c>
      <c r="Z42" s="84" t="s">
        <v>6</v>
      </c>
      <c r="AA42" s="85">
        <v>2521.0100000000002</v>
      </c>
      <c r="AB42" s="85">
        <f t="shared" si="3"/>
        <v>5042.0200000000004</v>
      </c>
      <c r="AC42" s="86">
        <f t="shared" si="4"/>
        <v>957.98380000000009</v>
      </c>
      <c r="AD42" s="88">
        <f t="shared" si="5"/>
        <v>6000.0038000000004</v>
      </c>
    </row>
    <row r="43" spans="1:30" ht="15" customHeight="1" x14ac:dyDescent="0.25">
      <c r="A43" s="20">
        <v>33</v>
      </c>
      <c r="B43" s="163" t="s">
        <v>46</v>
      </c>
      <c r="C43" s="163"/>
      <c r="D43" s="2">
        <v>60</v>
      </c>
      <c r="E43" s="2" t="s">
        <v>6</v>
      </c>
      <c r="F43" s="9">
        <v>44382</v>
      </c>
      <c r="G43" s="2"/>
      <c r="H43" s="10"/>
      <c r="I43" s="2">
        <v>6</v>
      </c>
      <c r="J43" s="67">
        <f t="shared" si="8"/>
        <v>360</v>
      </c>
      <c r="L43" s="25">
        <v>33</v>
      </c>
      <c r="M43" s="219" t="s">
        <v>188</v>
      </c>
      <c r="N43" s="219"/>
      <c r="O43" s="24">
        <f>SUM(H191,H196)/7.2</f>
        <v>0.20536111111111113</v>
      </c>
      <c r="P43" s="4" t="s">
        <v>6</v>
      </c>
      <c r="Q43" s="28">
        <v>452725</v>
      </c>
      <c r="R43" s="80">
        <f t="shared" si="0"/>
        <v>92972.109027777784</v>
      </c>
      <c r="S43" s="80">
        <f t="shared" si="1"/>
        <v>17664.700715277781</v>
      </c>
      <c r="T43" s="103">
        <f t="shared" si="2"/>
        <v>110636.80974305556</v>
      </c>
      <c r="W43" s="87">
        <v>33</v>
      </c>
      <c r="X43" s="211" t="s">
        <v>316</v>
      </c>
      <c r="Y43" s="84">
        <v>116</v>
      </c>
      <c r="Z43" s="84" t="s">
        <v>6</v>
      </c>
      <c r="AA43" s="85">
        <v>4927</v>
      </c>
      <c r="AB43" s="85">
        <f t="shared" si="3"/>
        <v>571532</v>
      </c>
      <c r="AC43" s="86">
        <f t="shared" si="4"/>
        <v>108591.08</v>
      </c>
      <c r="AD43" s="88">
        <f t="shared" si="5"/>
        <v>680123.08</v>
      </c>
    </row>
    <row r="44" spans="1:30" ht="15" customHeight="1" x14ac:dyDescent="0.25">
      <c r="A44" s="20">
        <v>34</v>
      </c>
      <c r="B44" s="163" t="s">
        <v>114</v>
      </c>
      <c r="C44" s="163"/>
      <c r="D44" s="2">
        <v>30</v>
      </c>
      <c r="E44" s="2" t="s">
        <v>6</v>
      </c>
      <c r="F44" s="9">
        <v>44382</v>
      </c>
      <c r="G44" s="2"/>
      <c r="H44" s="10"/>
      <c r="I44" s="2">
        <v>6</v>
      </c>
      <c r="J44" s="67">
        <f t="shared" si="8"/>
        <v>180</v>
      </c>
      <c r="L44" s="20">
        <v>34</v>
      </c>
      <c r="M44" s="217" t="s">
        <v>166</v>
      </c>
      <c r="N44" s="217"/>
      <c r="O44" s="26">
        <f>SUM(J198,J201)/6</f>
        <v>0.40666666666666668</v>
      </c>
      <c r="P44" s="4" t="s">
        <v>6</v>
      </c>
      <c r="Q44" s="28">
        <v>682735</v>
      </c>
      <c r="R44" s="80">
        <f t="shared" si="0"/>
        <v>277645.56666666665</v>
      </c>
      <c r="S44" s="80">
        <f t="shared" si="1"/>
        <v>52752.657666666666</v>
      </c>
      <c r="T44" s="103">
        <f t="shared" si="2"/>
        <v>330398.22433333332</v>
      </c>
      <c r="W44" s="87">
        <v>34</v>
      </c>
      <c r="X44" s="211" t="s">
        <v>317</v>
      </c>
      <c r="Y44" s="84">
        <v>1</v>
      </c>
      <c r="Z44" s="84" t="s">
        <v>6</v>
      </c>
      <c r="AA44" s="85">
        <v>46219</v>
      </c>
      <c r="AB44" s="85">
        <f t="shared" si="3"/>
        <v>46219</v>
      </c>
      <c r="AC44" s="86">
        <f t="shared" si="4"/>
        <v>8781.61</v>
      </c>
      <c r="AD44" s="88">
        <f t="shared" si="5"/>
        <v>55000.61</v>
      </c>
    </row>
    <row r="45" spans="1:30" ht="15" customHeight="1" x14ac:dyDescent="0.25">
      <c r="A45" s="20">
        <v>35</v>
      </c>
      <c r="B45" s="163" t="s">
        <v>82</v>
      </c>
      <c r="C45" s="163"/>
      <c r="D45" s="2">
        <v>2</v>
      </c>
      <c r="E45" s="2" t="s">
        <v>6</v>
      </c>
      <c r="F45" s="9">
        <v>44382</v>
      </c>
      <c r="G45" s="2"/>
      <c r="H45" s="10"/>
      <c r="I45" s="2">
        <v>6</v>
      </c>
      <c r="J45" s="67">
        <f t="shared" si="8"/>
        <v>12</v>
      </c>
      <c r="L45" s="25">
        <v>35</v>
      </c>
      <c r="M45" s="218" t="s">
        <v>369</v>
      </c>
      <c r="N45" s="218"/>
      <c r="O45" s="26">
        <f>SUM(J216:J217,J225)/6</f>
        <v>9.5916666666666668</v>
      </c>
      <c r="P45" s="4" t="s">
        <v>6</v>
      </c>
      <c r="Q45" s="28">
        <v>87846</v>
      </c>
      <c r="R45" s="80">
        <f t="shared" si="0"/>
        <v>842589.55</v>
      </c>
      <c r="S45" s="80">
        <f t="shared" si="1"/>
        <v>160092.01450000002</v>
      </c>
      <c r="T45" s="103">
        <f t="shared" si="2"/>
        <v>1002681.5645000001</v>
      </c>
      <c r="W45" s="87">
        <v>35</v>
      </c>
      <c r="X45" s="211" t="s">
        <v>318</v>
      </c>
      <c r="Y45" s="84">
        <v>1</v>
      </c>
      <c r="Z45" s="84" t="s">
        <v>6</v>
      </c>
      <c r="AA45" s="85">
        <v>15558.7</v>
      </c>
      <c r="AB45" s="85">
        <f t="shared" si="3"/>
        <v>15558.7</v>
      </c>
      <c r="AC45" s="86">
        <f t="shared" si="4"/>
        <v>2956.1530000000002</v>
      </c>
      <c r="AD45" s="88">
        <f t="shared" si="5"/>
        <v>18514.853000000003</v>
      </c>
    </row>
    <row r="46" spans="1:30" ht="15" customHeight="1" x14ac:dyDescent="0.25">
      <c r="A46" s="20">
        <v>36</v>
      </c>
      <c r="B46" s="163" t="s">
        <v>81</v>
      </c>
      <c r="C46" s="163"/>
      <c r="D46" s="2">
        <v>2</v>
      </c>
      <c r="E46" s="2" t="s">
        <v>6</v>
      </c>
      <c r="F46" s="9">
        <v>44382</v>
      </c>
      <c r="G46" s="2"/>
      <c r="H46" s="10"/>
      <c r="I46" s="2">
        <v>6</v>
      </c>
      <c r="J46" s="67">
        <f t="shared" si="8"/>
        <v>12</v>
      </c>
      <c r="L46" s="20">
        <v>36</v>
      </c>
      <c r="M46" s="217" t="s">
        <v>174</v>
      </c>
      <c r="N46" s="217"/>
      <c r="O46" s="26">
        <f>SUM(J218:J219)/6</f>
        <v>0.19166666666666665</v>
      </c>
      <c r="P46" s="4" t="s">
        <v>6</v>
      </c>
      <c r="Q46" s="28">
        <v>1188354</v>
      </c>
      <c r="R46" s="80">
        <f t="shared" si="0"/>
        <v>227767.84999999998</v>
      </c>
      <c r="S46" s="80">
        <f t="shared" si="1"/>
        <v>43275.891499999998</v>
      </c>
      <c r="T46" s="103">
        <f t="shared" si="2"/>
        <v>271043.7415</v>
      </c>
      <c r="W46" s="87">
        <v>36</v>
      </c>
      <c r="X46" s="211" t="s">
        <v>319</v>
      </c>
      <c r="Y46" s="84">
        <v>75</v>
      </c>
      <c r="Z46" s="84" t="s">
        <v>6</v>
      </c>
      <c r="AA46" s="85">
        <v>9515</v>
      </c>
      <c r="AB46" s="85">
        <f t="shared" si="3"/>
        <v>713625</v>
      </c>
      <c r="AC46" s="86">
        <f t="shared" si="4"/>
        <v>135588.75</v>
      </c>
      <c r="AD46" s="88">
        <f t="shared" si="5"/>
        <v>849213.75</v>
      </c>
    </row>
    <row r="47" spans="1:30" ht="15" customHeight="1" x14ac:dyDescent="0.25">
      <c r="A47" s="20">
        <v>37</v>
      </c>
      <c r="B47" s="163" t="s">
        <v>53</v>
      </c>
      <c r="C47" s="163"/>
      <c r="D47" s="2">
        <v>1</v>
      </c>
      <c r="E47" s="2" t="s">
        <v>6</v>
      </c>
      <c r="F47" s="9">
        <v>44382</v>
      </c>
      <c r="G47" s="2"/>
      <c r="H47" s="10"/>
      <c r="I47" s="2">
        <v>6</v>
      </c>
      <c r="J47" s="67">
        <f t="shared" si="8"/>
        <v>6</v>
      </c>
      <c r="L47" s="20">
        <v>37</v>
      </c>
      <c r="M47" s="217" t="s">
        <v>281</v>
      </c>
      <c r="N47" s="217"/>
      <c r="O47" s="26">
        <f>SUM(J229)/6</f>
        <v>0.79999999999999993</v>
      </c>
      <c r="P47" s="4" t="s">
        <v>6</v>
      </c>
      <c r="Q47" s="28">
        <v>16000</v>
      </c>
      <c r="R47" s="80">
        <f t="shared" si="0"/>
        <v>12799.999999999998</v>
      </c>
      <c r="S47" s="80">
        <f t="shared" si="1"/>
        <v>2431.9999999999995</v>
      </c>
      <c r="T47" s="103">
        <f t="shared" si="2"/>
        <v>15231.999999999998</v>
      </c>
      <c r="W47" s="87">
        <v>37</v>
      </c>
      <c r="X47" s="211" t="s">
        <v>320</v>
      </c>
      <c r="Y47" s="84">
        <v>2</v>
      </c>
      <c r="Z47" s="84" t="s">
        <v>6</v>
      </c>
      <c r="AA47" s="85">
        <v>88250</v>
      </c>
      <c r="AB47" s="85">
        <f t="shared" si="3"/>
        <v>176500</v>
      </c>
      <c r="AC47" s="86">
        <f t="shared" si="4"/>
        <v>33535</v>
      </c>
      <c r="AD47" s="88">
        <f t="shared" si="5"/>
        <v>210035</v>
      </c>
    </row>
    <row r="48" spans="1:30" ht="15" customHeight="1" x14ac:dyDescent="0.25">
      <c r="A48" s="20">
        <v>38</v>
      </c>
      <c r="B48" s="163" t="s">
        <v>90</v>
      </c>
      <c r="C48" s="163"/>
      <c r="D48" s="2">
        <v>2</v>
      </c>
      <c r="E48" s="2" t="s">
        <v>6</v>
      </c>
      <c r="F48" s="9">
        <v>44383</v>
      </c>
      <c r="G48" s="2"/>
      <c r="H48" s="10"/>
      <c r="I48" s="2">
        <v>6</v>
      </c>
      <c r="J48" s="67">
        <f t="shared" si="8"/>
        <v>12</v>
      </c>
      <c r="L48" s="20">
        <v>38</v>
      </c>
      <c r="M48" s="218" t="s">
        <v>370</v>
      </c>
      <c r="N48" s="218"/>
      <c r="O48" s="26">
        <f>SUM(J254,J283)/6</f>
        <v>9.1333333333333329</v>
      </c>
      <c r="P48" s="4" t="s">
        <v>6</v>
      </c>
      <c r="Q48" s="28">
        <v>46662</v>
      </c>
      <c r="R48" s="80">
        <f t="shared" si="0"/>
        <v>426179.6</v>
      </c>
      <c r="S48" s="80">
        <f t="shared" si="1"/>
        <v>80974.123999999996</v>
      </c>
      <c r="T48" s="103">
        <f t="shared" si="2"/>
        <v>507153.72399999999</v>
      </c>
      <c r="W48" s="87">
        <v>38</v>
      </c>
      <c r="X48" s="211" t="s">
        <v>321</v>
      </c>
      <c r="Y48" s="84">
        <v>1</v>
      </c>
      <c r="Z48" s="84" t="s">
        <v>6</v>
      </c>
      <c r="AA48" s="85">
        <v>5378</v>
      </c>
      <c r="AB48" s="85">
        <f t="shared" si="3"/>
        <v>5378</v>
      </c>
      <c r="AC48" s="86">
        <f t="shared" si="4"/>
        <v>1021.82</v>
      </c>
      <c r="AD48" s="88">
        <f t="shared" si="5"/>
        <v>6399.82</v>
      </c>
    </row>
    <row r="49" spans="1:30" ht="15" customHeight="1" x14ac:dyDescent="0.25">
      <c r="A49" s="20">
        <v>39</v>
      </c>
      <c r="B49" s="163" t="s">
        <v>91</v>
      </c>
      <c r="C49" s="163"/>
      <c r="D49" s="2">
        <v>1</v>
      </c>
      <c r="E49" s="2" t="s">
        <v>6</v>
      </c>
      <c r="F49" s="9">
        <v>44383</v>
      </c>
      <c r="G49" s="2"/>
      <c r="H49" s="10"/>
      <c r="I49" s="2">
        <v>8.5</v>
      </c>
      <c r="J49" s="67">
        <f t="shared" si="8"/>
        <v>8.5</v>
      </c>
      <c r="L49" s="20">
        <v>39</v>
      </c>
      <c r="M49" s="164" t="s">
        <v>372</v>
      </c>
      <c r="N49" s="164"/>
      <c r="O49" s="26">
        <f>SUM(J266)/6</f>
        <v>2.08</v>
      </c>
      <c r="P49" s="4" t="s">
        <v>6</v>
      </c>
      <c r="Q49" s="28">
        <v>258735</v>
      </c>
      <c r="R49" s="80">
        <f t="shared" si="0"/>
        <v>538168.80000000005</v>
      </c>
      <c r="S49" s="80">
        <f t="shared" si="1"/>
        <v>102252.07200000001</v>
      </c>
      <c r="T49" s="103">
        <f t="shared" si="2"/>
        <v>640420.87200000009</v>
      </c>
      <c r="W49" s="87">
        <v>39</v>
      </c>
      <c r="X49" s="211" t="s">
        <v>322</v>
      </c>
      <c r="Y49" s="84">
        <v>1</v>
      </c>
      <c r="Z49" s="84" t="s">
        <v>6</v>
      </c>
      <c r="AA49" s="85">
        <v>504</v>
      </c>
      <c r="AB49" s="85">
        <f t="shared" si="3"/>
        <v>504</v>
      </c>
      <c r="AC49" s="86">
        <f t="shared" si="4"/>
        <v>95.76</v>
      </c>
      <c r="AD49" s="88">
        <f t="shared" si="5"/>
        <v>599.76</v>
      </c>
    </row>
    <row r="50" spans="1:30" ht="15" customHeight="1" x14ac:dyDescent="0.25">
      <c r="A50" s="20">
        <v>40</v>
      </c>
      <c r="B50" s="163" t="s">
        <v>92</v>
      </c>
      <c r="C50" s="163"/>
      <c r="D50" s="2">
        <v>1</v>
      </c>
      <c r="E50" s="2" t="s">
        <v>6</v>
      </c>
      <c r="F50" s="9">
        <v>44383</v>
      </c>
      <c r="G50" s="2">
        <v>1</v>
      </c>
      <c r="H50" s="10">
        <f>G50*D50</f>
        <v>1</v>
      </c>
      <c r="I50" s="2"/>
      <c r="J50" s="67"/>
      <c r="L50" s="20">
        <v>40</v>
      </c>
      <c r="M50" s="164" t="s">
        <v>89</v>
      </c>
      <c r="N50" s="164"/>
      <c r="O50" s="26">
        <f>SUM(J271:J272)/6</f>
        <v>1.8</v>
      </c>
      <c r="P50" s="4" t="s">
        <v>6</v>
      </c>
      <c r="Q50" s="28">
        <v>23917</v>
      </c>
      <c r="R50" s="80">
        <f t="shared" si="0"/>
        <v>43050.6</v>
      </c>
      <c r="S50" s="80">
        <f t="shared" si="1"/>
        <v>8179.6139999999996</v>
      </c>
      <c r="T50" s="103">
        <f t="shared" si="2"/>
        <v>51230.214</v>
      </c>
      <c r="W50" s="87">
        <v>40</v>
      </c>
      <c r="X50" s="211" t="s">
        <v>323</v>
      </c>
      <c r="Y50" s="84">
        <v>32</v>
      </c>
      <c r="Z50" s="84" t="s">
        <v>6</v>
      </c>
      <c r="AA50" s="85">
        <v>14000</v>
      </c>
      <c r="AB50" s="85">
        <f t="shared" si="3"/>
        <v>448000</v>
      </c>
      <c r="AC50" s="86">
        <f t="shared" si="4"/>
        <v>85120</v>
      </c>
      <c r="AD50" s="88">
        <f t="shared" si="5"/>
        <v>533120</v>
      </c>
    </row>
    <row r="51" spans="1:30" ht="15" customHeight="1" x14ac:dyDescent="0.25">
      <c r="A51" s="20">
        <v>41</v>
      </c>
      <c r="B51" s="163" t="s">
        <v>93</v>
      </c>
      <c r="C51" s="163"/>
      <c r="D51" s="2">
        <v>2</v>
      </c>
      <c r="E51" s="2" t="s">
        <v>6</v>
      </c>
      <c r="F51" s="9">
        <v>44383</v>
      </c>
      <c r="G51" s="2"/>
      <c r="H51" s="10"/>
      <c r="I51" s="2">
        <v>6</v>
      </c>
      <c r="J51" s="67">
        <f>I51*D51</f>
        <v>12</v>
      </c>
      <c r="L51" s="20">
        <v>41</v>
      </c>
      <c r="M51" s="164" t="s">
        <v>371</v>
      </c>
      <c r="N51" s="164"/>
      <c r="O51" s="26">
        <f>SUM(J275)/6</f>
        <v>3</v>
      </c>
      <c r="P51" s="4" t="s">
        <v>6</v>
      </c>
      <c r="Q51" s="28">
        <v>34826</v>
      </c>
      <c r="R51" s="80">
        <f t="shared" si="0"/>
        <v>104478</v>
      </c>
      <c r="S51" s="80">
        <f t="shared" si="1"/>
        <v>19850.82</v>
      </c>
      <c r="T51" s="103">
        <f t="shared" si="2"/>
        <v>124328.82</v>
      </c>
      <c r="W51" s="87">
        <v>41</v>
      </c>
      <c r="X51" s="211" t="s">
        <v>357</v>
      </c>
      <c r="Y51" s="84">
        <v>1</v>
      </c>
      <c r="Z51" s="84" t="s">
        <v>6</v>
      </c>
      <c r="AA51" s="85">
        <v>4453.78</v>
      </c>
      <c r="AB51" s="85">
        <f t="shared" si="3"/>
        <v>4453.78</v>
      </c>
      <c r="AC51" s="86">
        <f t="shared" si="4"/>
        <v>846.21819999999991</v>
      </c>
      <c r="AD51" s="88">
        <f t="shared" si="5"/>
        <v>5299.9982</v>
      </c>
    </row>
    <row r="52" spans="1:30" ht="15" customHeight="1" x14ac:dyDescent="0.25">
      <c r="A52" s="20">
        <v>42</v>
      </c>
      <c r="B52" s="163" t="s">
        <v>82</v>
      </c>
      <c r="C52" s="163"/>
      <c r="D52" s="2">
        <v>2</v>
      </c>
      <c r="E52" s="2" t="s">
        <v>6</v>
      </c>
      <c r="F52" s="9">
        <v>44383</v>
      </c>
      <c r="G52" s="2"/>
      <c r="H52" s="10"/>
      <c r="I52" s="2">
        <v>6</v>
      </c>
      <c r="J52" s="67">
        <f>I52*D52</f>
        <v>12</v>
      </c>
      <c r="L52" s="25">
        <v>42</v>
      </c>
      <c r="M52" s="164" t="s">
        <v>342</v>
      </c>
      <c r="N52" s="164"/>
      <c r="O52" s="26">
        <v>557</v>
      </c>
      <c r="P52" s="4" t="s">
        <v>6</v>
      </c>
      <c r="Q52" s="28">
        <v>20588</v>
      </c>
      <c r="R52" s="80">
        <f t="shared" si="0"/>
        <v>11467516</v>
      </c>
      <c r="S52" s="80">
        <f t="shared" si="1"/>
        <v>2178828.04</v>
      </c>
      <c r="T52" s="103">
        <f t="shared" si="2"/>
        <v>13646344.039999999</v>
      </c>
      <c r="W52" s="87">
        <v>42</v>
      </c>
      <c r="X52" s="211" t="s">
        <v>324</v>
      </c>
      <c r="Y52" s="84">
        <v>1</v>
      </c>
      <c r="Z52" s="84" t="s">
        <v>6</v>
      </c>
      <c r="AA52" s="85">
        <v>13000</v>
      </c>
      <c r="AB52" s="85">
        <f t="shared" si="3"/>
        <v>13000</v>
      </c>
      <c r="AC52" s="86">
        <f t="shared" si="4"/>
        <v>2470</v>
      </c>
      <c r="AD52" s="88">
        <f t="shared" si="5"/>
        <v>15470</v>
      </c>
    </row>
    <row r="53" spans="1:30" ht="15" customHeight="1" x14ac:dyDescent="0.25">
      <c r="A53" s="20">
        <v>43</v>
      </c>
      <c r="B53" s="163" t="s">
        <v>81</v>
      </c>
      <c r="C53" s="163"/>
      <c r="D53" s="2">
        <v>2</v>
      </c>
      <c r="E53" s="2" t="s">
        <v>6</v>
      </c>
      <c r="F53" s="9">
        <v>44383</v>
      </c>
      <c r="G53" s="2"/>
      <c r="H53" s="10"/>
      <c r="I53" s="2">
        <v>6</v>
      </c>
      <c r="J53" s="67">
        <f>I53*D53</f>
        <v>12</v>
      </c>
      <c r="L53" s="25">
        <v>43</v>
      </c>
      <c r="M53" s="215" t="s">
        <v>350</v>
      </c>
      <c r="N53" s="215"/>
      <c r="O53" s="93">
        <v>251.34</v>
      </c>
      <c r="P53" s="2" t="s">
        <v>6</v>
      </c>
      <c r="Q53" s="94">
        <v>15871</v>
      </c>
      <c r="R53" s="80">
        <f t="shared" si="0"/>
        <v>3989017.14</v>
      </c>
      <c r="S53" s="80">
        <f t="shared" si="1"/>
        <v>757913.25660000008</v>
      </c>
      <c r="T53" s="103">
        <f t="shared" si="2"/>
        <v>4746930.3966000006</v>
      </c>
      <c r="W53" s="87">
        <v>43</v>
      </c>
      <c r="X53" s="211" t="s">
        <v>325</v>
      </c>
      <c r="Y53" s="84">
        <v>4</v>
      </c>
      <c r="Z53" s="84" t="s">
        <v>6</v>
      </c>
      <c r="AA53" s="85">
        <v>516</v>
      </c>
      <c r="AB53" s="85">
        <f t="shared" si="3"/>
        <v>2064</v>
      </c>
      <c r="AC53" s="86">
        <f t="shared" si="4"/>
        <v>392.16</v>
      </c>
      <c r="AD53" s="88">
        <f t="shared" si="5"/>
        <v>2456.16</v>
      </c>
    </row>
    <row r="54" spans="1:30" ht="15" customHeight="1" x14ac:dyDescent="0.25">
      <c r="A54" s="20">
        <v>44</v>
      </c>
      <c r="B54" s="163" t="s">
        <v>46</v>
      </c>
      <c r="C54" s="163"/>
      <c r="D54" s="2">
        <v>35</v>
      </c>
      <c r="E54" s="2" t="s">
        <v>6</v>
      </c>
      <c r="F54" s="9">
        <v>44385</v>
      </c>
      <c r="G54" s="2"/>
      <c r="H54" s="10"/>
      <c r="I54" s="2">
        <v>6</v>
      </c>
      <c r="J54" s="67">
        <f>I54*D54</f>
        <v>210</v>
      </c>
      <c r="L54" s="25">
        <v>44</v>
      </c>
      <c r="M54" s="215" t="s">
        <v>351</v>
      </c>
      <c r="N54" s="215"/>
      <c r="O54" s="93">
        <v>129.72</v>
      </c>
      <c r="P54" s="2" t="s">
        <v>6</v>
      </c>
      <c r="Q54" s="94">
        <v>28105</v>
      </c>
      <c r="R54" s="80">
        <f t="shared" si="0"/>
        <v>3645780.6</v>
      </c>
      <c r="S54" s="80">
        <f t="shared" si="1"/>
        <v>692698.31400000001</v>
      </c>
      <c r="T54" s="103">
        <f t="shared" si="2"/>
        <v>4338478.9139999999</v>
      </c>
      <c r="W54" s="87">
        <v>44</v>
      </c>
      <c r="X54" s="211" t="s">
        <v>326</v>
      </c>
      <c r="Y54" s="84">
        <v>4</v>
      </c>
      <c r="Z54" s="84" t="s">
        <v>6</v>
      </c>
      <c r="AA54" s="85">
        <v>137</v>
      </c>
      <c r="AB54" s="85">
        <f t="shared" si="3"/>
        <v>548</v>
      </c>
      <c r="AC54" s="86">
        <f t="shared" si="4"/>
        <v>104.12</v>
      </c>
      <c r="AD54" s="88">
        <f t="shared" si="5"/>
        <v>652.12</v>
      </c>
    </row>
    <row r="55" spans="1:30" ht="15" customHeight="1" x14ac:dyDescent="0.25">
      <c r="A55" s="20">
        <v>45</v>
      </c>
      <c r="B55" s="163" t="s">
        <v>94</v>
      </c>
      <c r="C55" s="163"/>
      <c r="D55" s="2">
        <v>1</v>
      </c>
      <c r="E55" s="2" t="s">
        <v>6</v>
      </c>
      <c r="F55" s="9">
        <v>44386</v>
      </c>
      <c r="G55" s="2">
        <f>2*1.8</f>
        <v>3.6</v>
      </c>
      <c r="H55" s="10">
        <f>G55*D55</f>
        <v>3.6</v>
      </c>
      <c r="I55" s="2"/>
      <c r="J55" s="67"/>
      <c r="L55" s="25">
        <v>45</v>
      </c>
      <c r="M55" s="215" t="s">
        <v>352</v>
      </c>
      <c r="N55" s="215"/>
      <c r="O55" s="93">
        <v>194.07999999999996</v>
      </c>
      <c r="P55" s="2" t="s">
        <v>6</v>
      </c>
      <c r="Q55" s="94">
        <v>43976</v>
      </c>
      <c r="R55" s="80">
        <f t="shared" si="0"/>
        <v>8534862.0799999982</v>
      </c>
      <c r="S55" s="80">
        <f t="shared" si="1"/>
        <v>1621623.7951999996</v>
      </c>
      <c r="T55" s="103">
        <f t="shared" si="2"/>
        <v>10156485.875199998</v>
      </c>
      <c r="W55" s="87">
        <v>45</v>
      </c>
      <c r="X55" s="211" t="s">
        <v>327</v>
      </c>
      <c r="Y55" s="84">
        <v>8</v>
      </c>
      <c r="Z55" s="84" t="s">
        <v>6</v>
      </c>
      <c r="AA55" s="85">
        <v>61</v>
      </c>
      <c r="AB55" s="85">
        <f t="shared" si="3"/>
        <v>488</v>
      </c>
      <c r="AC55" s="86">
        <f t="shared" si="4"/>
        <v>92.72</v>
      </c>
      <c r="AD55" s="88">
        <f t="shared" si="5"/>
        <v>580.72</v>
      </c>
    </row>
    <row r="56" spans="1:30" ht="15" customHeight="1" x14ac:dyDescent="0.25">
      <c r="A56" s="20">
        <v>46</v>
      </c>
      <c r="B56" s="163" t="s">
        <v>95</v>
      </c>
      <c r="C56" s="163"/>
      <c r="D56" s="2">
        <v>23</v>
      </c>
      <c r="E56" s="2" t="s">
        <v>6</v>
      </c>
      <c r="F56" s="9">
        <v>44389</v>
      </c>
      <c r="G56" s="2"/>
      <c r="H56" s="10"/>
      <c r="I56" s="2">
        <v>6</v>
      </c>
      <c r="J56" s="67">
        <f>I56*D56</f>
        <v>138</v>
      </c>
      <c r="L56" s="25">
        <v>46</v>
      </c>
      <c r="M56" s="215" t="s">
        <v>353</v>
      </c>
      <c r="N56" s="215"/>
      <c r="O56" s="93">
        <v>53.186666666666667</v>
      </c>
      <c r="P56" s="2" t="s">
        <v>6</v>
      </c>
      <c r="Q56" s="94">
        <v>63343</v>
      </c>
      <c r="R56" s="80">
        <f t="shared" si="0"/>
        <v>3369003.0266666668</v>
      </c>
      <c r="S56" s="80">
        <f t="shared" si="1"/>
        <v>640110.5750666667</v>
      </c>
      <c r="T56" s="103">
        <f t="shared" si="2"/>
        <v>4009113.6017333334</v>
      </c>
      <c r="W56" s="87">
        <v>46</v>
      </c>
      <c r="X56" s="211" t="s">
        <v>328</v>
      </c>
      <c r="Y56" s="84">
        <v>150</v>
      </c>
      <c r="Z56" s="84" t="s">
        <v>6</v>
      </c>
      <c r="AA56" s="85">
        <v>22186</v>
      </c>
      <c r="AB56" s="85">
        <f t="shared" si="3"/>
        <v>3327900</v>
      </c>
      <c r="AC56" s="86">
        <f t="shared" si="4"/>
        <v>632301</v>
      </c>
      <c r="AD56" s="88">
        <f t="shared" si="5"/>
        <v>3960201</v>
      </c>
    </row>
    <row r="57" spans="1:30" ht="15" customHeight="1" x14ac:dyDescent="0.25">
      <c r="A57" s="20">
        <v>47</v>
      </c>
      <c r="B57" s="163" t="s">
        <v>4</v>
      </c>
      <c r="C57" s="163"/>
      <c r="D57" s="2">
        <v>15</v>
      </c>
      <c r="E57" s="2" t="s">
        <v>6</v>
      </c>
      <c r="F57" s="9">
        <v>44391</v>
      </c>
      <c r="G57" s="2"/>
      <c r="H57" s="10"/>
      <c r="I57" s="2">
        <v>0.3</v>
      </c>
      <c r="J57" s="68">
        <f>I57*D57</f>
        <v>4.5</v>
      </c>
      <c r="L57" s="25">
        <v>47</v>
      </c>
      <c r="M57" s="164" t="s">
        <v>363</v>
      </c>
      <c r="N57" s="164"/>
      <c r="O57" s="26">
        <v>41.1</v>
      </c>
      <c r="P57" s="2" t="s">
        <v>6</v>
      </c>
      <c r="Q57" s="28">
        <v>55000</v>
      </c>
      <c r="R57" s="80">
        <f t="shared" si="0"/>
        <v>2260500</v>
      </c>
      <c r="S57" s="80">
        <f t="shared" si="1"/>
        <v>429495</v>
      </c>
      <c r="T57" s="103">
        <f t="shared" si="2"/>
        <v>2689995</v>
      </c>
      <c r="W57" s="87">
        <v>47</v>
      </c>
      <c r="X57" s="211" t="s">
        <v>329</v>
      </c>
      <c r="Y57" s="84">
        <v>1</v>
      </c>
      <c r="Z57" s="84" t="s">
        <v>6</v>
      </c>
      <c r="AA57" s="85">
        <v>45378.15</v>
      </c>
      <c r="AB57" s="85">
        <f t="shared" si="3"/>
        <v>45378.15</v>
      </c>
      <c r="AC57" s="86">
        <f t="shared" si="4"/>
        <v>8621.8485000000001</v>
      </c>
      <c r="AD57" s="88">
        <f t="shared" si="5"/>
        <v>53999.998500000002</v>
      </c>
    </row>
    <row r="58" spans="1:30" ht="15" customHeight="1" x14ac:dyDescent="0.25">
      <c r="A58" s="20">
        <v>48</v>
      </c>
      <c r="B58" s="163" t="s">
        <v>5</v>
      </c>
      <c r="C58" s="163"/>
      <c r="D58" s="2">
        <v>3</v>
      </c>
      <c r="E58" s="2" t="s">
        <v>6</v>
      </c>
      <c r="F58" s="9">
        <v>44391</v>
      </c>
      <c r="G58" s="2"/>
      <c r="H58" s="10"/>
      <c r="I58" s="2">
        <v>0.35699999999999998</v>
      </c>
      <c r="J58" s="68">
        <f>I58*D58</f>
        <v>1.071</v>
      </c>
      <c r="L58" s="25">
        <v>48</v>
      </c>
      <c r="M58" s="164" t="s">
        <v>364</v>
      </c>
      <c r="N58" s="164"/>
      <c r="O58" s="26">
        <v>62</v>
      </c>
      <c r="P58" s="2" t="s">
        <v>6</v>
      </c>
      <c r="Q58" s="28">
        <v>55000</v>
      </c>
      <c r="R58" s="80">
        <f t="shared" si="0"/>
        <v>3410000</v>
      </c>
      <c r="S58" s="80">
        <f t="shared" si="1"/>
        <v>647900</v>
      </c>
      <c r="T58" s="103">
        <f t="shared" si="2"/>
        <v>4057900</v>
      </c>
      <c r="W58" s="87">
        <v>48</v>
      </c>
      <c r="X58" s="211" t="s">
        <v>330</v>
      </c>
      <c r="Y58" s="84">
        <v>52</v>
      </c>
      <c r="Z58" s="84" t="s">
        <v>6</v>
      </c>
      <c r="AA58" s="85">
        <v>846</v>
      </c>
      <c r="AB58" s="85">
        <f t="shared" si="3"/>
        <v>43992</v>
      </c>
      <c r="AC58" s="86">
        <f t="shared" si="4"/>
        <v>8358.48</v>
      </c>
      <c r="AD58" s="88">
        <f t="shared" si="5"/>
        <v>52350.479999999996</v>
      </c>
    </row>
    <row r="59" spans="1:30" ht="15" customHeight="1" x14ac:dyDescent="0.25">
      <c r="A59" s="20">
        <v>49</v>
      </c>
      <c r="B59" s="172" t="s">
        <v>109</v>
      </c>
      <c r="C59" s="172"/>
      <c r="D59" s="2">
        <v>28</v>
      </c>
      <c r="E59" s="2" t="s">
        <v>6</v>
      </c>
      <c r="F59" s="9">
        <v>44394</v>
      </c>
      <c r="G59" s="2">
        <f>0.2*0.28</f>
        <v>5.6000000000000008E-2</v>
      </c>
      <c r="H59" s="11">
        <f>G59*D59</f>
        <v>1.5680000000000003</v>
      </c>
      <c r="I59" s="2"/>
      <c r="J59" s="68"/>
      <c r="L59" s="25">
        <v>49</v>
      </c>
      <c r="M59" s="164" t="s">
        <v>341</v>
      </c>
      <c r="N59" s="164"/>
      <c r="O59" s="26">
        <v>10223</v>
      </c>
      <c r="P59" s="2" t="s">
        <v>6</v>
      </c>
      <c r="Q59" s="28">
        <v>850</v>
      </c>
      <c r="R59" s="80">
        <f t="shared" si="0"/>
        <v>8689550</v>
      </c>
      <c r="S59" s="80">
        <f t="shared" si="1"/>
        <v>1651014.5</v>
      </c>
      <c r="T59" s="103">
        <f t="shared" si="2"/>
        <v>10340564.5</v>
      </c>
      <c r="W59" s="87">
        <v>49</v>
      </c>
      <c r="X59" s="211" t="s">
        <v>331</v>
      </c>
      <c r="Y59" s="84">
        <v>8</v>
      </c>
      <c r="Z59" s="84" t="s">
        <v>6</v>
      </c>
      <c r="AA59" s="85">
        <v>2492</v>
      </c>
      <c r="AB59" s="85">
        <f t="shared" si="3"/>
        <v>19936</v>
      </c>
      <c r="AC59" s="86">
        <f t="shared" si="4"/>
        <v>3787.84</v>
      </c>
      <c r="AD59" s="88">
        <f t="shared" si="5"/>
        <v>23723.84</v>
      </c>
    </row>
    <row r="60" spans="1:30" ht="15" customHeight="1" x14ac:dyDescent="0.25">
      <c r="A60" s="20">
        <v>50</v>
      </c>
      <c r="B60" s="173" t="s">
        <v>7</v>
      </c>
      <c r="C60" s="173"/>
      <c r="D60" s="1">
        <v>5</v>
      </c>
      <c r="E60" s="2" t="s">
        <v>6</v>
      </c>
      <c r="F60" s="12">
        <v>44397</v>
      </c>
      <c r="G60" s="2"/>
      <c r="H60" s="13"/>
      <c r="I60" s="2">
        <v>6</v>
      </c>
      <c r="J60" s="29">
        <f>I60*D60</f>
        <v>30</v>
      </c>
      <c r="L60" s="25">
        <v>50</v>
      </c>
      <c r="M60" s="164" t="s">
        <v>343</v>
      </c>
      <c r="N60" s="164"/>
      <c r="O60" s="26">
        <v>90</v>
      </c>
      <c r="P60" s="2" t="s">
        <v>6</v>
      </c>
      <c r="Q60" s="28">
        <v>15871</v>
      </c>
      <c r="R60" s="80">
        <f t="shared" si="0"/>
        <v>1428390</v>
      </c>
      <c r="S60" s="80">
        <f t="shared" si="1"/>
        <v>271394.09999999998</v>
      </c>
      <c r="T60" s="103">
        <f t="shared" si="2"/>
        <v>1699784.1</v>
      </c>
      <c r="W60" s="87">
        <v>50</v>
      </c>
      <c r="X60" s="211" t="s">
        <v>332</v>
      </c>
      <c r="Y60" s="84">
        <v>28</v>
      </c>
      <c r="Z60" s="84" t="s">
        <v>6</v>
      </c>
      <c r="AA60" s="85">
        <v>924.37</v>
      </c>
      <c r="AB60" s="85">
        <f t="shared" si="3"/>
        <v>25882.36</v>
      </c>
      <c r="AC60" s="86">
        <f t="shared" si="4"/>
        <v>4917.6484</v>
      </c>
      <c r="AD60" s="88">
        <f t="shared" si="5"/>
        <v>30800.008399999999</v>
      </c>
    </row>
    <row r="61" spans="1:30" ht="15" customHeight="1" x14ac:dyDescent="0.25">
      <c r="A61" s="20">
        <v>51</v>
      </c>
      <c r="B61" s="173" t="s">
        <v>8</v>
      </c>
      <c r="C61" s="173"/>
      <c r="D61" s="1">
        <v>6</v>
      </c>
      <c r="E61" s="2" t="s">
        <v>6</v>
      </c>
      <c r="F61" s="12">
        <v>44397</v>
      </c>
      <c r="G61" s="2"/>
      <c r="H61" s="13"/>
      <c r="I61" s="2">
        <v>6</v>
      </c>
      <c r="J61" s="29">
        <f t="shared" ref="J61:J62" si="9">I61*D61</f>
        <v>36</v>
      </c>
      <c r="L61" s="25">
        <v>51</v>
      </c>
      <c r="M61" s="164" t="s">
        <v>344</v>
      </c>
      <c r="N61" s="164"/>
      <c r="O61" s="26">
        <v>30</v>
      </c>
      <c r="P61" s="2" t="s">
        <v>6</v>
      </c>
      <c r="Q61" s="28">
        <v>28105</v>
      </c>
      <c r="R61" s="80">
        <f t="shared" si="0"/>
        <v>843150</v>
      </c>
      <c r="S61" s="80">
        <f t="shared" si="1"/>
        <v>160198.5</v>
      </c>
      <c r="T61" s="103">
        <f t="shared" si="2"/>
        <v>1003348.5</v>
      </c>
      <c r="W61" s="87">
        <v>51</v>
      </c>
      <c r="X61" s="211" t="s">
        <v>333</v>
      </c>
      <c r="Y61" s="84">
        <v>41</v>
      </c>
      <c r="Z61" s="84" t="s">
        <v>6</v>
      </c>
      <c r="AA61" s="85">
        <v>325</v>
      </c>
      <c r="AB61" s="85">
        <f t="shared" si="3"/>
        <v>13325</v>
      </c>
      <c r="AC61" s="86">
        <f t="shared" si="4"/>
        <v>2531.75</v>
      </c>
      <c r="AD61" s="88">
        <f t="shared" si="5"/>
        <v>15856.75</v>
      </c>
    </row>
    <row r="62" spans="1:30" ht="15" customHeight="1" x14ac:dyDescent="0.25">
      <c r="A62" s="20">
        <v>52</v>
      </c>
      <c r="B62" s="173" t="s">
        <v>9</v>
      </c>
      <c r="C62" s="173"/>
      <c r="D62" s="1">
        <v>2</v>
      </c>
      <c r="E62" s="2" t="s">
        <v>6</v>
      </c>
      <c r="F62" s="12">
        <v>44397</v>
      </c>
      <c r="G62" s="2"/>
      <c r="H62" s="13"/>
      <c r="I62" s="2">
        <v>6</v>
      </c>
      <c r="J62" s="29">
        <f t="shared" si="9"/>
        <v>12</v>
      </c>
      <c r="L62" s="25">
        <v>52</v>
      </c>
      <c r="M62" s="164" t="s">
        <v>365</v>
      </c>
      <c r="N62" s="164"/>
      <c r="O62" s="26">
        <v>2.8</v>
      </c>
      <c r="P62" s="2" t="s">
        <v>6</v>
      </c>
      <c r="Q62" s="28">
        <v>55000</v>
      </c>
      <c r="R62" s="80">
        <f t="shared" si="0"/>
        <v>154000</v>
      </c>
      <c r="S62" s="80">
        <f t="shared" si="1"/>
        <v>29260</v>
      </c>
      <c r="T62" s="103">
        <f t="shared" si="2"/>
        <v>183260</v>
      </c>
      <c r="W62" s="87">
        <v>52</v>
      </c>
      <c r="X62" s="211" t="s">
        <v>334</v>
      </c>
      <c r="Y62" s="84">
        <v>30</v>
      </c>
      <c r="Z62" s="84" t="s">
        <v>6</v>
      </c>
      <c r="AA62" s="85">
        <v>14076</v>
      </c>
      <c r="AB62" s="85">
        <f t="shared" si="3"/>
        <v>422280</v>
      </c>
      <c r="AC62" s="86">
        <f t="shared" si="4"/>
        <v>80233.2</v>
      </c>
      <c r="AD62" s="88">
        <f t="shared" si="5"/>
        <v>502513.2</v>
      </c>
    </row>
    <row r="63" spans="1:30" x14ac:dyDescent="0.25">
      <c r="A63" s="20">
        <v>53</v>
      </c>
      <c r="B63" s="173" t="s">
        <v>10</v>
      </c>
      <c r="C63" s="173"/>
      <c r="D63" s="1">
        <v>7</v>
      </c>
      <c r="E63" s="2" t="s">
        <v>6</v>
      </c>
      <c r="F63" s="12">
        <v>44397</v>
      </c>
      <c r="G63" s="2"/>
      <c r="H63" s="13"/>
      <c r="I63" s="2">
        <f>0.3</f>
        <v>0.3</v>
      </c>
      <c r="J63" s="29">
        <f>I63*D63</f>
        <v>2.1</v>
      </c>
      <c r="L63" s="25">
        <v>53</v>
      </c>
      <c r="M63" s="164" t="s">
        <v>366</v>
      </c>
      <c r="N63" s="164"/>
      <c r="O63" s="26">
        <v>4.2</v>
      </c>
      <c r="P63" s="2" t="s">
        <v>6</v>
      </c>
      <c r="Q63" s="28">
        <v>55000</v>
      </c>
      <c r="R63" s="80">
        <f t="shared" si="0"/>
        <v>231000</v>
      </c>
      <c r="S63" s="80">
        <f t="shared" si="1"/>
        <v>43890</v>
      </c>
      <c r="T63" s="103">
        <f t="shared" si="2"/>
        <v>274890</v>
      </c>
      <c r="W63" s="87">
        <v>53</v>
      </c>
      <c r="X63" s="211" t="s">
        <v>335</v>
      </c>
      <c r="Y63" s="84">
        <v>40</v>
      </c>
      <c r="Z63" s="84" t="s">
        <v>6</v>
      </c>
      <c r="AA63" s="85">
        <v>325</v>
      </c>
      <c r="AB63" s="85">
        <f t="shared" si="3"/>
        <v>13000</v>
      </c>
      <c r="AC63" s="86">
        <f t="shared" si="4"/>
        <v>2470</v>
      </c>
      <c r="AD63" s="88">
        <f t="shared" si="5"/>
        <v>15470</v>
      </c>
    </row>
    <row r="64" spans="1:30" x14ac:dyDescent="0.25">
      <c r="A64" s="20">
        <v>54</v>
      </c>
      <c r="B64" s="173" t="s">
        <v>11</v>
      </c>
      <c r="C64" s="173"/>
      <c r="D64" s="1">
        <v>8</v>
      </c>
      <c r="E64" s="2" t="s">
        <v>6</v>
      </c>
      <c r="F64" s="12">
        <v>44398</v>
      </c>
      <c r="G64" s="2"/>
      <c r="H64" s="13"/>
      <c r="I64" s="2">
        <v>6</v>
      </c>
      <c r="J64" s="29">
        <f t="shared" ref="J64:J65" si="10">I64*D64</f>
        <v>48</v>
      </c>
      <c r="L64" s="25">
        <v>54</v>
      </c>
      <c r="M64" s="164" t="s">
        <v>345</v>
      </c>
      <c r="N64" s="164"/>
      <c r="O64" s="26">
        <v>38</v>
      </c>
      <c r="P64" s="2" t="s">
        <v>6</v>
      </c>
      <c r="Q64" s="28">
        <v>20588</v>
      </c>
      <c r="R64" s="80">
        <f t="shared" si="0"/>
        <v>782344</v>
      </c>
      <c r="S64" s="80">
        <f t="shared" si="1"/>
        <v>148645.36000000002</v>
      </c>
      <c r="T64" s="103">
        <f t="shared" si="2"/>
        <v>930989.36</v>
      </c>
      <c r="W64" s="87">
        <v>54</v>
      </c>
      <c r="X64" s="211" t="s">
        <v>336</v>
      </c>
      <c r="Y64" s="84">
        <v>580</v>
      </c>
      <c r="Z64" s="84" t="s">
        <v>6</v>
      </c>
      <c r="AA64" s="85">
        <v>61</v>
      </c>
      <c r="AB64" s="85">
        <f t="shared" si="3"/>
        <v>35380</v>
      </c>
      <c r="AC64" s="86">
        <f t="shared" si="4"/>
        <v>6722.2</v>
      </c>
      <c r="AD64" s="88">
        <f t="shared" si="5"/>
        <v>42102.2</v>
      </c>
    </row>
    <row r="65" spans="1:30" x14ac:dyDescent="0.25">
      <c r="A65" s="20">
        <v>55</v>
      </c>
      <c r="B65" s="173" t="s">
        <v>12</v>
      </c>
      <c r="C65" s="173"/>
      <c r="D65" s="1">
        <v>4</v>
      </c>
      <c r="E65" s="2" t="s">
        <v>6</v>
      </c>
      <c r="F65" s="12">
        <v>44398</v>
      </c>
      <c r="G65" s="2"/>
      <c r="H65" s="13"/>
      <c r="I65" s="2">
        <v>6</v>
      </c>
      <c r="J65" s="29">
        <f t="shared" si="10"/>
        <v>24</v>
      </c>
      <c r="L65" s="25">
        <v>55</v>
      </c>
      <c r="M65" s="164" t="s">
        <v>346</v>
      </c>
      <c r="N65" s="164"/>
      <c r="O65" s="26">
        <v>535</v>
      </c>
      <c r="P65" s="2" t="s">
        <v>6</v>
      </c>
      <c r="Q65" s="28">
        <v>15871</v>
      </c>
      <c r="R65" s="80">
        <f t="shared" si="0"/>
        <v>8490985</v>
      </c>
      <c r="S65" s="80">
        <f t="shared" si="1"/>
        <v>1613287.15</v>
      </c>
      <c r="T65" s="103">
        <f t="shared" si="2"/>
        <v>10104272.15</v>
      </c>
      <c r="W65" s="87">
        <v>55</v>
      </c>
      <c r="X65" s="211" t="s">
        <v>337</v>
      </c>
      <c r="Y65" s="84">
        <v>200</v>
      </c>
      <c r="Z65" s="84" t="s">
        <v>6</v>
      </c>
      <c r="AA65" s="85">
        <v>1049</v>
      </c>
      <c r="AB65" s="85">
        <f t="shared" si="3"/>
        <v>209800</v>
      </c>
      <c r="AC65" s="86">
        <f t="shared" si="4"/>
        <v>39862</v>
      </c>
      <c r="AD65" s="88">
        <f t="shared" si="5"/>
        <v>249662</v>
      </c>
    </row>
    <row r="66" spans="1:30" x14ac:dyDescent="0.25">
      <c r="A66" s="20">
        <v>56</v>
      </c>
      <c r="B66" s="174" t="s">
        <v>13</v>
      </c>
      <c r="C66" s="174"/>
      <c r="D66" s="1">
        <v>2</v>
      </c>
      <c r="E66" s="2" t="s">
        <v>6</v>
      </c>
      <c r="F66" s="12">
        <v>44398</v>
      </c>
      <c r="G66" s="2">
        <f>0.33*0.554</f>
        <v>0.18282000000000004</v>
      </c>
      <c r="H66" s="13">
        <f>G66*D66</f>
        <v>0.36564000000000008</v>
      </c>
      <c r="I66" s="2"/>
      <c r="J66" s="29"/>
      <c r="L66" s="25">
        <v>56</v>
      </c>
      <c r="M66" s="164" t="s">
        <v>367</v>
      </c>
      <c r="N66" s="164"/>
      <c r="O66" s="26">
        <v>29.4</v>
      </c>
      <c r="P66" s="2" t="s">
        <v>6</v>
      </c>
      <c r="Q66" s="28">
        <v>55000</v>
      </c>
      <c r="R66" s="80">
        <f t="shared" si="0"/>
        <v>1617000</v>
      </c>
      <c r="S66" s="80">
        <f t="shared" si="1"/>
        <v>307230</v>
      </c>
      <c r="T66" s="103">
        <f t="shared" si="2"/>
        <v>1924230</v>
      </c>
      <c r="W66" s="87">
        <v>56</v>
      </c>
      <c r="X66" s="211" t="s">
        <v>338</v>
      </c>
      <c r="Y66" s="84">
        <v>200</v>
      </c>
      <c r="Z66" s="84" t="s">
        <v>6</v>
      </c>
      <c r="AA66" s="85">
        <v>311</v>
      </c>
      <c r="AB66" s="85">
        <f t="shared" si="3"/>
        <v>62200</v>
      </c>
      <c r="AC66" s="86">
        <f t="shared" si="4"/>
        <v>11818</v>
      </c>
      <c r="AD66" s="88">
        <f t="shared" si="5"/>
        <v>74018</v>
      </c>
    </row>
    <row r="67" spans="1:30" x14ac:dyDescent="0.25">
      <c r="A67" s="20">
        <v>57</v>
      </c>
      <c r="B67" s="174" t="s">
        <v>14</v>
      </c>
      <c r="C67" s="174"/>
      <c r="D67" s="1">
        <v>1</v>
      </c>
      <c r="E67" s="2" t="s">
        <v>6</v>
      </c>
      <c r="F67" s="12">
        <v>44398</v>
      </c>
      <c r="G67" s="2">
        <f>0.325*0.49</f>
        <v>0.15925</v>
      </c>
      <c r="H67" s="13">
        <f t="shared" ref="H67:H71" si="11">G67*D67</f>
        <v>0.15925</v>
      </c>
      <c r="I67" s="2"/>
      <c r="J67" s="29"/>
      <c r="L67" s="25">
        <v>57</v>
      </c>
      <c r="M67" s="164" t="s">
        <v>368</v>
      </c>
      <c r="N67" s="164"/>
      <c r="O67" s="26">
        <v>44.1</v>
      </c>
      <c r="P67" s="2" t="s">
        <v>6</v>
      </c>
      <c r="Q67" s="28">
        <v>55000</v>
      </c>
      <c r="R67" s="80">
        <f t="shared" si="0"/>
        <v>2425500</v>
      </c>
      <c r="S67" s="80">
        <f t="shared" si="1"/>
        <v>460845</v>
      </c>
      <c r="T67" s="103">
        <f t="shared" si="2"/>
        <v>2886345</v>
      </c>
      <c r="W67" s="87">
        <v>57</v>
      </c>
      <c r="X67" s="211" t="s">
        <v>359</v>
      </c>
      <c r="Y67" s="84">
        <v>1</v>
      </c>
      <c r="Z67" s="84" t="s">
        <v>6</v>
      </c>
      <c r="AA67" s="85">
        <v>46000</v>
      </c>
      <c r="AB67" s="85">
        <f t="shared" ref="AB67:AB70" si="12">AA67*Y67</f>
        <v>46000</v>
      </c>
      <c r="AC67" s="86">
        <f t="shared" ref="AC67:AC70" si="13">AB67*0.19</f>
        <v>8740</v>
      </c>
      <c r="AD67" s="88">
        <f t="shared" ref="AD67:AD70" si="14">SUM(AC67,AB67)</f>
        <v>54740</v>
      </c>
    </row>
    <row r="68" spans="1:30" x14ac:dyDescent="0.25">
      <c r="A68" s="20">
        <v>58</v>
      </c>
      <c r="B68" s="174" t="s">
        <v>15</v>
      </c>
      <c r="C68" s="174"/>
      <c r="D68" s="1">
        <v>4</v>
      </c>
      <c r="E68" s="2" t="s">
        <v>6</v>
      </c>
      <c r="F68" s="12">
        <v>44398</v>
      </c>
      <c r="G68" s="2">
        <f>0.27*0.315</f>
        <v>8.5050000000000001E-2</v>
      </c>
      <c r="H68" s="13">
        <f t="shared" si="11"/>
        <v>0.3402</v>
      </c>
      <c r="I68" s="2"/>
      <c r="J68" s="29"/>
      <c r="L68" s="25">
        <v>58</v>
      </c>
      <c r="M68" s="164" t="s">
        <v>347</v>
      </c>
      <c r="N68" s="164"/>
      <c r="O68" s="26">
        <v>399</v>
      </c>
      <c r="P68" s="4" t="s">
        <v>6</v>
      </c>
      <c r="Q68" s="28">
        <v>20588</v>
      </c>
      <c r="R68" s="80">
        <f t="shared" si="0"/>
        <v>8214612</v>
      </c>
      <c r="S68" s="80">
        <f t="shared" si="1"/>
        <v>1560776.28</v>
      </c>
      <c r="T68" s="103">
        <f t="shared" si="2"/>
        <v>9775388.2799999993</v>
      </c>
      <c r="W68" s="87">
        <v>58</v>
      </c>
      <c r="X68" s="211" t="s">
        <v>358</v>
      </c>
      <c r="Y68" s="84">
        <v>1</v>
      </c>
      <c r="Z68" s="84" t="s">
        <v>6</v>
      </c>
      <c r="AA68" s="85">
        <v>11764.71</v>
      </c>
      <c r="AB68" s="85">
        <f t="shared" si="12"/>
        <v>11764.71</v>
      </c>
      <c r="AC68" s="86">
        <f t="shared" si="13"/>
        <v>2235.2948999999999</v>
      </c>
      <c r="AD68" s="88">
        <f t="shared" si="14"/>
        <v>14000.0049</v>
      </c>
    </row>
    <row r="69" spans="1:30" x14ac:dyDescent="0.25">
      <c r="A69" s="20">
        <v>59</v>
      </c>
      <c r="B69" s="174" t="s">
        <v>16</v>
      </c>
      <c r="C69" s="174"/>
      <c r="D69" s="1">
        <v>4</v>
      </c>
      <c r="E69" s="2" t="s">
        <v>6</v>
      </c>
      <c r="F69" s="12">
        <v>44398</v>
      </c>
      <c r="G69" s="2">
        <f>0.273*0.31</f>
        <v>8.4630000000000011E-2</v>
      </c>
      <c r="H69" s="13">
        <f t="shared" si="11"/>
        <v>0.33852000000000004</v>
      </c>
      <c r="I69" s="2"/>
      <c r="J69" s="29"/>
      <c r="L69" s="25">
        <v>59</v>
      </c>
      <c r="M69" s="164" t="s">
        <v>348</v>
      </c>
      <c r="N69" s="164"/>
      <c r="O69" s="26">
        <v>2321</v>
      </c>
      <c r="P69" s="4" t="s">
        <v>6</v>
      </c>
      <c r="Q69" s="28">
        <v>850</v>
      </c>
      <c r="R69" s="80">
        <f t="shared" si="0"/>
        <v>1972850</v>
      </c>
      <c r="S69" s="80">
        <f t="shared" si="1"/>
        <v>374841.5</v>
      </c>
      <c r="T69" s="103">
        <f t="shared" si="2"/>
        <v>2347691.5</v>
      </c>
      <c r="W69" s="87">
        <v>59</v>
      </c>
      <c r="X69" s="211" t="s">
        <v>339</v>
      </c>
      <c r="Y69" s="84">
        <v>20</v>
      </c>
      <c r="Z69" s="84" t="s">
        <v>6</v>
      </c>
      <c r="AA69" s="85">
        <v>8625</v>
      </c>
      <c r="AB69" s="85">
        <f t="shared" si="12"/>
        <v>172500</v>
      </c>
      <c r="AC69" s="86">
        <f t="shared" si="13"/>
        <v>32775</v>
      </c>
      <c r="AD69" s="88">
        <f t="shared" si="14"/>
        <v>205275</v>
      </c>
    </row>
    <row r="70" spans="1:30" ht="15.75" thickBot="1" x14ac:dyDescent="0.3">
      <c r="A70" s="20">
        <v>60</v>
      </c>
      <c r="B70" s="174" t="s">
        <v>17</v>
      </c>
      <c r="C70" s="174"/>
      <c r="D70" s="1">
        <v>2</v>
      </c>
      <c r="E70" s="2" t="s">
        <v>6</v>
      </c>
      <c r="F70" s="12">
        <v>44398</v>
      </c>
      <c r="G70" s="2">
        <f>0.31*0.54</f>
        <v>0.16740000000000002</v>
      </c>
      <c r="H70" s="13">
        <f t="shared" si="11"/>
        <v>0.33480000000000004</v>
      </c>
      <c r="I70" s="2"/>
      <c r="J70" s="29"/>
      <c r="L70" s="25">
        <v>60</v>
      </c>
      <c r="M70" s="164" t="s">
        <v>349</v>
      </c>
      <c r="N70" s="164"/>
      <c r="O70" s="26">
        <v>4444</v>
      </c>
      <c r="P70" s="4" t="s">
        <v>6</v>
      </c>
      <c r="Q70" s="28">
        <v>850</v>
      </c>
      <c r="R70" s="80">
        <f t="shared" si="0"/>
        <v>3777400</v>
      </c>
      <c r="S70" s="80">
        <f t="shared" si="1"/>
        <v>717706</v>
      </c>
      <c r="T70" s="103">
        <f t="shared" si="2"/>
        <v>4495106</v>
      </c>
      <c r="W70" s="221">
        <v>60</v>
      </c>
      <c r="X70" s="212" t="s">
        <v>340</v>
      </c>
      <c r="Y70" s="89">
        <v>4</v>
      </c>
      <c r="Z70" s="89" t="s">
        <v>6</v>
      </c>
      <c r="AA70" s="90">
        <v>53638</v>
      </c>
      <c r="AB70" s="90">
        <f t="shared" si="12"/>
        <v>214552</v>
      </c>
      <c r="AC70" s="91">
        <f t="shared" si="13"/>
        <v>40764.879999999997</v>
      </c>
      <c r="AD70" s="92">
        <f t="shared" si="14"/>
        <v>255316.88</v>
      </c>
    </row>
    <row r="71" spans="1:30" ht="15.75" thickBot="1" x14ac:dyDescent="0.3">
      <c r="A71" s="20">
        <v>61</v>
      </c>
      <c r="B71" s="174" t="s">
        <v>18</v>
      </c>
      <c r="C71" s="174"/>
      <c r="D71" s="1">
        <v>2</v>
      </c>
      <c r="E71" s="2" t="s">
        <v>6</v>
      </c>
      <c r="F71" s="12">
        <v>44398</v>
      </c>
      <c r="G71" s="2">
        <f>0.24*0.325</f>
        <v>7.8E-2</v>
      </c>
      <c r="H71" s="13">
        <f t="shared" si="11"/>
        <v>0.156</v>
      </c>
      <c r="I71" s="2"/>
      <c r="J71" s="29"/>
      <c r="L71" s="25">
        <v>61</v>
      </c>
      <c r="M71" s="164" t="s">
        <v>356</v>
      </c>
      <c r="N71" s="164"/>
      <c r="O71" s="26">
        <v>1</v>
      </c>
      <c r="P71" s="4" t="s">
        <v>6</v>
      </c>
      <c r="Q71" s="28">
        <v>7990000</v>
      </c>
      <c r="R71" s="80">
        <f t="shared" si="0"/>
        <v>7990000</v>
      </c>
      <c r="S71" s="80">
        <v>0</v>
      </c>
      <c r="T71" s="103">
        <f t="shared" si="2"/>
        <v>7990000</v>
      </c>
      <c r="W71" s="208"/>
      <c r="X71"/>
      <c r="AA71" s="220">
        <f>SUM(AA11:AA70)</f>
        <v>967594.85</v>
      </c>
      <c r="AB71" s="220">
        <f>SUM(AB11:AB70)</f>
        <v>46890315.540000007</v>
      </c>
      <c r="AC71" s="220">
        <f>SUM(AC11:AC70)</f>
        <v>8909159.9526000004</v>
      </c>
      <c r="AD71" s="220">
        <f>SUM(AD11:AD70)</f>
        <v>55799475.492599994</v>
      </c>
    </row>
    <row r="72" spans="1:30" x14ac:dyDescent="0.25">
      <c r="A72" s="20">
        <v>62</v>
      </c>
      <c r="B72" s="173" t="s">
        <v>19</v>
      </c>
      <c r="C72" s="173"/>
      <c r="D72" s="1">
        <v>2</v>
      </c>
      <c r="E72" s="2" t="s">
        <v>6</v>
      </c>
      <c r="F72" s="12">
        <v>44398</v>
      </c>
      <c r="G72" s="2"/>
      <c r="H72" s="13"/>
      <c r="I72" s="2">
        <v>1.8</v>
      </c>
      <c r="J72" s="29">
        <f>I72*D72</f>
        <v>3.6</v>
      </c>
      <c r="L72" s="25">
        <v>62</v>
      </c>
      <c r="M72" s="218" t="s">
        <v>354</v>
      </c>
      <c r="N72" s="218"/>
      <c r="O72" s="26">
        <v>67</v>
      </c>
      <c r="P72" s="4" t="s">
        <v>6</v>
      </c>
      <c r="Q72" s="28">
        <v>85000</v>
      </c>
      <c r="R72" s="80">
        <f t="shared" si="0"/>
        <v>5695000</v>
      </c>
      <c r="S72" s="80">
        <v>0</v>
      </c>
      <c r="T72" s="103">
        <f t="shared" si="2"/>
        <v>5695000</v>
      </c>
    </row>
    <row r="73" spans="1:30" x14ac:dyDescent="0.25">
      <c r="A73" s="20">
        <v>63</v>
      </c>
      <c r="B73" s="173" t="s">
        <v>110</v>
      </c>
      <c r="C73" s="173"/>
      <c r="D73" s="1">
        <v>4</v>
      </c>
      <c r="E73" s="2" t="s">
        <v>6</v>
      </c>
      <c r="F73" s="12">
        <v>44398</v>
      </c>
      <c r="G73" s="2">
        <f>1.8*0.24</f>
        <v>0.432</v>
      </c>
      <c r="H73" s="13">
        <f>G73*D73</f>
        <v>1.728</v>
      </c>
      <c r="I73" s="2"/>
      <c r="J73" s="29"/>
      <c r="L73" s="25">
        <v>63</v>
      </c>
      <c r="M73" s="164" t="s">
        <v>361</v>
      </c>
      <c r="N73" s="164"/>
      <c r="O73" s="26">
        <v>33</v>
      </c>
      <c r="P73" s="4" t="s">
        <v>6</v>
      </c>
      <c r="Q73" s="28">
        <v>20588</v>
      </c>
      <c r="R73" s="80">
        <f t="shared" ref="R73:R74" si="15">Q73*O73</f>
        <v>679404</v>
      </c>
      <c r="S73" s="80">
        <f t="shared" ref="S73:S74" si="16">R73*0.19</f>
        <v>129086.76</v>
      </c>
      <c r="T73" s="103">
        <f t="shared" ref="T73:T74" si="17">SUM(R73:S73)</f>
        <v>808490.76</v>
      </c>
    </row>
    <row r="74" spans="1:30" ht="15.75" thickBot="1" x14ac:dyDescent="0.3">
      <c r="A74" s="20">
        <v>64</v>
      </c>
      <c r="B74" s="173" t="s">
        <v>20</v>
      </c>
      <c r="C74" s="173"/>
      <c r="D74" s="1">
        <v>2</v>
      </c>
      <c r="E74" s="2" t="s">
        <v>6</v>
      </c>
      <c r="F74" s="12">
        <v>44398</v>
      </c>
      <c r="G74" s="2"/>
      <c r="H74" s="13"/>
      <c r="I74" s="2">
        <v>1.62</v>
      </c>
      <c r="J74" s="29">
        <f>I74*D74</f>
        <v>3.24</v>
      </c>
      <c r="L74" s="104">
        <v>64</v>
      </c>
      <c r="M74" s="222" t="s">
        <v>362</v>
      </c>
      <c r="N74" s="222"/>
      <c r="O74" s="105">
        <v>400</v>
      </c>
      <c r="P74" s="106" t="s">
        <v>6</v>
      </c>
      <c r="Q74" s="107">
        <v>15871</v>
      </c>
      <c r="R74" s="108">
        <f t="shared" si="15"/>
        <v>6348400</v>
      </c>
      <c r="S74" s="108">
        <f t="shared" si="16"/>
        <v>1206196</v>
      </c>
      <c r="T74" s="109">
        <f t="shared" si="17"/>
        <v>7554596</v>
      </c>
    </row>
    <row r="75" spans="1:30" ht="15.75" thickBot="1" x14ac:dyDescent="0.3">
      <c r="A75" s="20">
        <v>65</v>
      </c>
      <c r="B75" s="174" t="s">
        <v>111</v>
      </c>
      <c r="C75" s="174"/>
      <c r="D75" s="2">
        <v>156</v>
      </c>
      <c r="E75" s="2" t="s">
        <v>6</v>
      </c>
      <c r="F75" s="12">
        <v>44399</v>
      </c>
      <c r="G75" s="2">
        <f>0.225*0.135</f>
        <v>3.0375000000000003E-2</v>
      </c>
      <c r="H75" s="13">
        <f>G75*D75</f>
        <v>4.7385000000000002</v>
      </c>
      <c r="I75" s="2"/>
      <c r="J75" s="29"/>
      <c r="Q75" s="97">
        <f>SUM(Q11:Q74)</f>
        <v>46383537</v>
      </c>
      <c r="R75" s="97">
        <f>SUM(R11:R74)</f>
        <v>253036330.62479165</v>
      </c>
      <c r="S75" s="97">
        <f>SUM(S11:S74)</f>
        <v>45476752.818710409</v>
      </c>
      <c r="T75" s="97">
        <f>SUM(T11:T74)</f>
        <v>298513083.44350201</v>
      </c>
    </row>
    <row r="76" spans="1:30" x14ac:dyDescent="0.25">
      <c r="A76" s="20">
        <v>66</v>
      </c>
      <c r="B76" s="173" t="s">
        <v>21</v>
      </c>
      <c r="C76" s="173"/>
      <c r="D76" s="2">
        <v>2</v>
      </c>
      <c r="E76" s="2" t="s">
        <v>6</v>
      </c>
      <c r="F76" s="12">
        <v>44399</v>
      </c>
      <c r="G76" s="2"/>
      <c r="H76" s="13"/>
      <c r="I76" s="2">
        <v>3</v>
      </c>
      <c r="J76" s="29">
        <f>I76*D76</f>
        <v>6</v>
      </c>
      <c r="Q76" s="96"/>
      <c r="W76" s="95"/>
    </row>
    <row r="77" spans="1:30" x14ac:dyDescent="0.25">
      <c r="A77" s="20">
        <v>67</v>
      </c>
      <c r="B77" s="173" t="s">
        <v>22</v>
      </c>
      <c r="C77" s="173"/>
      <c r="D77" s="2">
        <v>4</v>
      </c>
      <c r="E77" s="2" t="s">
        <v>6</v>
      </c>
      <c r="F77" s="12">
        <v>44399</v>
      </c>
      <c r="G77" s="2"/>
      <c r="H77" s="13"/>
      <c r="I77" s="2">
        <v>0.435</v>
      </c>
      <c r="J77" s="29">
        <f>I77*D77</f>
        <v>1.74</v>
      </c>
    </row>
    <row r="78" spans="1:30" x14ac:dyDescent="0.25">
      <c r="A78" s="20">
        <v>68</v>
      </c>
      <c r="B78" s="173" t="s">
        <v>23</v>
      </c>
      <c r="C78" s="173"/>
      <c r="D78" s="2">
        <v>4</v>
      </c>
      <c r="E78" s="2" t="s">
        <v>6</v>
      </c>
      <c r="F78" s="12">
        <v>44399</v>
      </c>
      <c r="G78" s="2"/>
      <c r="H78" s="13"/>
      <c r="I78" s="2">
        <v>0.28499999999999998</v>
      </c>
      <c r="J78" s="29">
        <f>I78*D78</f>
        <v>1.1399999999999999</v>
      </c>
    </row>
    <row r="79" spans="1:30" x14ac:dyDescent="0.25">
      <c r="A79" s="20">
        <v>69</v>
      </c>
      <c r="B79" s="163" t="s">
        <v>24</v>
      </c>
      <c r="C79" s="163"/>
      <c r="D79" s="2">
        <v>2</v>
      </c>
      <c r="E79" s="2" t="s">
        <v>6</v>
      </c>
      <c r="F79" s="9">
        <v>44404</v>
      </c>
      <c r="G79" s="2"/>
      <c r="H79" s="13"/>
      <c r="I79" s="2">
        <v>6</v>
      </c>
      <c r="J79" s="29">
        <v>12</v>
      </c>
    </row>
    <row r="80" spans="1:30" x14ac:dyDescent="0.25">
      <c r="A80" s="20">
        <v>70</v>
      </c>
      <c r="B80" s="163" t="s">
        <v>25</v>
      </c>
      <c r="C80" s="163"/>
      <c r="D80" s="2">
        <v>2</v>
      </c>
      <c r="E80" s="2" t="s">
        <v>6</v>
      </c>
      <c r="F80" s="9">
        <v>44404</v>
      </c>
      <c r="G80" s="2"/>
      <c r="H80" s="13"/>
      <c r="I80" s="2">
        <v>2.1</v>
      </c>
      <c r="J80" s="29">
        <v>4.2</v>
      </c>
    </row>
    <row r="81" spans="1:10" x14ac:dyDescent="0.25">
      <c r="A81" s="20">
        <v>71</v>
      </c>
      <c r="B81" s="163" t="s">
        <v>26</v>
      </c>
      <c r="C81" s="163"/>
      <c r="D81" s="1">
        <v>4</v>
      </c>
      <c r="E81" s="2" t="s">
        <v>6</v>
      </c>
      <c r="F81" s="12">
        <v>44419</v>
      </c>
      <c r="G81" s="1"/>
      <c r="H81" s="62"/>
      <c r="I81" s="1">
        <v>6</v>
      </c>
      <c r="J81" s="69">
        <v>24</v>
      </c>
    </row>
    <row r="82" spans="1:10" x14ac:dyDescent="0.25">
      <c r="A82" s="20">
        <v>72</v>
      </c>
      <c r="B82" s="163" t="s">
        <v>26</v>
      </c>
      <c r="C82" s="163"/>
      <c r="D82" s="2">
        <v>3</v>
      </c>
      <c r="E82" s="2" t="s">
        <v>6</v>
      </c>
      <c r="F82" s="9">
        <v>44421</v>
      </c>
      <c r="G82" s="14"/>
      <c r="H82" s="13"/>
      <c r="I82" s="14">
        <v>6</v>
      </c>
      <c r="J82" s="29">
        <v>18</v>
      </c>
    </row>
    <row r="83" spans="1:10" x14ac:dyDescent="0.25">
      <c r="A83" s="20">
        <v>73</v>
      </c>
      <c r="B83" s="163" t="s">
        <v>26</v>
      </c>
      <c r="C83" s="163"/>
      <c r="D83" s="2">
        <v>2</v>
      </c>
      <c r="E83" s="2" t="s">
        <v>6</v>
      </c>
      <c r="F83" s="9">
        <v>44421</v>
      </c>
      <c r="G83" s="14"/>
      <c r="H83" s="13"/>
      <c r="I83" s="14">
        <v>6</v>
      </c>
      <c r="J83" s="29">
        <v>12</v>
      </c>
    </row>
    <row r="84" spans="1:10" x14ac:dyDescent="0.25">
      <c r="A84" s="20">
        <v>74</v>
      </c>
      <c r="B84" s="163" t="s">
        <v>27</v>
      </c>
      <c r="C84" s="163"/>
      <c r="D84" s="2">
        <v>16</v>
      </c>
      <c r="E84" s="2" t="s">
        <v>6</v>
      </c>
      <c r="F84" s="9">
        <v>44425</v>
      </c>
      <c r="G84" s="15">
        <f>0.2*0.13</f>
        <v>2.6000000000000002E-2</v>
      </c>
      <c r="H84" s="13">
        <f>G84*D84</f>
        <v>0.41600000000000004</v>
      </c>
      <c r="I84" s="14"/>
      <c r="J84" s="29"/>
    </row>
    <row r="85" spans="1:10" x14ac:dyDescent="0.25">
      <c r="A85" s="20">
        <v>75</v>
      </c>
      <c r="B85" s="163" t="s">
        <v>28</v>
      </c>
      <c r="C85" s="163"/>
      <c r="D85" s="2">
        <v>8</v>
      </c>
      <c r="E85" s="2" t="s">
        <v>6</v>
      </c>
      <c r="F85" s="9">
        <v>44425</v>
      </c>
      <c r="G85" s="15">
        <f>0.23*0.13</f>
        <v>2.9900000000000003E-2</v>
      </c>
      <c r="H85" s="13">
        <f t="shared" ref="H85:H92" si="18">G85*D85</f>
        <v>0.23920000000000002</v>
      </c>
      <c r="I85" s="14"/>
      <c r="J85" s="29"/>
    </row>
    <row r="86" spans="1:10" x14ac:dyDescent="0.25">
      <c r="A86" s="20">
        <v>76</v>
      </c>
      <c r="B86" s="163" t="s">
        <v>29</v>
      </c>
      <c r="C86" s="163"/>
      <c r="D86" s="2">
        <v>2</v>
      </c>
      <c r="E86" s="2" t="s">
        <v>6</v>
      </c>
      <c r="F86" s="9">
        <v>44425</v>
      </c>
      <c r="G86" s="15">
        <f>0.16*0.07</f>
        <v>1.1200000000000002E-2</v>
      </c>
      <c r="H86" s="13">
        <f t="shared" si="18"/>
        <v>2.2400000000000003E-2</v>
      </c>
      <c r="I86" s="14"/>
      <c r="J86" s="29"/>
    </row>
    <row r="87" spans="1:10" x14ac:dyDescent="0.25">
      <c r="A87" s="20">
        <v>77</v>
      </c>
      <c r="B87" s="163" t="s">
        <v>30</v>
      </c>
      <c r="C87" s="163"/>
      <c r="D87" s="2">
        <v>4</v>
      </c>
      <c r="E87" s="2" t="s">
        <v>6</v>
      </c>
      <c r="F87" s="9">
        <v>44425</v>
      </c>
      <c r="G87" s="15">
        <f>0.18*0.1</f>
        <v>1.7999999999999999E-2</v>
      </c>
      <c r="H87" s="13">
        <f t="shared" si="18"/>
        <v>7.1999999999999995E-2</v>
      </c>
      <c r="I87" s="14"/>
      <c r="J87" s="29"/>
    </row>
    <row r="88" spans="1:10" x14ac:dyDescent="0.25">
      <c r="A88" s="20">
        <v>78</v>
      </c>
      <c r="B88" s="163" t="s">
        <v>31</v>
      </c>
      <c r="C88" s="163"/>
      <c r="D88" s="2">
        <v>4</v>
      </c>
      <c r="E88" s="2" t="s">
        <v>6</v>
      </c>
      <c r="F88" s="9">
        <v>44425</v>
      </c>
      <c r="G88" s="15">
        <f>0.45*0.18</f>
        <v>8.1000000000000003E-2</v>
      </c>
      <c r="H88" s="13">
        <f t="shared" si="18"/>
        <v>0.32400000000000001</v>
      </c>
      <c r="I88" s="14"/>
      <c r="J88" s="29"/>
    </row>
    <row r="89" spans="1:10" x14ac:dyDescent="0.25">
      <c r="A89" s="20">
        <v>79</v>
      </c>
      <c r="B89" s="163" t="s">
        <v>32</v>
      </c>
      <c r="C89" s="163"/>
      <c r="D89" s="2">
        <v>4</v>
      </c>
      <c r="E89" s="2" t="s">
        <v>6</v>
      </c>
      <c r="F89" s="9">
        <v>44425</v>
      </c>
      <c r="G89" s="15">
        <f>0.21*0.15</f>
        <v>3.15E-2</v>
      </c>
      <c r="H89" s="13">
        <f t="shared" si="18"/>
        <v>0.126</v>
      </c>
      <c r="I89" s="14"/>
      <c r="J89" s="29"/>
    </row>
    <row r="90" spans="1:10" x14ac:dyDescent="0.25">
      <c r="A90" s="20">
        <v>80</v>
      </c>
      <c r="B90" s="163" t="s">
        <v>33</v>
      </c>
      <c r="C90" s="163"/>
      <c r="D90" s="2">
        <v>11</v>
      </c>
      <c r="E90" s="2" t="s">
        <v>6</v>
      </c>
      <c r="F90" s="9">
        <v>44425</v>
      </c>
      <c r="G90" s="15">
        <f>0.26*0.18</f>
        <v>4.6800000000000001E-2</v>
      </c>
      <c r="H90" s="13">
        <f t="shared" si="18"/>
        <v>0.51480000000000004</v>
      </c>
      <c r="I90" s="14"/>
      <c r="J90" s="29"/>
    </row>
    <row r="91" spans="1:10" x14ac:dyDescent="0.25">
      <c r="A91" s="20">
        <v>81</v>
      </c>
      <c r="B91" s="163" t="s">
        <v>34</v>
      </c>
      <c r="C91" s="163"/>
      <c r="D91" s="2">
        <v>4</v>
      </c>
      <c r="E91" s="2" t="s">
        <v>6</v>
      </c>
      <c r="F91" s="9">
        <v>44425</v>
      </c>
      <c r="G91" s="15">
        <f>0.37*0.12</f>
        <v>4.4399999999999995E-2</v>
      </c>
      <c r="H91" s="13">
        <f t="shared" si="18"/>
        <v>0.17759999999999998</v>
      </c>
      <c r="I91" s="14"/>
      <c r="J91" s="29"/>
    </row>
    <row r="92" spans="1:10" x14ac:dyDescent="0.25">
      <c r="A92" s="20">
        <v>82</v>
      </c>
      <c r="B92" s="163" t="s">
        <v>35</v>
      </c>
      <c r="C92" s="163"/>
      <c r="D92" s="2">
        <v>4</v>
      </c>
      <c r="E92" s="2" t="s">
        <v>6</v>
      </c>
      <c r="F92" s="9">
        <v>44425</v>
      </c>
      <c r="G92" s="15">
        <f>0.8*0.18</f>
        <v>0.14399999999999999</v>
      </c>
      <c r="H92" s="13">
        <f t="shared" si="18"/>
        <v>0.57599999999999996</v>
      </c>
      <c r="I92" s="14"/>
      <c r="J92" s="29"/>
    </row>
    <row r="93" spans="1:10" x14ac:dyDescent="0.25">
      <c r="A93" s="20">
        <v>83</v>
      </c>
      <c r="B93" s="172" t="s">
        <v>36</v>
      </c>
      <c r="C93" s="172"/>
      <c r="D93" s="2">
        <v>4</v>
      </c>
      <c r="E93" s="2" t="s">
        <v>6</v>
      </c>
      <c r="F93" s="9">
        <v>44426</v>
      </c>
      <c r="G93" s="14"/>
      <c r="H93" s="13"/>
      <c r="I93" s="14">
        <v>4.4160000000000004</v>
      </c>
      <c r="J93" s="29">
        <f>D93*I93</f>
        <v>17.664000000000001</v>
      </c>
    </row>
    <row r="94" spans="1:10" x14ac:dyDescent="0.25">
      <c r="A94" s="20">
        <v>84</v>
      </c>
      <c r="B94" s="172" t="s">
        <v>37</v>
      </c>
      <c r="C94" s="172"/>
      <c r="D94" s="2">
        <v>2</v>
      </c>
      <c r="E94" s="2" t="s">
        <v>6</v>
      </c>
      <c r="F94" s="9">
        <v>44426</v>
      </c>
      <c r="G94" s="14"/>
      <c r="H94" s="13"/>
      <c r="I94" s="14">
        <v>2.9140000000000001</v>
      </c>
      <c r="J94" s="29">
        <f t="shared" ref="J94:J107" si="19">D94*I94</f>
        <v>5.8280000000000003</v>
      </c>
    </row>
    <row r="95" spans="1:10" x14ac:dyDescent="0.25">
      <c r="A95" s="20">
        <v>85</v>
      </c>
      <c r="B95" s="172" t="s">
        <v>38</v>
      </c>
      <c r="C95" s="172"/>
      <c r="D95" s="2">
        <v>8</v>
      </c>
      <c r="E95" s="2" t="s">
        <v>6</v>
      </c>
      <c r="F95" s="9">
        <v>44426</v>
      </c>
      <c r="G95" s="14"/>
      <c r="H95" s="13"/>
      <c r="I95" s="14">
        <v>0.3</v>
      </c>
      <c r="J95" s="29">
        <f t="shared" si="19"/>
        <v>2.4</v>
      </c>
    </row>
    <row r="96" spans="1:10" x14ac:dyDescent="0.25">
      <c r="A96" s="20">
        <v>86</v>
      </c>
      <c r="B96" s="172" t="s">
        <v>39</v>
      </c>
      <c r="C96" s="172"/>
      <c r="D96" s="2">
        <v>1</v>
      </c>
      <c r="E96" s="2" t="s">
        <v>6</v>
      </c>
      <c r="F96" s="9">
        <v>44426</v>
      </c>
      <c r="G96" s="14"/>
      <c r="H96" s="13"/>
      <c r="I96" s="14">
        <v>1.1599999999999999</v>
      </c>
      <c r="J96" s="29">
        <f t="shared" si="19"/>
        <v>1.1599999999999999</v>
      </c>
    </row>
    <row r="97" spans="1:10" x14ac:dyDescent="0.25">
      <c r="A97" s="20">
        <v>87</v>
      </c>
      <c r="B97" s="172" t="s">
        <v>40</v>
      </c>
      <c r="C97" s="172"/>
      <c r="D97" s="2">
        <v>1</v>
      </c>
      <c r="E97" s="2" t="s">
        <v>6</v>
      </c>
      <c r="F97" s="9">
        <v>44426</v>
      </c>
      <c r="G97" s="16"/>
      <c r="H97" s="13"/>
      <c r="I97" s="16">
        <v>2.37</v>
      </c>
      <c r="J97" s="29">
        <f t="shared" si="19"/>
        <v>2.37</v>
      </c>
    </row>
    <row r="98" spans="1:10" x14ac:dyDescent="0.25">
      <c r="A98" s="20">
        <v>88</v>
      </c>
      <c r="B98" s="172" t="s">
        <v>41</v>
      </c>
      <c r="C98" s="172"/>
      <c r="D98" s="2">
        <v>1</v>
      </c>
      <c r="E98" s="2" t="s">
        <v>6</v>
      </c>
      <c r="F98" s="9">
        <v>44426</v>
      </c>
      <c r="G98" s="16"/>
      <c r="H98" s="13"/>
      <c r="I98" s="16">
        <v>1.6</v>
      </c>
      <c r="J98" s="29">
        <f t="shared" si="19"/>
        <v>1.6</v>
      </c>
    </row>
    <row r="99" spans="1:10" x14ac:dyDescent="0.25">
      <c r="A99" s="20">
        <v>89</v>
      </c>
      <c r="B99" s="172" t="s">
        <v>42</v>
      </c>
      <c r="C99" s="172"/>
      <c r="D99" s="2">
        <v>1</v>
      </c>
      <c r="E99" s="2" t="s">
        <v>6</v>
      </c>
      <c r="F99" s="9">
        <v>44426</v>
      </c>
      <c r="G99" s="16"/>
      <c r="H99" s="13"/>
      <c r="I99" s="16">
        <v>1.88</v>
      </c>
      <c r="J99" s="29">
        <f t="shared" si="19"/>
        <v>1.88</v>
      </c>
    </row>
    <row r="100" spans="1:10" x14ac:dyDescent="0.25">
      <c r="A100" s="20">
        <v>90</v>
      </c>
      <c r="B100" s="172" t="s">
        <v>43</v>
      </c>
      <c r="C100" s="172"/>
      <c r="D100" s="2">
        <v>2</v>
      </c>
      <c r="E100" s="2" t="s">
        <v>6</v>
      </c>
      <c r="F100" s="9">
        <v>44426</v>
      </c>
      <c r="G100" s="16"/>
      <c r="H100" s="13"/>
      <c r="I100" s="16">
        <v>2.9060000000000001</v>
      </c>
      <c r="J100" s="29">
        <f t="shared" si="19"/>
        <v>5.8120000000000003</v>
      </c>
    </row>
    <row r="101" spans="1:10" x14ac:dyDescent="0.25">
      <c r="A101" s="20">
        <v>91</v>
      </c>
      <c r="B101" s="172" t="s">
        <v>44</v>
      </c>
      <c r="C101" s="172"/>
      <c r="D101" s="2">
        <v>2</v>
      </c>
      <c r="E101" s="2" t="s">
        <v>6</v>
      </c>
      <c r="F101" s="9">
        <v>44426</v>
      </c>
      <c r="G101" s="16"/>
      <c r="H101" s="13"/>
      <c r="I101" s="16">
        <v>5.28</v>
      </c>
      <c r="J101" s="29">
        <f t="shared" si="19"/>
        <v>10.56</v>
      </c>
    </row>
    <row r="102" spans="1:10" x14ac:dyDescent="0.25">
      <c r="A102" s="20">
        <v>92</v>
      </c>
      <c r="B102" s="172" t="s">
        <v>45</v>
      </c>
      <c r="C102" s="172"/>
      <c r="D102" s="2">
        <v>4</v>
      </c>
      <c r="E102" s="2" t="s">
        <v>6</v>
      </c>
      <c r="F102" s="9">
        <v>44426</v>
      </c>
      <c r="G102" s="16"/>
      <c r="H102" s="13"/>
      <c r="I102" s="16">
        <v>0.13300000000000001</v>
      </c>
      <c r="J102" s="29">
        <f t="shared" si="19"/>
        <v>0.53200000000000003</v>
      </c>
    </row>
    <row r="103" spans="1:10" x14ac:dyDescent="0.25">
      <c r="A103" s="20">
        <v>93</v>
      </c>
      <c r="B103" s="172" t="s">
        <v>46</v>
      </c>
      <c r="C103" s="172"/>
      <c r="D103" s="2">
        <v>20</v>
      </c>
      <c r="E103" s="2" t="s">
        <v>6</v>
      </c>
      <c r="F103" s="9">
        <v>44427</v>
      </c>
      <c r="G103" s="16"/>
      <c r="H103" s="13"/>
      <c r="I103" s="16">
        <v>6</v>
      </c>
      <c r="J103" s="29">
        <f t="shared" si="19"/>
        <v>120</v>
      </c>
    </row>
    <row r="104" spans="1:10" x14ac:dyDescent="0.25">
      <c r="A104" s="20">
        <v>94</v>
      </c>
      <c r="B104" s="172" t="s">
        <v>7</v>
      </c>
      <c r="C104" s="172"/>
      <c r="D104" s="2">
        <v>2</v>
      </c>
      <c r="E104" s="2" t="s">
        <v>6</v>
      </c>
      <c r="F104" s="9">
        <v>44427</v>
      </c>
      <c r="G104" s="16"/>
      <c r="H104" s="13"/>
      <c r="I104" s="16">
        <v>6</v>
      </c>
      <c r="J104" s="29">
        <f t="shared" si="19"/>
        <v>12</v>
      </c>
    </row>
    <row r="105" spans="1:10" x14ac:dyDescent="0.25">
      <c r="A105" s="20">
        <v>95</v>
      </c>
      <c r="B105" s="172" t="s">
        <v>47</v>
      </c>
      <c r="C105" s="172"/>
      <c r="D105" s="2">
        <v>3</v>
      </c>
      <c r="E105" s="2" t="s">
        <v>6</v>
      </c>
      <c r="F105" s="9">
        <v>44428</v>
      </c>
      <c r="G105" s="16"/>
      <c r="H105" s="13"/>
      <c r="I105" s="16">
        <v>6</v>
      </c>
      <c r="J105" s="29">
        <f t="shared" si="19"/>
        <v>18</v>
      </c>
    </row>
    <row r="106" spans="1:10" x14ac:dyDescent="0.25">
      <c r="A106" s="20">
        <v>96</v>
      </c>
      <c r="B106" s="172" t="s">
        <v>48</v>
      </c>
      <c r="C106" s="172"/>
      <c r="D106" s="2">
        <v>1</v>
      </c>
      <c r="E106" s="2" t="s">
        <v>6</v>
      </c>
      <c r="F106" s="9">
        <v>44428</v>
      </c>
      <c r="G106" s="16"/>
      <c r="H106" s="13"/>
      <c r="I106" s="16">
        <v>1</v>
      </c>
      <c r="J106" s="29">
        <f t="shared" si="19"/>
        <v>1</v>
      </c>
    </row>
    <row r="107" spans="1:10" x14ac:dyDescent="0.25">
      <c r="A107" s="20">
        <v>97</v>
      </c>
      <c r="B107" s="172" t="s">
        <v>49</v>
      </c>
      <c r="C107" s="172"/>
      <c r="D107" s="2">
        <v>2</v>
      </c>
      <c r="E107" s="2" t="s">
        <v>6</v>
      </c>
      <c r="F107" s="9">
        <v>44428</v>
      </c>
      <c r="G107" s="16"/>
      <c r="H107" s="13"/>
      <c r="I107" s="16">
        <v>12</v>
      </c>
      <c r="J107" s="29">
        <f t="shared" si="19"/>
        <v>24</v>
      </c>
    </row>
    <row r="108" spans="1:10" x14ac:dyDescent="0.25">
      <c r="A108" s="20">
        <v>98</v>
      </c>
      <c r="B108" s="172" t="s">
        <v>50</v>
      </c>
      <c r="C108" s="172"/>
      <c r="D108" s="2">
        <v>6</v>
      </c>
      <c r="E108" s="2" t="s">
        <v>6</v>
      </c>
      <c r="F108" s="9">
        <v>44428</v>
      </c>
      <c r="G108" s="16">
        <f>0.35^2</f>
        <v>0.12249999999999998</v>
      </c>
      <c r="H108" s="13">
        <f>G108*D108</f>
        <v>0.73499999999999988</v>
      </c>
      <c r="I108" s="16"/>
      <c r="J108" s="29"/>
    </row>
    <row r="109" spans="1:10" x14ac:dyDescent="0.25">
      <c r="A109" s="20">
        <v>99</v>
      </c>
      <c r="B109" s="163" t="s">
        <v>51</v>
      </c>
      <c r="C109" s="163"/>
      <c r="D109" s="2">
        <v>14</v>
      </c>
      <c r="E109" s="2" t="s">
        <v>6</v>
      </c>
      <c r="F109" s="9">
        <v>44433</v>
      </c>
      <c r="G109" s="15"/>
      <c r="H109" s="13"/>
      <c r="I109" s="14">
        <v>6</v>
      </c>
      <c r="J109" s="29">
        <f t="shared" ref="J109:J114" si="20">I109*D109</f>
        <v>84</v>
      </c>
    </row>
    <row r="110" spans="1:10" x14ac:dyDescent="0.25">
      <c r="A110" s="20">
        <v>100</v>
      </c>
      <c r="B110" s="163" t="s">
        <v>52</v>
      </c>
      <c r="C110" s="163"/>
      <c r="D110" s="2">
        <v>10</v>
      </c>
      <c r="E110" s="2" t="s">
        <v>6</v>
      </c>
      <c r="F110" s="9">
        <v>44433</v>
      </c>
      <c r="G110" s="15"/>
      <c r="H110" s="13"/>
      <c r="I110" s="14">
        <v>6</v>
      </c>
      <c r="J110" s="29">
        <f t="shared" si="20"/>
        <v>60</v>
      </c>
    </row>
    <row r="111" spans="1:10" x14ac:dyDescent="0.25">
      <c r="A111" s="20">
        <v>101</v>
      </c>
      <c r="B111" s="163" t="s">
        <v>11</v>
      </c>
      <c r="C111" s="163"/>
      <c r="D111" s="2">
        <v>3</v>
      </c>
      <c r="E111" s="2" t="s">
        <v>6</v>
      </c>
      <c r="F111" s="9">
        <v>44434</v>
      </c>
      <c r="G111" s="15"/>
      <c r="H111" s="13"/>
      <c r="I111" s="14">
        <v>6</v>
      </c>
      <c r="J111" s="29">
        <f t="shared" si="20"/>
        <v>18</v>
      </c>
    </row>
    <row r="112" spans="1:10" x14ac:dyDescent="0.25">
      <c r="A112" s="20">
        <v>102</v>
      </c>
      <c r="B112" s="163" t="s">
        <v>7</v>
      </c>
      <c r="C112" s="163"/>
      <c r="D112" s="2">
        <v>1</v>
      </c>
      <c r="E112" s="2" t="s">
        <v>6</v>
      </c>
      <c r="F112" s="9">
        <v>44434</v>
      </c>
      <c r="G112" s="15"/>
      <c r="H112" s="13"/>
      <c r="I112" s="14">
        <v>6</v>
      </c>
      <c r="J112" s="29">
        <f t="shared" si="20"/>
        <v>6</v>
      </c>
    </row>
    <row r="113" spans="1:10" x14ac:dyDescent="0.25">
      <c r="A113" s="20">
        <v>103</v>
      </c>
      <c r="B113" s="163" t="s">
        <v>53</v>
      </c>
      <c r="C113" s="163"/>
      <c r="D113" s="2">
        <v>1</v>
      </c>
      <c r="E113" s="2" t="s">
        <v>6</v>
      </c>
      <c r="F113" s="9">
        <v>44434</v>
      </c>
      <c r="G113" s="15"/>
      <c r="H113" s="13"/>
      <c r="I113" s="14">
        <v>6</v>
      </c>
      <c r="J113" s="29">
        <f t="shared" si="20"/>
        <v>6</v>
      </c>
    </row>
    <row r="114" spans="1:10" x14ac:dyDescent="0.25">
      <c r="A114" s="20">
        <v>104</v>
      </c>
      <c r="B114" s="163" t="s">
        <v>54</v>
      </c>
      <c r="C114" s="163"/>
      <c r="D114" s="2">
        <v>3</v>
      </c>
      <c r="E114" s="2" t="s">
        <v>6</v>
      </c>
      <c r="F114" s="9">
        <v>44435</v>
      </c>
      <c r="G114" s="15"/>
      <c r="H114" s="13"/>
      <c r="I114" s="14">
        <v>2.1</v>
      </c>
      <c r="J114" s="29">
        <f t="shared" si="20"/>
        <v>6.3000000000000007</v>
      </c>
    </row>
    <row r="115" spans="1:10" x14ac:dyDescent="0.25">
      <c r="A115" s="20">
        <v>105</v>
      </c>
      <c r="B115" s="163" t="s">
        <v>55</v>
      </c>
      <c r="C115" s="163"/>
      <c r="D115" s="2">
        <v>4</v>
      </c>
      <c r="E115" s="2" t="s">
        <v>6</v>
      </c>
      <c r="F115" s="9">
        <v>44438</v>
      </c>
      <c r="G115" s="15">
        <f>0.13*0.23</f>
        <v>2.9900000000000003E-2</v>
      </c>
      <c r="H115" s="13">
        <f>G115*D115</f>
        <v>0.11960000000000001</v>
      </c>
      <c r="I115" s="14"/>
      <c r="J115" s="29"/>
    </row>
    <row r="116" spans="1:10" x14ac:dyDescent="0.25">
      <c r="A116" s="20">
        <v>106</v>
      </c>
      <c r="B116" s="163" t="s">
        <v>56</v>
      </c>
      <c r="C116" s="163"/>
      <c r="D116" s="2">
        <v>6</v>
      </c>
      <c r="E116" s="2" t="s">
        <v>6</v>
      </c>
      <c r="F116" s="9">
        <v>44438</v>
      </c>
      <c r="G116" s="15">
        <f>0.35*0.25</f>
        <v>8.7499999999999994E-2</v>
      </c>
      <c r="H116" s="13">
        <f>G116*D116</f>
        <v>0.52499999999999991</v>
      </c>
      <c r="I116" s="14"/>
      <c r="J116" s="29"/>
    </row>
    <row r="117" spans="1:10" x14ac:dyDescent="0.25">
      <c r="A117" s="20">
        <v>107</v>
      </c>
      <c r="B117" s="163" t="s">
        <v>57</v>
      </c>
      <c r="C117" s="163"/>
      <c r="D117" s="2">
        <v>5</v>
      </c>
      <c r="E117" s="2" t="s">
        <v>6</v>
      </c>
      <c r="F117" s="9">
        <v>44438</v>
      </c>
      <c r="G117" s="15"/>
      <c r="H117" s="13"/>
      <c r="I117" s="14">
        <v>6</v>
      </c>
      <c r="J117" s="29">
        <f>I117*D117</f>
        <v>30</v>
      </c>
    </row>
    <row r="118" spans="1:10" ht="17.25" x14ac:dyDescent="0.25">
      <c r="A118" s="20">
        <v>108</v>
      </c>
      <c r="B118" s="163" t="s">
        <v>58</v>
      </c>
      <c r="C118" s="163"/>
      <c r="D118" s="2">
        <v>13</v>
      </c>
      <c r="E118" s="2" t="s">
        <v>6</v>
      </c>
      <c r="F118" s="9">
        <v>44438</v>
      </c>
      <c r="G118" s="15"/>
      <c r="H118" s="13"/>
      <c r="I118" s="14">
        <v>6</v>
      </c>
      <c r="J118" s="29">
        <f>I118*D118</f>
        <v>78</v>
      </c>
    </row>
    <row r="119" spans="1:10" x14ac:dyDescent="0.25">
      <c r="A119" s="20">
        <v>109</v>
      </c>
      <c r="B119" s="163" t="s">
        <v>59</v>
      </c>
      <c r="C119" s="163"/>
      <c r="D119" s="2">
        <v>1</v>
      </c>
      <c r="E119" s="2" t="s">
        <v>6</v>
      </c>
      <c r="F119" s="9">
        <v>44438</v>
      </c>
      <c r="G119" s="15"/>
      <c r="H119" s="13"/>
      <c r="I119" s="14">
        <v>1.6</v>
      </c>
      <c r="J119" s="29">
        <f>I119*D119</f>
        <v>1.6</v>
      </c>
    </row>
    <row r="120" spans="1:10" x14ac:dyDescent="0.25">
      <c r="A120" s="20">
        <v>110</v>
      </c>
      <c r="B120" s="163" t="s">
        <v>60</v>
      </c>
      <c r="C120" s="163"/>
      <c r="D120" s="2">
        <v>8</v>
      </c>
      <c r="E120" s="2" t="s">
        <v>6</v>
      </c>
      <c r="F120" s="9">
        <v>44439</v>
      </c>
      <c r="G120" s="15">
        <f>0.2*0.55</f>
        <v>0.11000000000000001</v>
      </c>
      <c r="H120" s="13">
        <f>G120*D120</f>
        <v>0.88000000000000012</v>
      </c>
      <c r="I120" s="14"/>
      <c r="J120" s="29"/>
    </row>
    <row r="121" spans="1:10" x14ac:dyDescent="0.25">
      <c r="A121" s="20">
        <v>111</v>
      </c>
      <c r="B121" s="163" t="s">
        <v>61</v>
      </c>
      <c r="C121" s="163"/>
      <c r="D121" s="2">
        <v>8</v>
      </c>
      <c r="E121" s="2" t="s">
        <v>6</v>
      </c>
      <c r="F121" s="9">
        <v>44439</v>
      </c>
      <c r="G121" s="15">
        <f>0.34*0.55</f>
        <v>0.18700000000000003</v>
      </c>
      <c r="H121" s="13">
        <f>G121*D121</f>
        <v>1.4960000000000002</v>
      </c>
      <c r="I121" s="14"/>
      <c r="J121" s="29"/>
    </row>
    <row r="122" spans="1:10" x14ac:dyDescent="0.25">
      <c r="A122" s="20">
        <v>112</v>
      </c>
      <c r="B122" s="163" t="s">
        <v>62</v>
      </c>
      <c r="C122" s="163"/>
      <c r="D122" s="2">
        <v>32</v>
      </c>
      <c r="E122" s="2" t="s">
        <v>6</v>
      </c>
      <c r="F122" s="9">
        <v>44440</v>
      </c>
      <c r="G122" s="15">
        <f>0.25*0.55</f>
        <v>0.13750000000000001</v>
      </c>
      <c r="H122" s="13">
        <f t="shared" ref="H122:H125" si="21">G122*D122</f>
        <v>4.4000000000000004</v>
      </c>
      <c r="I122" s="14"/>
      <c r="J122" s="29"/>
    </row>
    <row r="123" spans="1:10" x14ac:dyDescent="0.25">
      <c r="A123" s="20">
        <v>113</v>
      </c>
      <c r="B123" s="163" t="s">
        <v>63</v>
      </c>
      <c r="C123" s="163"/>
      <c r="D123" s="2">
        <v>8</v>
      </c>
      <c r="E123" s="2" t="s">
        <v>6</v>
      </c>
      <c r="F123" s="9">
        <v>44440</v>
      </c>
      <c r="G123" s="15">
        <f>0.34*0.55</f>
        <v>0.18700000000000003</v>
      </c>
      <c r="H123" s="13">
        <f t="shared" si="21"/>
        <v>1.4960000000000002</v>
      </c>
      <c r="I123" s="14"/>
      <c r="J123" s="29"/>
    </row>
    <row r="124" spans="1:10" x14ac:dyDescent="0.25">
      <c r="A124" s="20">
        <v>114</v>
      </c>
      <c r="B124" s="163" t="s">
        <v>64</v>
      </c>
      <c r="C124" s="163"/>
      <c r="D124" s="2">
        <v>16</v>
      </c>
      <c r="E124" s="2" t="s">
        <v>6</v>
      </c>
      <c r="F124" s="9">
        <v>44440</v>
      </c>
      <c r="G124" s="14">
        <f>0.18*0.55</f>
        <v>9.9000000000000005E-2</v>
      </c>
      <c r="H124" s="13">
        <f t="shared" si="21"/>
        <v>1.5840000000000001</v>
      </c>
      <c r="I124" s="14"/>
      <c r="J124" s="29"/>
    </row>
    <row r="125" spans="1:10" x14ac:dyDescent="0.25">
      <c r="A125" s="20">
        <v>115</v>
      </c>
      <c r="B125" s="163" t="s">
        <v>65</v>
      </c>
      <c r="C125" s="163"/>
      <c r="D125" s="2">
        <v>24</v>
      </c>
      <c r="E125" s="2" t="s">
        <v>6</v>
      </c>
      <c r="F125" s="9">
        <v>44440</v>
      </c>
      <c r="G125" s="14">
        <f>0.25^2</f>
        <v>6.25E-2</v>
      </c>
      <c r="H125" s="13">
        <f t="shared" si="21"/>
        <v>1.5</v>
      </c>
      <c r="I125" s="14"/>
      <c r="J125" s="29"/>
    </row>
    <row r="126" spans="1:10" x14ac:dyDescent="0.25">
      <c r="A126" s="20">
        <v>116</v>
      </c>
      <c r="B126" s="172" t="s">
        <v>66</v>
      </c>
      <c r="C126" s="172"/>
      <c r="D126" s="2">
        <v>3</v>
      </c>
      <c r="E126" s="2" t="s">
        <v>6</v>
      </c>
      <c r="F126" s="9">
        <v>44440</v>
      </c>
      <c r="G126" s="17"/>
      <c r="H126" s="13"/>
      <c r="I126" s="14">
        <f>0.27</f>
        <v>0.27</v>
      </c>
      <c r="J126" s="29">
        <f>I126*D126</f>
        <v>0.81</v>
      </c>
    </row>
    <row r="127" spans="1:10" x14ac:dyDescent="0.25">
      <c r="A127" s="20">
        <v>117</v>
      </c>
      <c r="B127" s="172" t="s">
        <v>67</v>
      </c>
      <c r="C127" s="172"/>
      <c r="D127" s="2">
        <v>1</v>
      </c>
      <c r="E127" s="2" t="s">
        <v>6</v>
      </c>
      <c r="F127" s="9">
        <v>44440</v>
      </c>
      <c r="G127" s="14"/>
      <c r="H127" s="13"/>
      <c r="I127" s="14">
        <v>0.18</v>
      </c>
      <c r="J127" s="29">
        <f t="shared" ref="J127:J128" si="22">I127*D127</f>
        <v>0.18</v>
      </c>
    </row>
    <row r="128" spans="1:10" x14ac:dyDescent="0.25">
      <c r="A128" s="20">
        <v>118</v>
      </c>
      <c r="B128" s="172" t="s">
        <v>68</v>
      </c>
      <c r="C128" s="172"/>
      <c r="D128" s="2">
        <v>1</v>
      </c>
      <c r="E128" s="2" t="s">
        <v>6</v>
      </c>
      <c r="F128" s="9">
        <v>44440</v>
      </c>
      <c r="G128" s="16"/>
      <c r="H128" s="13"/>
      <c r="I128" s="16">
        <v>0.27</v>
      </c>
      <c r="J128" s="29">
        <f t="shared" si="22"/>
        <v>0.27</v>
      </c>
    </row>
    <row r="129" spans="1:10" x14ac:dyDescent="0.25">
      <c r="A129" s="20">
        <v>119</v>
      </c>
      <c r="B129" s="172" t="s">
        <v>50</v>
      </c>
      <c r="C129" s="172"/>
      <c r="D129" s="2">
        <v>1</v>
      </c>
      <c r="E129" s="2" t="s">
        <v>6</v>
      </c>
      <c r="F129" s="9">
        <v>44411</v>
      </c>
      <c r="G129" s="16">
        <f>0.35^2</f>
        <v>0.12249999999999998</v>
      </c>
      <c r="H129" s="13">
        <f>G129*D129</f>
        <v>0.12249999999999998</v>
      </c>
      <c r="I129" s="16"/>
      <c r="J129" s="29"/>
    </row>
    <row r="130" spans="1:10" x14ac:dyDescent="0.25">
      <c r="A130" s="20">
        <v>120</v>
      </c>
      <c r="B130" s="163" t="s">
        <v>69</v>
      </c>
      <c r="C130" s="163"/>
      <c r="D130" s="2">
        <v>24</v>
      </c>
      <c r="E130" s="2" t="s">
        <v>6</v>
      </c>
      <c r="F130" s="9">
        <v>44411</v>
      </c>
      <c r="G130" s="18">
        <f>0.18*0.08</f>
        <v>1.44E-2</v>
      </c>
      <c r="H130" s="13">
        <f>G130*D130</f>
        <v>0.34560000000000002</v>
      </c>
      <c r="I130" s="16"/>
      <c r="J130" s="29"/>
    </row>
    <row r="131" spans="1:10" x14ac:dyDescent="0.25">
      <c r="A131" s="20">
        <v>121</v>
      </c>
      <c r="B131" s="163" t="s">
        <v>70</v>
      </c>
      <c r="C131" s="163"/>
      <c r="D131" s="2">
        <v>24</v>
      </c>
      <c r="E131" s="2" t="s">
        <v>6</v>
      </c>
      <c r="F131" s="9">
        <v>44411</v>
      </c>
      <c r="G131" s="16">
        <f>0.18*0.24</f>
        <v>4.3199999999999995E-2</v>
      </c>
      <c r="H131" s="13">
        <f>D131*G131</f>
        <v>1.0367999999999999</v>
      </c>
      <c r="I131" s="16"/>
      <c r="J131" s="29"/>
    </row>
    <row r="132" spans="1:10" x14ac:dyDescent="0.25">
      <c r="A132" s="20">
        <v>122</v>
      </c>
      <c r="B132" s="163" t="s">
        <v>71</v>
      </c>
      <c r="C132" s="163"/>
      <c r="D132" s="2">
        <v>1</v>
      </c>
      <c r="E132" s="2" t="s">
        <v>6</v>
      </c>
      <c r="F132" s="9">
        <v>44447</v>
      </c>
      <c r="G132" s="15">
        <f>1.55*0.16</f>
        <v>0.24800000000000003</v>
      </c>
      <c r="H132" s="13">
        <v>0.24800000000000003</v>
      </c>
      <c r="I132" s="14"/>
      <c r="J132" s="29"/>
    </row>
    <row r="133" spans="1:10" x14ac:dyDescent="0.25">
      <c r="A133" s="20">
        <v>123</v>
      </c>
      <c r="B133" s="163" t="s">
        <v>72</v>
      </c>
      <c r="C133" s="163"/>
      <c r="D133" s="2">
        <v>1</v>
      </c>
      <c r="E133" s="2" t="s">
        <v>6</v>
      </c>
      <c r="F133" s="9">
        <v>44448</v>
      </c>
      <c r="G133" s="15">
        <f>2*1</f>
        <v>2</v>
      </c>
      <c r="H133" s="13">
        <v>2</v>
      </c>
      <c r="I133" s="14"/>
      <c r="J133" s="29"/>
    </row>
    <row r="134" spans="1:10" ht="16.5" x14ac:dyDescent="0.25">
      <c r="A134" s="20">
        <v>124</v>
      </c>
      <c r="B134" s="163" t="s">
        <v>73</v>
      </c>
      <c r="C134" s="163"/>
      <c r="D134" s="2">
        <v>10</v>
      </c>
      <c r="E134" s="2" t="s">
        <v>6</v>
      </c>
      <c r="F134" s="9">
        <v>44448</v>
      </c>
      <c r="G134" s="14">
        <v>0.12249999999999998</v>
      </c>
      <c r="H134" s="13">
        <v>1.2249999999999999</v>
      </c>
      <c r="I134" s="14"/>
      <c r="J134" s="29"/>
    </row>
    <row r="135" spans="1:10" x14ac:dyDescent="0.25">
      <c r="A135" s="20">
        <v>125</v>
      </c>
      <c r="B135" s="163" t="s">
        <v>74</v>
      </c>
      <c r="C135" s="163"/>
      <c r="D135" s="2">
        <v>2</v>
      </c>
      <c r="E135" s="2" t="s">
        <v>6</v>
      </c>
      <c r="F135" s="9">
        <v>44454</v>
      </c>
      <c r="G135" s="15">
        <f>1.8*0.35</f>
        <v>0.63</v>
      </c>
      <c r="H135" s="13">
        <f>G135*D135</f>
        <v>1.26</v>
      </c>
      <c r="I135" s="14"/>
      <c r="J135" s="29"/>
    </row>
    <row r="136" spans="1:10" x14ac:dyDescent="0.25">
      <c r="A136" s="20">
        <v>126</v>
      </c>
      <c r="B136" s="163" t="s">
        <v>75</v>
      </c>
      <c r="C136" s="163"/>
      <c r="D136" s="2">
        <v>1</v>
      </c>
      <c r="E136" s="2" t="s">
        <v>6</v>
      </c>
      <c r="F136" s="9">
        <v>44455</v>
      </c>
      <c r="G136" s="15"/>
      <c r="H136" s="13"/>
      <c r="I136" s="14">
        <f>6.8</f>
        <v>6.8</v>
      </c>
      <c r="J136" s="29">
        <f>I136*D136</f>
        <v>6.8</v>
      </c>
    </row>
    <row r="137" spans="1:10" x14ac:dyDescent="0.25">
      <c r="A137" s="20">
        <v>127</v>
      </c>
      <c r="B137" s="163" t="s">
        <v>76</v>
      </c>
      <c r="C137" s="163"/>
      <c r="D137" s="2">
        <v>20</v>
      </c>
      <c r="E137" s="2" t="s">
        <v>6</v>
      </c>
      <c r="F137" s="9">
        <v>44455</v>
      </c>
      <c r="G137" s="15"/>
      <c r="H137" s="13"/>
      <c r="I137" s="14">
        <v>6</v>
      </c>
      <c r="J137" s="29">
        <f>I137*D137</f>
        <v>120</v>
      </c>
    </row>
    <row r="138" spans="1:10" x14ac:dyDescent="0.25">
      <c r="A138" s="20">
        <v>128</v>
      </c>
      <c r="B138" s="163" t="s">
        <v>77</v>
      </c>
      <c r="C138" s="163"/>
      <c r="D138" s="2">
        <v>20</v>
      </c>
      <c r="E138" s="2" t="s">
        <v>6</v>
      </c>
      <c r="F138" s="9">
        <v>44455</v>
      </c>
      <c r="G138" s="15"/>
      <c r="H138" s="13"/>
      <c r="I138" s="14">
        <v>1</v>
      </c>
      <c r="J138" s="29">
        <f>I138*D138</f>
        <v>20</v>
      </c>
    </row>
    <row r="139" spans="1:10" ht="17.25" x14ac:dyDescent="0.25">
      <c r="A139" s="20">
        <v>129</v>
      </c>
      <c r="B139" s="163" t="s">
        <v>78</v>
      </c>
      <c r="C139" s="163"/>
      <c r="D139" s="2">
        <v>50</v>
      </c>
      <c r="E139" s="2" t="s">
        <v>6</v>
      </c>
      <c r="F139" s="9">
        <v>44455</v>
      </c>
      <c r="G139" s="15"/>
      <c r="H139" s="13"/>
      <c r="I139" s="14">
        <v>1</v>
      </c>
      <c r="J139" s="29">
        <f t="shared" ref="J139:J141" si="23">I139*D139</f>
        <v>50</v>
      </c>
    </row>
    <row r="140" spans="1:10" ht="17.25" x14ac:dyDescent="0.25">
      <c r="A140" s="20">
        <v>130</v>
      </c>
      <c r="B140" s="163" t="s">
        <v>79</v>
      </c>
      <c r="C140" s="163"/>
      <c r="D140" s="2">
        <v>50</v>
      </c>
      <c r="E140" s="2" t="s">
        <v>6</v>
      </c>
      <c r="F140" s="9">
        <v>44455</v>
      </c>
      <c r="G140" s="15"/>
      <c r="H140" s="13"/>
      <c r="I140" s="14">
        <v>1.1200000000000001</v>
      </c>
      <c r="J140" s="29">
        <f t="shared" si="23"/>
        <v>56.000000000000007</v>
      </c>
    </row>
    <row r="141" spans="1:10" ht="17.25" x14ac:dyDescent="0.25">
      <c r="A141" s="20">
        <v>131</v>
      </c>
      <c r="B141" s="163" t="s">
        <v>80</v>
      </c>
      <c r="C141" s="163"/>
      <c r="D141" s="2">
        <v>50</v>
      </c>
      <c r="E141" s="2" t="s">
        <v>6</v>
      </c>
      <c r="F141" s="9">
        <v>44455</v>
      </c>
      <c r="G141" s="15"/>
      <c r="H141" s="13"/>
      <c r="I141" s="14">
        <v>1.1000000000000001</v>
      </c>
      <c r="J141" s="29">
        <f t="shared" si="23"/>
        <v>55.000000000000007</v>
      </c>
    </row>
    <row r="142" spans="1:10" x14ac:dyDescent="0.25">
      <c r="A142" s="20">
        <v>132</v>
      </c>
      <c r="B142" s="165" t="s">
        <v>99</v>
      </c>
      <c r="C142" s="165"/>
      <c r="D142" s="2">
        <v>6</v>
      </c>
      <c r="E142" s="2" t="s">
        <v>6</v>
      </c>
      <c r="F142" s="9">
        <v>44459</v>
      </c>
      <c r="G142" s="15">
        <f>0.24*0.15</f>
        <v>3.5999999999999997E-2</v>
      </c>
      <c r="H142" s="13">
        <f>G142*D142</f>
        <v>0.21599999999999997</v>
      </c>
      <c r="I142" s="14"/>
      <c r="J142" s="29"/>
    </row>
    <row r="143" spans="1:10" x14ac:dyDescent="0.25">
      <c r="A143" s="20">
        <v>133</v>
      </c>
      <c r="B143" s="165" t="s">
        <v>100</v>
      </c>
      <c r="C143" s="165"/>
      <c r="D143" s="2">
        <v>2</v>
      </c>
      <c r="E143" s="2" t="s">
        <v>6</v>
      </c>
      <c r="F143" s="9">
        <v>44459</v>
      </c>
      <c r="G143" s="15">
        <f>0.2*0.15</f>
        <v>0.03</v>
      </c>
      <c r="H143" s="13">
        <f>G143*D143</f>
        <v>0.06</v>
      </c>
      <c r="I143" s="14"/>
      <c r="J143" s="29"/>
    </row>
    <row r="144" spans="1:10" x14ac:dyDescent="0.25">
      <c r="A144" s="20">
        <v>134</v>
      </c>
      <c r="B144" s="165" t="s">
        <v>101</v>
      </c>
      <c r="C144" s="165"/>
      <c r="D144" s="2">
        <v>4</v>
      </c>
      <c r="E144" s="2" t="s">
        <v>6</v>
      </c>
      <c r="F144" s="9">
        <v>44459</v>
      </c>
      <c r="G144" s="15">
        <f>0.5*0.27</f>
        <v>0.13500000000000001</v>
      </c>
      <c r="H144" s="13">
        <f t="shared" ref="H144:H145" si="24">G144*D144</f>
        <v>0.54</v>
      </c>
      <c r="I144" s="14"/>
      <c r="J144" s="29"/>
    </row>
    <row r="145" spans="1:12" x14ac:dyDescent="0.25">
      <c r="A145" s="20">
        <v>135</v>
      </c>
      <c r="B145" s="165" t="s">
        <v>102</v>
      </c>
      <c r="C145" s="165"/>
      <c r="D145" s="2">
        <v>2</v>
      </c>
      <c r="E145" s="2" t="s">
        <v>6</v>
      </c>
      <c r="F145" s="9">
        <v>44459</v>
      </c>
      <c r="G145" s="15">
        <f>0.57*0.37</f>
        <v>0.21089999999999998</v>
      </c>
      <c r="H145" s="13">
        <f t="shared" si="24"/>
        <v>0.42179999999999995</v>
      </c>
      <c r="I145" s="14"/>
      <c r="J145" s="29"/>
    </row>
    <row r="146" spans="1:12" x14ac:dyDescent="0.25">
      <c r="A146" s="20">
        <v>136</v>
      </c>
      <c r="B146" s="165" t="s">
        <v>103</v>
      </c>
      <c r="C146" s="165"/>
      <c r="D146" s="2">
        <v>20</v>
      </c>
      <c r="E146" s="2" t="s">
        <v>6</v>
      </c>
      <c r="F146" s="9">
        <v>44459</v>
      </c>
      <c r="G146" s="15"/>
      <c r="H146" s="13"/>
      <c r="I146" s="14">
        <v>0.9</v>
      </c>
      <c r="J146" s="29">
        <f>I146*D146</f>
        <v>18</v>
      </c>
    </row>
    <row r="147" spans="1:12" ht="17.25" x14ac:dyDescent="0.25">
      <c r="A147" s="20">
        <v>137</v>
      </c>
      <c r="B147" s="165" t="s">
        <v>104</v>
      </c>
      <c r="C147" s="165"/>
      <c r="D147" s="2">
        <v>55</v>
      </c>
      <c r="E147" s="2" t="s">
        <v>6</v>
      </c>
      <c r="F147" s="9">
        <v>44459</v>
      </c>
      <c r="G147" s="15"/>
      <c r="H147" s="13"/>
      <c r="I147" s="14">
        <v>0.9</v>
      </c>
      <c r="J147" s="29">
        <f t="shared" ref="J147:J152" si="25">I147*D147</f>
        <v>49.5</v>
      </c>
    </row>
    <row r="148" spans="1:12" ht="17.25" x14ac:dyDescent="0.25">
      <c r="A148" s="20">
        <v>138</v>
      </c>
      <c r="B148" s="165" t="s">
        <v>105</v>
      </c>
      <c r="C148" s="165"/>
      <c r="D148" s="2">
        <v>10</v>
      </c>
      <c r="E148" s="2" t="s">
        <v>6</v>
      </c>
      <c r="F148" s="9">
        <v>44459</v>
      </c>
      <c r="G148" s="15"/>
      <c r="H148" s="13"/>
      <c r="I148" s="14">
        <v>1.1000000000000001</v>
      </c>
      <c r="J148" s="29">
        <f t="shared" si="25"/>
        <v>11</v>
      </c>
    </row>
    <row r="149" spans="1:12" ht="17.25" x14ac:dyDescent="0.25">
      <c r="A149" s="20">
        <v>139</v>
      </c>
      <c r="B149" s="165" t="s">
        <v>106</v>
      </c>
      <c r="C149" s="165"/>
      <c r="D149" s="2">
        <v>5</v>
      </c>
      <c r="E149" s="2" t="s">
        <v>6</v>
      </c>
      <c r="F149" s="9">
        <v>44459</v>
      </c>
      <c r="G149" s="15"/>
      <c r="H149" s="13"/>
      <c r="I149" s="14">
        <v>1.1200000000000001</v>
      </c>
      <c r="J149" s="29">
        <f t="shared" si="25"/>
        <v>5.6000000000000005</v>
      </c>
      <c r="L149" s="5"/>
    </row>
    <row r="150" spans="1:12" ht="17.25" x14ac:dyDescent="0.25">
      <c r="A150" s="20">
        <v>140</v>
      </c>
      <c r="B150" s="165" t="s">
        <v>107</v>
      </c>
      <c r="C150" s="165"/>
      <c r="D150" s="2">
        <v>50</v>
      </c>
      <c r="E150" s="2" t="s">
        <v>6</v>
      </c>
      <c r="F150" s="9">
        <v>44459</v>
      </c>
      <c r="G150" s="15"/>
      <c r="H150" s="13"/>
      <c r="I150" s="14">
        <v>1.47</v>
      </c>
      <c r="J150" s="29">
        <f t="shared" si="25"/>
        <v>73.5</v>
      </c>
    </row>
    <row r="151" spans="1:12" x14ac:dyDescent="0.25">
      <c r="A151" s="20">
        <v>141</v>
      </c>
      <c r="B151" s="165" t="s">
        <v>7</v>
      </c>
      <c r="C151" s="165"/>
      <c r="D151" s="2">
        <v>6</v>
      </c>
      <c r="E151" s="2" t="s">
        <v>6</v>
      </c>
      <c r="F151" s="9">
        <v>44461</v>
      </c>
      <c r="G151" s="14"/>
      <c r="H151" s="13"/>
      <c r="I151" s="14">
        <v>6</v>
      </c>
      <c r="J151" s="29">
        <f t="shared" si="25"/>
        <v>36</v>
      </c>
    </row>
    <row r="152" spans="1:12" ht="17.25" x14ac:dyDescent="0.25">
      <c r="A152" s="20">
        <v>142</v>
      </c>
      <c r="B152" s="165" t="s">
        <v>108</v>
      </c>
      <c r="C152" s="165"/>
      <c r="D152" s="2">
        <v>4.5</v>
      </c>
      <c r="E152" s="2" t="s">
        <v>6</v>
      </c>
      <c r="F152" s="9">
        <v>44461</v>
      </c>
      <c r="G152" s="14"/>
      <c r="H152" s="13"/>
      <c r="I152" s="14">
        <v>6</v>
      </c>
      <c r="J152" s="29">
        <f t="shared" si="25"/>
        <v>27</v>
      </c>
    </row>
    <row r="153" spans="1:12" x14ac:dyDescent="0.25">
      <c r="A153" s="20">
        <v>143</v>
      </c>
      <c r="B153" s="168" t="s">
        <v>7</v>
      </c>
      <c r="C153" s="168"/>
      <c r="D153" s="2">
        <v>4</v>
      </c>
      <c r="E153" s="2" t="s">
        <v>6</v>
      </c>
      <c r="F153" s="9">
        <v>44464</v>
      </c>
      <c r="G153" s="16"/>
      <c r="H153" s="13"/>
      <c r="I153" s="16">
        <v>6</v>
      </c>
      <c r="J153" s="29">
        <f>I153*D153</f>
        <v>24</v>
      </c>
    </row>
    <row r="154" spans="1:12" ht="17.25" x14ac:dyDescent="0.25">
      <c r="A154" s="20">
        <v>144</v>
      </c>
      <c r="B154" s="165" t="s">
        <v>108</v>
      </c>
      <c r="C154" s="165"/>
      <c r="D154" s="2">
        <v>3</v>
      </c>
      <c r="E154" s="2" t="s">
        <v>6</v>
      </c>
      <c r="F154" s="9">
        <v>44464</v>
      </c>
      <c r="G154" s="16"/>
      <c r="H154" s="13"/>
      <c r="I154" s="16">
        <v>6</v>
      </c>
      <c r="J154" s="29">
        <f>I154*D154</f>
        <v>18</v>
      </c>
    </row>
    <row r="155" spans="1:12" x14ac:dyDescent="0.25">
      <c r="A155" s="20">
        <v>145</v>
      </c>
      <c r="B155" s="165" t="s">
        <v>53</v>
      </c>
      <c r="C155" s="165"/>
      <c r="D155" s="2">
        <v>6</v>
      </c>
      <c r="E155" s="2" t="s">
        <v>6</v>
      </c>
      <c r="F155" s="9">
        <v>44467</v>
      </c>
      <c r="G155" s="15"/>
      <c r="H155" s="13"/>
      <c r="I155" s="14">
        <v>6</v>
      </c>
      <c r="J155" s="29">
        <f>I155*D155</f>
        <v>36</v>
      </c>
    </row>
    <row r="156" spans="1:12" x14ac:dyDescent="0.25">
      <c r="A156" s="20">
        <v>146</v>
      </c>
      <c r="B156" s="165" t="s">
        <v>7</v>
      </c>
      <c r="C156" s="165"/>
      <c r="D156" s="2">
        <v>5</v>
      </c>
      <c r="E156" s="2" t="s">
        <v>6</v>
      </c>
      <c r="F156" s="9">
        <v>44467</v>
      </c>
      <c r="G156" s="15"/>
      <c r="H156" s="13"/>
      <c r="I156" s="14">
        <v>6</v>
      </c>
      <c r="J156" s="29">
        <f t="shared" ref="J156:J157" si="26">I156*D156</f>
        <v>30</v>
      </c>
    </row>
    <row r="157" spans="1:12" x14ac:dyDescent="0.25">
      <c r="A157" s="20">
        <v>147</v>
      </c>
      <c r="B157" s="165" t="s">
        <v>11</v>
      </c>
      <c r="C157" s="165"/>
      <c r="D157" s="2">
        <v>6</v>
      </c>
      <c r="E157" s="2" t="s">
        <v>6</v>
      </c>
      <c r="F157" s="9">
        <v>44467</v>
      </c>
      <c r="G157" s="15"/>
      <c r="H157" s="13"/>
      <c r="I157" s="14">
        <v>6</v>
      </c>
      <c r="J157" s="29">
        <f t="shared" si="26"/>
        <v>36</v>
      </c>
    </row>
    <row r="158" spans="1:12" x14ac:dyDescent="0.25">
      <c r="A158" s="20">
        <v>148</v>
      </c>
      <c r="B158" s="165" t="s">
        <v>119</v>
      </c>
      <c r="C158" s="165"/>
      <c r="D158" s="2">
        <v>6</v>
      </c>
      <c r="E158" s="2" t="s">
        <v>6</v>
      </c>
      <c r="F158" s="9">
        <v>44467</v>
      </c>
      <c r="G158" s="15">
        <f>0.32*0.16</f>
        <v>5.1200000000000002E-2</v>
      </c>
      <c r="H158" s="13">
        <f>G158*D158</f>
        <v>0.30720000000000003</v>
      </c>
      <c r="I158" s="14"/>
      <c r="J158" s="29"/>
    </row>
    <row r="159" spans="1:12" x14ac:dyDescent="0.25">
      <c r="A159" s="20">
        <v>149</v>
      </c>
      <c r="B159" s="165" t="s">
        <v>120</v>
      </c>
      <c r="C159" s="165"/>
      <c r="D159" s="2">
        <v>4</v>
      </c>
      <c r="E159" s="2" t="s">
        <v>6</v>
      </c>
      <c r="F159" s="9">
        <v>44467</v>
      </c>
      <c r="G159" s="15">
        <f>0.1*0.4</f>
        <v>4.0000000000000008E-2</v>
      </c>
      <c r="H159" s="13">
        <f t="shared" ref="H159:H165" si="27">G159*D159</f>
        <v>0.16000000000000003</v>
      </c>
      <c r="I159" s="14"/>
      <c r="J159" s="29"/>
    </row>
    <row r="160" spans="1:12" x14ac:dyDescent="0.25">
      <c r="A160" s="20">
        <v>150</v>
      </c>
      <c r="B160" s="165" t="s">
        <v>121</v>
      </c>
      <c r="C160" s="165"/>
      <c r="D160" s="2">
        <v>4</v>
      </c>
      <c r="E160" s="2" t="s">
        <v>6</v>
      </c>
      <c r="F160" s="9">
        <v>44467</v>
      </c>
      <c r="G160" s="15">
        <f>0.32*0.3</f>
        <v>9.6000000000000002E-2</v>
      </c>
      <c r="H160" s="13">
        <f t="shared" si="27"/>
        <v>0.38400000000000001</v>
      </c>
      <c r="I160" s="14"/>
      <c r="J160" s="29"/>
    </row>
    <row r="161" spans="1:30" x14ac:dyDescent="0.25">
      <c r="A161" s="20">
        <v>151</v>
      </c>
      <c r="B161" s="165" t="s">
        <v>122</v>
      </c>
      <c r="C161" s="165"/>
      <c r="D161" s="2">
        <v>2</v>
      </c>
      <c r="E161" s="2" t="s">
        <v>6</v>
      </c>
      <c r="F161" s="9">
        <v>44467</v>
      </c>
      <c r="G161" s="15">
        <f>0.32*0.1</f>
        <v>3.2000000000000001E-2</v>
      </c>
      <c r="H161" s="13">
        <f t="shared" si="27"/>
        <v>6.4000000000000001E-2</v>
      </c>
      <c r="I161" s="14"/>
      <c r="J161" s="29"/>
    </row>
    <row r="162" spans="1:30" x14ac:dyDescent="0.25">
      <c r="A162" s="20">
        <v>152</v>
      </c>
      <c r="B162" s="165" t="s">
        <v>123</v>
      </c>
      <c r="C162" s="165"/>
      <c r="D162" s="2">
        <v>4</v>
      </c>
      <c r="E162" s="2" t="s">
        <v>6</v>
      </c>
      <c r="F162" s="9">
        <v>44467</v>
      </c>
      <c r="G162" s="15">
        <f>0.5*0.245</f>
        <v>0.1225</v>
      </c>
      <c r="H162" s="13">
        <f t="shared" si="27"/>
        <v>0.49</v>
      </c>
      <c r="I162" s="14"/>
      <c r="J162" s="29"/>
    </row>
    <row r="163" spans="1:30" x14ac:dyDescent="0.25">
      <c r="A163" s="20">
        <v>153</v>
      </c>
      <c r="B163" s="165" t="s">
        <v>124</v>
      </c>
      <c r="C163" s="165"/>
      <c r="D163" s="2">
        <v>4</v>
      </c>
      <c r="E163" s="2" t="s">
        <v>6</v>
      </c>
      <c r="F163" s="9">
        <v>44467</v>
      </c>
      <c r="G163" s="15">
        <f>0.3*0.07</f>
        <v>2.1000000000000001E-2</v>
      </c>
      <c r="H163" s="13">
        <f t="shared" si="27"/>
        <v>8.4000000000000005E-2</v>
      </c>
      <c r="I163" s="14"/>
      <c r="J163" s="29"/>
    </row>
    <row r="164" spans="1:30" x14ac:dyDescent="0.25">
      <c r="A164" s="20">
        <v>154</v>
      </c>
      <c r="B164" s="165" t="s">
        <v>125</v>
      </c>
      <c r="C164" s="165"/>
      <c r="D164" s="2">
        <v>12</v>
      </c>
      <c r="E164" s="2" t="s">
        <v>6</v>
      </c>
      <c r="F164" s="9">
        <v>44467</v>
      </c>
      <c r="G164" s="14">
        <f>0.245^2</f>
        <v>6.0024999999999995E-2</v>
      </c>
      <c r="H164" s="13">
        <f t="shared" si="27"/>
        <v>0.72029999999999994</v>
      </c>
      <c r="I164" s="14"/>
      <c r="J164" s="29"/>
    </row>
    <row r="165" spans="1:30" x14ac:dyDescent="0.25">
      <c r="A165" s="20">
        <v>155</v>
      </c>
      <c r="B165" s="165" t="s">
        <v>126</v>
      </c>
      <c r="C165" s="165"/>
      <c r="D165" s="2">
        <v>10</v>
      </c>
      <c r="E165" s="2" t="s">
        <v>6</v>
      </c>
      <c r="F165" s="9">
        <v>44467</v>
      </c>
      <c r="G165" s="14">
        <f>0.31*0.19</f>
        <v>5.8900000000000001E-2</v>
      </c>
      <c r="H165" s="13">
        <f t="shared" si="27"/>
        <v>0.58899999999999997</v>
      </c>
      <c r="I165" s="14"/>
      <c r="J165" s="29"/>
    </row>
    <row r="166" spans="1:30" x14ac:dyDescent="0.25">
      <c r="A166" s="20">
        <v>156</v>
      </c>
      <c r="B166" s="165" t="s">
        <v>53</v>
      </c>
      <c r="C166" s="165"/>
      <c r="D166" s="2">
        <v>2</v>
      </c>
      <c r="E166" s="2" t="s">
        <v>6</v>
      </c>
      <c r="F166" s="9">
        <v>44468</v>
      </c>
      <c r="G166" s="17"/>
      <c r="H166" s="13"/>
      <c r="I166" s="14">
        <v>6</v>
      </c>
      <c r="J166" s="29">
        <f>I166*D166</f>
        <v>12</v>
      </c>
      <c r="X166" s="213"/>
      <c r="Y166" s="22"/>
      <c r="Z166" s="22"/>
      <c r="AA166" s="22"/>
      <c r="AB166" s="22"/>
      <c r="AC166" s="22"/>
      <c r="AD166" s="22"/>
    </row>
    <row r="167" spans="1:30" x14ac:dyDescent="0.25">
      <c r="A167" s="20">
        <v>157</v>
      </c>
      <c r="B167" s="165" t="s">
        <v>7</v>
      </c>
      <c r="C167" s="165"/>
      <c r="D167" s="2">
        <v>1.5</v>
      </c>
      <c r="E167" s="2" t="s">
        <v>6</v>
      </c>
      <c r="F167" s="9">
        <v>44468</v>
      </c>
      <c r="G167" s="17"/>
      <c r="H167" s="13"/>
      <c r="I167" s="14">
        <v>6</v>
      </c>
      <c r="J167" s="29">
        <f t="shared" ref="J167:J168" si="28">I167*D167</f>
        <v>9</v>
      </c>
    </row>
    <row r="168" spans="1:30" x14ac:dyDescent="0.25">
      <c r="A168" s="20">
        <v>158</v>
      </c>
      <c r="B168" s="168" t="s">
        <v>127</v>
      </c>
      <c r="C168" s="168"/>
      <c r="D168" s="2">
        <v>1.7</v>
      </c>
      <c r="E168" s="2" t="s">
        <v>6</v>
      </c>
      <c r="F168" s="9">
        <v>44468</v>
      </c>
      <c r="G168" s="16"/>
      <c r="H168" s="13"/>
      <c r="I168" s="16">
        <v>6</v>
      </c>
      <c r="J168" s="29">
        <f t="shared" si="28"/>
        <v>10.199999999999999</v>
      </c>
    </row>
    <row r="169" spans="1:30" x14ac:dyDescent="0.25">
      <c r="A169" s="20">
        <v>159</v>
      </c>
      <c r="B169" s="165" t="s">
        <v>128</v>
      </c>
      <c r="C169" s="165"/>
      <c r="D169" s="2">
        <v>1</v>
      </c>
      <c r="E169" s="2" t="s">
        <v>6</v>
      </c>
      <c r="F169" s="9">
        <v>44470</v>
      </c>
      <c r="G169" s="16">
        <f>2.24*0.6</f>
        <v>1.3440000000000001</v>
      </c>
      <c r="H169" s="13">
        <f>G169*D169</f>
        <v>1.3440000000000001</v>
      </c>
      <c r="I169" s="16"/>
      <c r="J169" s="29"/>
    </row>
    <row r="170" spans="1:30" x14ac:dyDescent="0.25">
      <c r="A170" s="20">
        <v>160</v>
      </c>
      <c r="B170" s="165" t="s">
        <v>129</v>
      </c>
      <c r="C170" s="165"/>
      <c r="D170" s="2">
        <v>1</v>
      </c>
      <c r="E170" s="2" t="s">
        <v>6</v>
      </c>
      <c r="F170" s="9">
        <v>44470</v>
      </c>
      <c r="G170" s="16"/>
      <c r="H170" s="13"/>
      <c r="I170" s="16">
        <v>2.1</v>
      </c>
      <c r="J170" s="29">
        <f>I170*D170</f>
        <v>2.1</v>
      </c>
      <c r="L170" s="23"/>
      <c r="M170" s="22"/>
      <c r="N170" s="22"/>
      <c r="O170" s="22"/>
      <c r="P170" s="22"/>
      <c r="Q170" s="22"/>
      <c r="R170" s="22"/>
      <c r="S170" s="22"/>
      <c r="T170" s="22"/>
    </row>
    <row r="171" spans="1:30" x14ac:dyDescent="0.25">
      <c r="A171" s="20">
        <v>161</v>
      </c>
      <c r="B171" s="165" t="s">
        <v>130</v>
      </c>
      <c r="C171" s="165"/>
      <c r="D171" s="2">
        <v>3</v>
      </c>
      <c r="E171" s="2" t="s">
        <v>6</v>
      </c>
      <c r="F171" s="9">
        <v>44470</v>
      </c>
      <c r="G171" s="18">
        <f>0.68*0.3</f>
        <v>0.20400000000000001</v>
      </c>
      <c r="H171" s="13">
        <f t="shared" ref="H171:H172" si="29">G171*D171</f>
        <v>0.6120000000000001</v>
      </c>
      <c r="I171" s="16"/>
      <c r="J171" s="29"/>
    </row>
    <row r="172" spans="1:30" x14ac:dyDescent="0.25">
      <c r="A172" s="20">
        <v>162</v>
      </c>
      <c r="B172" s="165" t="s">
        <v>131</v>
      </c>
      <c r="C172" s="165"/>
      <c r="D172" s="2">
        <v>3</v>
      </c>
      <c r="E172" s="2" t="s">
        <v>6</v>
      </c>
      <c r="F172" s="9">
        <v>44470</v>
      </c>
      <c r="G172" s="18">
        <f>0.68*0.12</f>
        <v>8.1600000000000006E-2</v>
      </c>
      <c r="H172" s="13">
        <f t="shared" si="29"/>
        <v>0.24480000000000002</v>
      </c>
      <c r="I172" s="16"/>
      <c r="J172" s="29"/>
    </row>
    <row r="173" spans="1:30" x14ac:dyDescent="0.25">
      <c r="A173" s="20">
        <v>163</v>
      </c>
      <c r="B173" s="165" t="s">
        <v>132</v>
      </c>
      <c r="C173" s="165"/>
      <c r="D173" s="2">
        <v>10</v>
      </c>
      <c r="E173" s="2" t="s">
        <v>6</v>
      </c>
      <c r="F173" s="9">
        <v>44470</v>
      </c>
      <c r="G173" s="16"/>
      <c r="H173" s="13"/>
      <c r="I173" s="16">
        <v>0.68</v>
      </c>
      <c r="J173" s="29">
        <f>I173*D173</f>
        <v>6.8000000000000007</v>
      </c>
    </row>
    <row r="174" spans="1:30" x14ac:dyDescent="0.25">
      <c r="A174" s="20">
        <v>164</v>
      </c>
      <c r="B174" s="165" t="s">
        <v>133</v>
      </c>
      <c r="C174" s="165"/>
      <c r="D174" s="2">
        <v>1</v>
      </c>
      <c r="E174" s="2" t="s">
        <v>6</v>
      </c>
      <c r="F174" s="9">
        <v>44470</v>
      </c>
      <c r="G174" s="16"/>
      <c r="H174" s="13"/>
      <c r="I174" s="16">
        <v>0.5</v>
      </c>
      <c r="J174" s="29">
        <f>I174*D174</f>
        <v>0.5</v>
      </c>
    </row>
    <row r="175" spans="1:30" x14ac:dyDescent="0.25">
      <c r="A175" s="20">
        <v>165</v>
      </c>
      <c r="B175" s="168" t="s">
        <v>134</v>
      </c>
      <c r="C175" s="168"/>
      <c r="D175" s="2">
        <v>2</v>
      </c>
      <c r="E175" s="2" t="s">
        <v>6</v>
      </c>
      <c r="F175" s="9">
        <v>44470</v>
      </c>
      <c r="G175" s="16"/>
      <c r="H175" s="13"/>
      <c r="I175" s="16">
        <v>2.1</v>
      </c>
      <c r="J175" s="29">
        <f>I175*D175</f>
        <v>4.2</v>
      </c>
    </row>
    <row r="176" spans="1:30" s="22" customFormat="1" x14ac:dyDescent="0.25">
      <c r="A176" s="25">
        <v>166</v>
      </c>
      <c r="B176" s="165" t="s">
        <v>90</v>
      </c>
      <c r="C176" s="165"/>
      <c r="D176" s="1">
        <v>15.5</v>
      </c>
      <c r="E176" s="2" t="s">
        <v>6</v>
      </c>
      <c r="F176" s="9">
        <v>44473</v>
      </c>
      <c r="G176" s="15"/>
      <c r="H176" s="13"/>
      <c r="I176" s="14">
        <f>6</f>
        <v>6</v>
      </c>
      <c r="J176" s="29">
        <f>I176*D176</f>
        <v>93</v>
      </c>
      <c r="L176"/>
      <c r="M176"/>
      <c r="N176"/>
      <c r="O176"/>
      <c r="P176"/>
      <c r="Q176"/>
      <c r="R176"/>
      <c r="S176"/>
      <c r="T176"/>
      <c r="X176" s="213"/>
    </row>
    <row r="177" spans="1:30" ht="17.25" x14ac:dyDescent="0.25">
      <c r="A177" s="20">
        <v>167</v>
      </c>
      <c r="B177" s="165" t="s">
        <v>137</v>
      </c>
      <c r="C177" s="165"/>
      <c r="D177" s="2">
        <v>33</v>
      </c>
      <c r="E177" s="2" t="s">
        <v>6</v>
      </c>
      <c r="F177" s="9">
        <v>44473</v>
      </c>
      <c r="G177" s="15"/>
      <c r="H177" s="13"/>
      <c r="I177" s="14">
        <v>0.9</v>
      </c>
      <c r="J177" s="29">
        <f t="shared" ref="J177:J181" si="30">I177*D177</f>
        <v>29.7</v>
      </c>
      <c r="X177" s="213"/>
      <c r="Y177" s="22"/>
      <c r="Z177" s="22"/>
      <c r="AA177" s="22"/>
      <c r="AB177" s="22"/>
      <c r="AC177" s="22"/>
      <c r="AD177" s="22"/>
    </row>
    <row r="178" spans="1:30" ht="17.25" x14ac:dyDescent="0.25">
      <c r="A178" s="20">
        <v>168</v>
      </c>
      <c r="B178" s="165" t="s">
        <v>138</v>
      </c>
      <c r="C178" s="165"/>
      <c r="D178" s="2">
        <v>30</v>
      </c>
      <c r="E178" s="2" t="s">
        <v>6</v>
      </c>
      <c r="F178" s="9">
        <v>44473</v>
      </c>
      <c r="G178" s="15"/>
      <c r="H178" s="13"/>
      <c r="I178" s="14">
        <v>1.45</v>
      </c>
      <c r="J178" s="29">
        <f t="shared" si="30"/>
        <v>43.5</v>
      </c>
      <c r="X178" s="213"/>
      <c r="Y178" s="22"/>
      <c r="Z178" s="22"/>
      <c r="AA178" s="22"/>
      <c r="AB178" s="22"/>
      <c r="AC178" s="22"/>
      <c r="AD178" s="22"/>
    </row>
    <row r="179" spans="1:30" ht="17.25" x14ac:dyDescent="0.25">
      <c r="A179" s="20">
        <v>169</v>
      </c>
      <c r="B179" s="165" t="s">
        <v>139</v>
      </c>
      <c r="C179" s="165"/>
      <c r="D179" s="2">
        <v>30</v>
      </c>
      <c r="E179" s="2" t="s">
        <v>6</v>
      </c>
      <c r="F179" s="9">
        <v>44473</v>
      </c>
      <c r="G179" s="15"/>
      <c r="H179" s="13"/>
      <c r="I179" s="14">
        <v>0.7</v>
      </c>
      <c r="J179" s="29">
        <f t="shared" si="30"/>
        <v>21</v>
      </c>
      <c r="X179" s="213"/>
      <c r="Y179" s="22"/>
      <c r="Z179" s="22"/>
      <c r="AA179" s="22"/>
      <c r="AB179" s="22"/>
      <c r="AC179" s="22"/>
      <c r="AD179" s="22"/>
    </row>
    <row r="180" spans="1:30" ht="17.25" x14ac:dyDescent="0.25">
      <c r="A180" s="20">
        <v>170</v>
      </c>
      <c r="B180" s="165" t="s">
        <v>140</v>
      </c>
      <c r="C180" s="165"/>
      <c r="D180" s="2">
        <v>60</v>
      </c>
      <c r="E180" s="2" t="s">
        <v>6</v>
      </c>
      <c r="F180" s="9">
        <v>44473</v>
      </c>
      <c r="G180" s="15"/>
      <c r="H180" s="13"/>
      <c r="I180" s="14">
        <v>0.85</v>
      </c>
      <c r="J180" s="29">
        <f t="shared" si="30"/>
        <v>51</v>
      </c>
      <c r="L180" s="22"/>
      <c r="M180" s="22"/>
      <c r="N180" s="22"/>
      <c r="O180" s="22"/>
      <c r="P180" s="22"/>
      <c r="Q180" s="22"/>
      <c r="R180" s="22"/>
      <c r="S180" s="22"/>
      <c r="T180" s="22"/>
      <c r="X180" s="213"/>
      <c r="Y180" s="22"/>
      <c r="Z180" s="22"/>
      <c r="AA180" s="22"/>
      <c r="AB180" s="22"/>
      <c r="AC180" s="22"/>
      <c r="AD180" s="22"/>
    </row>
    <row r="181" spans="1:30" ht="17.25" x14ac:dyDescent="0.25">
      <c r="A181" s="20">
        <v>171</v>
      </c>
      <c r="B181" s="165" t="s">
        <v>141</v>
      </c>
      <c r="C181" s="165"/>
      <c r="D181" s="2">
        <v>9</v>
      </c>
      <c r="E181" s="2" t="s">
        <v>6</v>
      </c>
      <c r="F181" s="9">
        <v>44473</v>
      </c>
      <c r="G181" s="15"/>
      <c r="H181" s="13"/>
      <c r="I181" s="14">
        <v>0.97</v>
      </c>
      <c r="J181" s="29">
        <f t="shared" si="30"/>
        <v>8.73</v>
      </c>
      <c r="L181" s="22"/>
      <c r="M181" s="22"/>
      <c r="N181" s="22"/>
      <c r="O181" s="22"/>
      <c r="P181" s="22"/>
      <c r="Q181" s="22"/>
      <c r="R181" s="22"/>
      <c r="S181" s="22"/>
      <c r="T181" s="22"/>
      <c r="X181" s="213"/>
      <c r="Y181" s="22"/>
      <c r="Z181" s="22"/>
      <c r="AA181" s="22"/>
      <c r="AB181" s="22"/>
      <c r="AC181" s="22"/>
      <c r="AD181" s="22"/>
    </row>
    <row r="182" spans="1:30" x14ac:dyDescent="0.25">
      <c r="A182" s="20">
        <v>172</v>
      </c>
      <c r="B182" s="165" t="s">
        <v>142</v>
      </c>
      <c r="C182" s="165"/>
      <c r="D182" s="2">
        <v>12</v>
      </c>
      <c r="E182" s="2" t="s">
        <v>6</v>
      </c>
      <c r="F182" s="9">
        <v>44474</v>
      </c>
      <c r="G182" s="15">
        <f>0.23*0.25</f>
        <v>5.7500000000000002E-2</v>
      </c>
      <c r="H182" s="13">
        <f>G182*D182</f>
        <v>0.69000000000000006</v>
      </c>
      <c r="I182" s="14"/>
      <c r="J182" s="29"/>
      <c r="L182" s="22"/>
      <c r="M182" s="22"/>
      <c r="N182" s="22"/>
      <c r="O182" s="22"/>
      <c r="P182" s="22"/>
      <c r="Q182" s="22"/>
      <c r="R182" s="22"/>
      <c r="S182" s="22"/>
      <c r="T182" s="22"/>
      <c r="X182" s="213"/>
      <c r="Y182" s="22"/>
      <c r="Z182" s="22"/>
      <c r="AA182" s="22"/>
      <c r="AB182" s="22"/>
      <c r="AC182" s="22"/>
      <c r="AD182" s="22"/>
    </row>
    <row r="183" spans="1:30" x14ac:dyDescent="0.25">
      <c r="A183" s="20">
        <v>173</v>
      </c>
      <c r="B183" s="165" t="s">
        <v>143</v>
      </c>
      <c r="C183" s="165"/>
      <c r="D183" s="2">
        <v>8</v>
      </c>
      <c r="E183" s="2" t="s">
        <v>6</v>
      </c>
      <c r="F183" s="9">
        <v>44474</v>
      </c>
      <c r="G183" s="15">
        <f>0.2*0.25</f>
        <v>0.05</v>
      </c>
      <c r="H183" s="13">
        <f t="shared" ref="H183:H185" si="31">G183*D183</f>
        <v>0.4</v>
      </c>
      <c r="I183" s="14"/>
      <c r="J183" s="29"/>
      <c r="L183" s="22"/>
      <c r="M183" s="22"/>
      <c r="N183" s="22"/>
      <c r="O183" s="22"/>
      <c r="P183" s="22"/>
      <c r="Q183" s="22"/>
      <c r="R183" s="22"/>
      <c r="S183" s="22"/>
      <c r="T183" s="22"/>
      <c r="X183" s="213"/>
      <c r="Y183" s="22"/>
      <c r="Z183" s="22"/>
      <c r="AA183" s="22"/>
      <c r="AB183" s="22"/>
      <c r="AC183" s="22"/>
      <c r="AD183" s="22"/>
    </row>
    <row r="184" spans="1:30" x14ac:dyDescent="0.25">
      <c r="A184" s="20">
        <v>174</v>
      </c>
      <c r="B184" s="165" t="s">
        <v>144</v>
      </c>
      <c r="C184" s="165"/>
      <c r="D184" s="2">
        <v>16</v>
      </c>
      <c r="E184" s="2" t="s">
        <v>6</v>
      </c>
      <c r="F184" s="9">
        <v>44474</v>
      </c>
      <c r="G184" s="15">
        <f>0.2*0.21</f>
        <v>4.2000000000000003E-2</v>
      </c>
      <c r="H184" s="13">
        <f t="shared" si="31"/>
        <v>0.67200000000000004</v>
      </c>
      <c r="I184" s="14"/>
      <c r="J184" s="29"/>
      <c r="L184" s="22"/>
      <c r="M184" s="22"/>
      <c r="N184" s="22"/>
      <c r="O184" s="22"/>
      <c r="P184" s="22"/>
      <c r="Q184" s="22"/>
      <c r="R184" s="22"/>
      <c r="S184" s="22"/>
      <c r="T184" s="22"/>
      <c r="X184" s="213"/>
      <c r="Y184" s="22"/>
      <c r="Z184" s="22"/>
      <c r="AA184" s="22"/>
      <c r="AB184" s="22"/>
      <c r="AC184" s="22"/>
      <c r="AD184" s="22"/>
    </row>
    <row r="185" spans="1:30" x14ac:dyDescent="0.25">
      <c r="A185" s="20">
        <v>175</v>
      </c>
      <c r="B185" s="165" t="s">
        <v>145</v>
      </c>
      <c r="C185" s="165"/>
      <c r="D185" s="2">
        <v>8</v>
      </c>
      <c r="E185" s="2" t="s">
        <v>6</v>
      </c>
      <c r="F185" s="9">
        <v>44474</v>
      </c>
      <c r="G185" s="15">
        <f>0.21*0.06</f>
        <v>1.2599999999999998E-2</v>
      </c>
      <c r="H185" s="13">
        <f t="shared" si="31"/>
        <v>0.10079999999999999</v>
      </c>
      <c r="I185" s="14"/>
      <c r="J185" s="29"/>
      <c r="L185" s="22"/>
      <c r="M185" s="22"/>
      <c r="N185" s="22"/>
      <c r="O185" s="22"/>
      <c r="P185" s="22"/>
      <c r="Q185" s="22"/>
      <c r="R185" s="22"/>
      <c r="S185" s="22"/>
      <c r="T185" s="22"/>
      <c r="X185" s="213"/>
      <c r="Y185" s="22"/>
      <c r="Z185" s="22"/>
      <c r="AA185" s="22"/>
      <c r="AB185" s="22"/>
      <c r="AC185" s="22"/>
      <c r="AD185" s="22"/>
    </row>
    <row r="186" spans="1:30" s="22" customFormat="1" x14ac:dyDescent="0.25">
      <c r="A186" s="25">
        <v>176</v>
      </c>
      <c r="B186" s="165" t="s">
        <v>53</v>
      </c>
      <c r="C186" s="165"/>
      <c r="D186" s="1">
        <v>4</v>
      </c>
      <c r="E186" s="2" t="s">
        <v>6</v>
      </c>
      <c r="F186" s="9">
        <v>44481</v>
      </c>
      <c r="G186" s="15"/>
      <c r="H186" s="13"/>
      <c r="I186" s="14">
        <v>6</v>
      </c>
      <c r="J186" s="29">
        <f>I186*D186</f>
        <v>24</v>
      </c>
      <c r="X186" s="213"/>
    </row>
    <row r="187" spans="1:30" s="22" customFormat="1" x14ac:dyDescent="0.25">
      <c r="A187" s="25">
        <v>177</v>
      </c>
      <c r="B187" s="165" t="s">
        <v>146</v>
      </c>
      <c r="C187" s="165"/>
      <c r="D187" s="2">
        <v>13</v>
      </c>
      <c r="E187" s="2" t="s">
        <v>6</v>
      </c>
      <c r="F187" s="9">
        <v>44481</v>
      </c>
      <c r="G187" s="15"/>
      <c r="H187" s="13"/>
      <c r="I187" s="14">
        <v>6</v>
      </c>
      <c r="J187" s="29">
        <f t="shared" ref="J187:J190" si="32">I187*D187</f>
        <v>78</v>
      </c>
      <c r="X187" s="213"/>
    </row>
    <row r="188" spans="1:30" s="22" customFormat="1" x14ac:dyDescent="0.25">
      <c r="A188" s="25">
        <v>178</v>
      </c>
      <c r="B188" s="165" t="s">
        <v>147</v>
      </c>
      <c r="C188" s="165"/>
      <c r="D188" s="2">
        <v>6</v>
      </c>
      <c r="E188" s="2" t="s">
        <v>6</v>
      </c>
      <c r="F188" s="9">
        <v>44481</v>
      </c>
      <c r="G188" s="15"/>
      <c r="H188" s="13"/>
      <c r="I188" s="14">
        <v>6</v>
      </c>
      <c r="J188" s="29">
        <f t="shared" si="32"/>
        <v>36</v>
      </c>
      <c r="X188" s="213"/>
    </row>
    <row r="189" spans="1:30" s="22" customFormat="1" x14ac:dyDescent="0.25">
      <c r="A189" s="25">
        <v>179</v>
      </c>
      <c r="B189" s="165" t="s">
        <v>148</v>
      </c>
      <c r="C189" s="165"/>
      <c r="D189" s="2">
        <v>6</v>
      </c>
      <c r="E189" s="2" t="s">
        <v>6</v>
      </c>
      <c r="F189" s="9">
        <v>44481</v>
      </c>
      <c r="G189" s="15"/>
      <c r="H189" s="13"/>
      <c r="I189" s="14">
        <v>6</v>
      </c>
      <c r="J189" s="29">
        <f t="shared" si="32"/>
        <v>36</v>
      </c>
      <c r="X189" s="213"/>
    </row>
    <row r="190" spans="1:30" s="22" customFormat="1" x14ac:dyDescent="0.25">
      <c r="A190" s="25">
        <v>180</v>
      </c>
      <c r="B190" s="165" t="s">
        <v>135</v>
      </c>
      <c r="C190" s="165"/>
      <c r="D190" s="2">
        <v>4</v>
      </c>
      <c r="E190" s="2" t="s">
        <v>6</v>
      </c>
      <c r="F190" s="9">
        <v>44481</v>
      </c>
      <c r="G190" s="15"/>
      <c r="H190" s="13"/>
      <c r="I190" s="14">
        <v>6</v>
      </c>
      <c r="J190" s="29">
        <f t="shared" si="32"/>
        <v>24</v>
      </c>
      <c r="X190" s="213"/>
    </row>
    <row r="191" spans="1:30" s="22" customFormat="1" x14ac:dyDescent="0.25">
      <c r="A191" s="25">
        <v>181</v>
      </c>
      <c r="B191" s="165" t="s">
        <v>149</v>
      </c>
      <c r="C191" s="165"/>
      <c r="D191" s="2">
        <v>3</v>
      </c>
      <c r="E191" s="2" t="s">
        <v>6</v>
      </c>
      <c r="F191" s="9">
        <v>44481</v>
      </c>
      <c r="G191" s="15">
        <f>0.15*0.1</f>
        <v>1.4999999999999999E-2</v>
      </c>
      <c r="H191" s="13">
        <f>G191*D191</f>
        <v>4.4999999999999998E-2</v>
      </c>
      <c r="I191" s="14"/>
      <c r="J191" s="29"/>
      <c r="X191" s="213"/>
    </row>
    <row r="192" spans="1:30" s="22" customFormat="1" x14ac:dyDescent="0.25">
      <c r="A192" s="25">
        <v>182</v>
      </c>
      <c r="B192" s="165" t="s">
        <v>146</v>
      </c>
      <c r="C192" s="165"/>
      <c r="D192" s="2">
        <v>3</v>
      </c>
      <c r="E192" s="2" t="s">
        <v>6</v>
      </c>
      <c r="F192" s="9">
        <v>44481</v>
      </c>
      <c r="G192" s="15"/>
      <c r="H192" s="13"/>
      <c r="I192" s="14">
        <v>6</v>
      </c>
      <c r="J192" s="29">
        <f>I192*D192</f>
        <v>18</v>
      </c>
      <c r="X192" s="213"/>
    </row>
    <row r="193" spans="1:30" s="22" customFormat="1" x14ac:dyDescent="0.25">
      <c r="A193" s="25">
        <v>183</v>
      </c>
      <c r="B193" s="165" t="s">
        <v>148</v>
      </c>
      <c r="C193" s="165"/>
      <c r="D193" s="2">
        <v>1</v>
      </c>
      <c r="E193" s="2" t="s">
        <v>6</v>
      </c>
      <c r="F193" s="9">
        <v>44481</v>
      </c>
      <c r="G193" s="15"/>
      <c r="H193" s="13"/>
      <c r="I193" s="14">
        <v>6</v>
      </c>
      <c r="J193" s="29">
        <f>I193*D193</f>
        <v>6</v>
      </c>
      <c r="X193" s="213"/>
    </row>
    <row r="194" spans="1:30" s="22" customFormat="1" x14ac:dyDescent="0.25">
      <c r="A194" s="25">
        <v>184</v>
      </c>
      <c r="B194" s="165" t="s">
        <v>150</v>
      </c>
      <c r="C194" s="165"/>
      <c r="D194" s="2">
        <v>24</v>
      </c>
      <c r="E194" s="2" t="s">
        <v>6</v>
      </c>
      <c r="F194" s="9">
        <v>44481</v>
      </c>
      <c r="G194" s="15">
        <f>0.12*0.22</f>
        <v>2.64E-2</v>
      </c>
      <c r="H194" s="13">
        <f>G194*D194</f>
        <v>0.63359999999999994</v>
      </c>
      <c r="I194" s="14"/>
      <c r="J194" s="29"/>
      <c r="X194" s="213"/>
    </row>
    <row r="195" spans="1:30" s="22" customFormat="1" x14ac:dyDescent="0.25">
      <c r="A195" s="25">
        <v>185</v>
      </c>
      <c r="B195" s="165" t="s">
        <v>163</v>
      </c>
      <c r="C195" s="165"/>
      <c r="D195" s="2">
        <v>1</v>
      </c>
      <c r="E195" s="2" t="s">
        <v>6</v>
      </c>
      <c r="F195" s="9">
        <v>44488</v>
      </c>
      <c r="G195" s="15"/>
      <c r="H195" s="13"/>
      <c r="I195" s="14">
        <v>0.7</v>
      </c>
      <c r="J195" s="29">
        <f>I195*D195</f>
        <v>0.7</v>
      </c>
      <c r="X195" s="213"/>
    </row>
    <row r="196" spans="1:30" s="22" customFormat="1" x14ac:dyDescent="0.25">
      <c r="A196" s="25">
        <v>186</v>
      </c>
      <c r="B196" s="165" t="s">
        <v>151</v>
      </c>
      <c r="C196" s="165"/>
      <c r="D196" s="2">
        <v>1</v>
      </c>
      <c r="E196" s="2" t="s">
        <v>6</v>
      </c>
      <c r="F196" s="9">
        <v>44488</v>
      </c>
      <c r="G196" s="15">
        <f>2.24*0.64</f>
        <v>1.4336000000000002</v>
      </c>
      <c r="H196" s="13">
        <f>G196*D196</f>
        <v>1.4336000000000002</v>
      </c>
      <c r="I196" s="14"/>
      <c r="J196" s="29"/>
      <c r="X196" s="213"/>
    </row>
    <row r="197" spans="1:30" s="22" customFormat="1" x14ac:dyDescent="0.25">
      <c r="A197" s="25">
        <v>187</v>
      </c>
      <c r="B197" s="165" t="s">
        <v>152</v>
      </c>
      <c r="C197" s="165"/>
      <c r="D197" s="2">
        <v>1</v>
      </c>
      <c r="E197" s="2" t="s">
        <v>6</v>
      </c>
      <c r="F197" s="9">
        <v>44488</v>
      </c>
      <c r="G197" s="15"/>
      <c r="H197" s="13"/>
      <c r="I197" s="14">
        <v>2.2000000000000002</v>
      </c>
      <c r="J197" s="29">
        <f t="shared" ref="J197:J206" si="33">I197*D197</f>
        <v>2.2000000000000002</v>
      </c>
      <c r="X197" s="213"/>
    </row>
    <row r="198" spans="1:30" s="22" customFormat="1" x14ac:dyDescent="0.25">
      <c r="A198" s="25">
        <v>188</v>
      </c>
      <c r="B198" s="165" t="s">
        <v>153</v>
      </c>
      <c r="C198" s="165"/>
      <c r="D198" s="2">
        <v>2</v>
      </c>
      <c r="E198" s="2" t="s">
        <v>6</v>
      </c>
      <c r="F198" s="9">
        <v>44488</v>
      </c>
      <c r="G198" s="15"/>
      <c r="H198" s="13"/>
      <c r="I198" s="14">
        <v>0.3</v>
      </c>
      <c r="J198" s="29">
        <f t="shared" si="33"/>
        <v>0.6</v>
      </c>
      <c r="X198" s="213"/>
    </row>
    <row r="199" spans="1:30" s="22" customFormat="1" x14ac:dyDescent="0.25">
      <c r="A199" s="25">
        <v>189</v>
      </c>
      <c r="B199" s="165" t="s">
        <v>146</v>
      </c>
      <c r="C199" s="165"/>
      <c r="D199" s="2">
        <v>4</v>
      </c>
      <c r="E199" s="2" t="s">
        <v>6</v>
      </c>
      <c r="F199" s="9">
        <v>44488</v>
      </c>
      <c r="G199" s="15"/>
      <c r="H199" s="13"/>
      <c r="I199" s="14">
        <v>6</v>
      </c>
      <c r="J199" s="29">
        <f t="shared" si="33"/>
        <v>24</v>
      </c>
      <c r="X199" s="213"/>
    </row>
    <row r="200" spans="1:30" s="22" customFormat="1" x14ac:dyDescent="0.25">
      <c r="A200" s="25">
        <v>190</v>
      </c>
      <c r="B200" s="165" t="s">
        <v>46</v>
      </c>
      <c r="C200" s="165"/>
      <c r="D200" s="2">
        <v>14</v>
      </c>
      <c r="E200" s="2" t="s">
        <v>6</v>
      </c>
      <c r="F200" s="9">
        <v>44491</v>
      </c>
      <c r="G200" s="15"/>
      <c r="H200" s="13"/>
      <c r="I200" s="14">
        <v>6</v>
      </c>
      <c r="J200" s="29">
        <f t="shared" si="33"/>
        <v>84</v>
      </c>
      <c r="X200" s="213"/>
    </row>
    <row r="201" spans="1:30" s="22" customFormat="1" x14ac:dyDescent="0.25">
      <c r="A201" s="25">
        <v>191</v>
      </c>
      <c r="B201" s="165" t="s">
        <v>154</v>
      </c>
      <c r="C201" s="165"/>
      <c r="D201" s="2">
        <v>8</v>
      </c>
      <c r="E201" s="2" t="s">
        <v>6</v>
      </c>
      <c r="F201" s="9">
        <v>44491</v>
      </c>
      <c r="G201" s="15"/>
      <c r="H201" s="13"/>
      <c r="I201" s="14">
        <v>0.23</v>
      </c>
      <c r="J201" s="29">
        <f t="shared" si="33"/>
        <v>1.84</v>
      </c>
      <c r="X201" s="213"/>
    </row>
    <row r="202" spans="1:30" s="22" customFormat="1" x14ac:dyDescent="0.25">
      <c r="A202" s="25">
        <v>192</v>
      </c>
      <c r="B202" s="165" t="s">
        <v>155</v>
      </c>
      <c r="C202" s="165"/>
      <c r="D202" s="2">
        <v>2</v>
      </c>
      <c r="E202" s="2" t="s">
        <v>6</v>
      </c>
      <c r="F202" s="9">
        <v>44491</v>
      </c>
      <c r="G202" s="15"/>
      <c r="H202" s="13"/>
      <c r="I202" s="14">
        <v>6</v>
      </c>
      <c r="J202" s="29">
        <f t="shared" si="33"/>
        <v>12</v>
      </c>
      <c r="X202" s="213"/>
    </row>
    <row r="203" spans="1:30" s="22" customFormat="1" x14ac:dyDescent="0.25">
      <c r="A203" s="25">
        <v>193</v>
      </c>
      <c r="B203" s="165" t="s">
        <v>135</v>
      </c>
      <c r="C203" s="165"/>
      <c r="D203" s="2">
        <v>2</v>
      </c>
      <c r="E203" s="2" t="s">
        <v>6</v>
      </c>
      <c r="F203" s="9">
        <v>44491</v>
      </c>
      <c r="G203" s="15"/>
      <c r="H203" s="13"/>
      <c r="I203" s="14">
        <v>6</v>
      </c>
      <c r="J203" s="29">
        <f t="shared" si="33"/>
        <v>12</v>
      </c>
      <c r="X203" s="213"/>
    </row>
    <row r="204" spans="1:30" s="22" customFormat="1" x14ac:dyDescent="0.25">
      <c r="A204" s="25">
        <v>194</v>
      </c>
      <c r="B204" s="165" t="s">
        <v>148</v>
      </c>
      <c r="C204" s="165"/>
      <c r="D204" s="2">
        <v>1</v>
      </c>
      <c r="E204" s="2" t="s">
        <v>6</v>
      </c>
      <c r="F204" s="9">
        <v>44491</v>
      </c>
      <c r="G204" s="15"/>
      <c r="H204" s="13"/>
      <c r="I204" s="14">
        <v>6</v>
      </c>
      <c r="J204" s="29">
        <f t="shared" si="33"/>
        <v>6</v>
      </c>
      <c r="X204" s="208"/>
      <c r="Y204"/>
      <c r="Z204"/>
      <c r="AA204"/>
      <c r="AB204"/>
      <c r="AC204"/>
      <c r="AD204"/>
    </row>
    <row r="205" spans="1:30" s="22" customFormat="1" x14ac:dyDescent="0.25">
      <c r="A205" s="25">
        <v>195</v>
      </c>
      <c r="B205" s="165" t="s">
        <v>146</v>
      </c>
      <c r="C205" s="165"/>
      <c r="D205" s="2">
        <v>2.5</v>
      </c>
      <c r="E205" s="2" t="s">
        <v>6</v>
      </c>
      <c r="F205" s="9">
        <v>44491</v>
      </c>
      <c r="G205" s="14"/>
      <c r="H205" s="13"/>
      <c r="I205" s="14">
        <v>6</v>
      </c>
      <c r="J205" s="29">
        <f t="shared" si="33"/>
        <v>15</v>
      </c>
      <c r="X205" s="208"/>
      <c r="Y205"/>
      <c r="Z205"/>
      <c r="AA205"/>
      <c r="AB205"/>
      <c r="AC205"/>
      <c r="AD205"/>
    </row>
    <row r="206" spans="1:30" s="22" customFormat="1" x14ac:dyDescent="0.25">
      <c r="A206" s="25">
        <v>196</v>
      </c>
      <c r="B206" s="165" t="s">
        <v>156</v>
      </c>
      <c r="C206" s="165"/>
      <c r="D206" s="2">
        <v>1</v>
      </c>
      <c r="E206" s="2" t="s">
        <v>6</v>
      </c>
      <c r="F206" s="9">
        <v>44491</v>
      </c>
      <c r="G206" s="17"/>
      <c r="H206" s="13"/>
      <c r="I206" s="14">
        <v>0.62</v>
      </c>
      <c r="J206" s="29">
        <f t="shared" si="33"/>
        <v>0.62</v>
      </c>
      <c r="X206" s="208"/>
      <c r="Y206"/>
      <c r="Z206"/>
      <c r="AA206"/>
      <c r="AB206"/>
      <c r="AC206"/>
      <c r="AD206"/>
    </row>
    <row r="207" spans="1:30" s="22" customFormat="1" x14ac:dyDescent="0.25">
      <c r="A207" s="25">
        <v>197</v>
      </c>
      <c r="B207" s="165" t="s">
        <v>157</v>
      </c>
      <c r="C207" s="165"/>
      <c r="D207" s="2">
        <v>1</v>
      </c>
      <c r="E207" s="2" t="s">
        <v>6</v>
      </c>
      <c r="F207" s="9">
        <v>44491</v>
      </c>
      <c r="G207" s="17">
        <f>0.6*0.35</f>
        <v>0.21</v>
      </c>
      <c r="H207" s="13">
        <f>D207*G207</f>
        <v>0.21</v>
      </c>
      <c r="I207" s="14"/>
      <c r="J207" s="29"/>
      <c r="X207" s="208"/>
      <c r="Y207"/>
      <c r="Z207"/>
      <c r="AA207"/>
      <c r="AB207"/>
      <c r="AC207"/>
      <c r="AD207"/>
    </row>
    <row r="208" spans="1:30" s="22" customFormat="1" x14ac:dyDescent="0.25">
      <c r="A208" s="25">
        <v>198</v>
      </c>
      <c r="B208" s="165" t="s">
        <v>158</v>
      </c>
      <c r="C208" s="165"/>
      <c r="D208" s="2">
        <v>1</v>
      </c>
      <c r="E208" s="2" t="s">
        <v>6</v>
      </c>
      <c r="F208" s="9">
        <v>44491</v>
      </c>
      <c r="G208" s="17">
        <f>0.6*0.3</f>
        <v>0.18</v>
      </c>
      <c r="H208" s="13">
        <f>D208*G208</f>
        <v>0.18</v>
      </c>
      <c r="I208" s="16"/>
      <c r="J208" s="29"/>
      <c r="L208"/>
      <c r="M208"/>
      <c r="N208"/>
      <c r="O208"/>
      <c r="P208"/>
      <c r="Q208"/>
      <c r="R208"/>
      <c r="S208"/>
      <c r="T208"/>
      <c r="X208" s="208"/>
      <c r="Y208"/>
      <c r="Z208"/>
      <c r="AA208"/>
      <c r="AB208"/>
      <c r="AC208"/>
      <c r="AD208"/>
    </row>
    <row r="209" spans="1:30" s="22" customFormat="1" x14ac:dyDescent="0.25">
      <c r="A209" s="25">
        <v>199</v>
      </c>
      <c r="B209" s="165" t="s">
        <v>159</v>
      </c>
      <c r="C209" s="165"/>
      <c r="D209" s="2">
        <v>4</v>
      </c>
      <c r="E209" s="2" t="s">
        <v>6</v>
      </c>
      <c r="F209" s="9">
        <v>44491</v>
      </c>
      <c r="G209" s="16">
        <f>0.3*0.2</f>
        <v>0.06</v>
      </c>
      <c r="H209" s="13">
        <f t="shared" ref="H209:H211" si="34">D209*G209</f>
        <v>0.24</v>
      </c>
      <c r="I209" s="16"/>
      <c r="J209" s="29"/>
      <c r="L209"/>
      <c r="M209"/>
      <c r="N209"/>
      <c r="O209"/>
      <c r="P209"/>
      <c r="Q209"/>
      <c r="R209"/>
      <c r="S209"/>
      <c r="T209"/>
      <c r="X209" s="208"/>
      <c r="Y209"/>
      <c r="Z209"/>
      <c r="AA209"/>
      <c r="AB209"/>
      <c r="AC209"/>
      <c r="AD209"/>
    </row>
    <row r="210" spans="1:30" s="22" customFormat="1" x14ac:dyDescent="0.25">
      <c r="A210" s="25">
        <v>200</v>
      </c>
      <c r="B210" s="165" t="s">
        <v>160</v>
      </c>
      <c r="C210" s="165"/>
      <c r="D210" s="2">
        <v>4</v>
      </c>
      <c r="E210" s="2" t="s">
        <v>6</v>
      </c>
      <c r="F210" s="9">
        <v>44491</v>
      </c>
      <c r="G210" s="16">
        <f>0.3*0.52</f>
        <v>0.156</v>
      </c>
      <c r="H210" s="13">
        <f t="shared" si="34"/>
        <v>0.624</v>
      </c>
      <c r="I210" s="16"/>
      <c r="J210" s="29"/>
      <c r="L210"/>
      <c r="M210"/>
      <c r="N210"/>
      <c r="O210"/>
      <c r="P210"/>
      <c r="Q210"/>
      <c r="R210"/>
      <c r="S210"/>
      <c r="T210"/>
      <c r="X210" s="208"/>
      <c r="Y210"/>
      <c r="Z210"/>
      <c r="AA210"/>
      <c r="AB210"/>
      <c r="AC210"/>
      <c r="AD210"/>
    </row>
    <row r="211" spans="1:30" s="22" customFormat="1" x14ac:dyDescent="0.25">
      <c r="A211" s="25">
        <v>201</v>
      </c>
      <c r="B211" s="165" t="s">
        <v>161</v>
      </c>
      <c r="C211" s="165"/>
      <c r="D211" s="2">
        <v>8</v>
      </c>
      <c r="E211" s="2" t="s">
        <v>6</v>
      </c>
      <c r="F211" s="9">
        <v>44491</v>
      </c>
      <c r="G211" s="18">
        <f>0.38*0.18</f>
        <v>6.8400000000000002E-2</v>
      </c>
      <c r="H211" s="13">
        <f t="shared" si="34"/>
        <v>0.54720000000000002</v>
      </c>
      <c r="I211" s="16"/>
      <c r="J211" s="29"/>
      <c r="L211"/>
      <c r="M211"/>
      <c r="N211"/>
      <c r="O211"/>
      <c r="P211"/>
      <c r="Q211"/>
      <c r="R211"/>
      <c r="S211"/>
      <c r="T211"/>
      <c r="X211" s="208"/>
      <c r="Y211"/>
      <c r="Z211"/>
      <c r="AA211"/>
      <c r="AB211"/>
      <c r="AC211"/>
      <c r="AD211"/>
    </row>
    <row r="212" spans="1:30" s="22" customFormat="1" x14ac:dyDescent="0.25">
      <c r="A212" s="25">
        <v>202</v>
      </c>
      <c r="B212" s="165" t="s">
        <v>162</v>
      </c>
      <c r="C212" s="165"/>
      <c r="D212" s="2">
        <v>1</v>
      </c>
      <c r="E212" s="2" t="s">
        <v>6</v>
      </c>
      <c r="F212" s="9">
        <v>44491</v>
      </c>
      <c r="G212" s="18"/>
      <c r="H212" s="13"/>
      <c r="I212" s="16">
        <v>4.7</v>
      </c>
      <c r="J212" s="29">
        <f>I212*D212</f>
        <v>4.7</v>
      </c>
      <c r="L212"/>
      <c r="M212"/>
      <c r="N212"/>
      <c r="O212"/>
      <c r="P212"/>
      <c r="Q212"/>
      <c r="R212"/>
      <c r="S212"/>
      <c r="T212"/>
      <c r="X212" s="208"/>
      <c r="Y212"/>
      <c r="Z212"/>
      <c r="AA212"/>
      <c r="AB212"/>
      <c r="AC212"/>
      <c r="AD212"/>
    </row>
    <row r="213" spans="1:30" s="22" customFormat="1" x14ac:dyDescent="0.25">
      <c r="A213" s="25">
        <v>203</v>
      </c>
      <c r="B213" s="165" t="s">
        <v>167</v>
      </c>
      <c r="C213" s="165"/>
      <c r="D213" s="2">
        <v>70</v>
      </c>
      <c r="E213" s="2" t="s">
        <v>6</v>
      </c>
      <c r="F213" s="9">
        <v>44498</v>
      </c>
      <c r="G213" s="15"/>
      <c r="H213" s="13"/>
      <c r="I213" s="14">
        <v>6</v>
      </c>
      <c r="J213" s="29">
        <f>I213*D213</f>
        <v>420</v>
      </c>
      <c r="L213"/>
      <c r="M213"/>
      <c r="N213"/>
      <c r="O213"/>
      <c r="P213"/>
      <c r="Q213"/>
      <c r="R213"/>
      <c r="S213"/>
      <c r="T213"/>
      <c r="X213" s="208"/>
      <c r="Y213"/>
      <c r="Z213"/>
      <c r="AA213"/>
      <c r="AB213"/>
      <c r="AC213"/>
      <c r="AD213"/>
    </row>
    <row r="214" spans="1:30" x14ac:dyDescent="0.25">
      <c r="A214" s="20">
        <v>204</v>
      </c>
      <c r="B214" s="165" t="s">
        <v>168</v>
      </c>
      <c r="C214" s="165"/>
      <c r="D214" s="2">
        <v>12</v>
      </c>
      <c r="E214" s="2" t="s">
        <v>6</v>
      </c>
      <c r="F214" s="9">
        <v>44498</v>
      </c>
      <c r="G214" s="15"/>
      <c r="H214" s="13"/>
      <c r="I214" s="14">
        <v>6</v>
      </c>
      <c r="J214" s="29">
        <f t="shared" ref="J214:J220" si="35">I214*D214</f>
        <v>72</v>
      </c>
    </row>
    <row r="215" spans="1:30" x14ac:dyDescent="0.25">
      <c r="A215" s="20">
        <v>205</v>
      </c>
      <c r="B215" s="165" t="s">
        <v>53</v>
      </c>
      <c r="C215" s="165"/>
      <c r="D215" s="2">
        <v>10</v>
      </c>
      <c r="E215" s="2" t="s">
        <v>6</v>
      </c>
      <c r="F215" s="9">
        <v>44498</v>
      </c>
      <c r="G215" s="15"/>
      <c r="H215" s="13"/>
      <c r="I215" s="14">
        <v>6</v>
      </c>
      <c r="J215" s="29">
        <f t="shared" si="35"/>
        <v>60</v>
      </c>
    </row>
    <row r="216" spans="1:30" ht="17.25" x14ac:dyDescent="0.25">
      <c r="A216" s="20">
        <v>206</v>
      </c>
      <c r="B216" s="165" t="s">
        <v>172</v>
      </c>
      <c r="C216" s="165"/>
      <c r="D216" s="2">
        <v>20</v>
      </c>
      <c r="E216" s="2" t="s">
        <v>6</v>
      </c>
      <c r="F216" s="9">
        <v>44498</v>
      </c>
      <c r="G216" s="15"/>
      <c r="H216" s="13"/>
      <c r="I216" s="14">
        <v>1.1000000000000001</v>
      </c>
      <c r="J216" s="29">
        <f t="shared" si="35"/>
        <v>22</v>
      </c>
    </row>
    <row r="217" spans="1:30" ht="17.25" x14ac:dyDescent="0.25">
      <c r="A217" s="20">
        <v>207</v>
      </c>
      <c r="B217" s="165" t="s">
        <v>173</v>
      </c>
      <c r="C217" s="165"/>
      <c r="D217" s="2">
        <v>15</v>
      </c>
      <c r="E217" s="2" t="s">
        <v>6</v>
      </c>
      <c r="F217" s="9">
        <v>44498</v>
      </c>
      <c r="G217" s="15"/>
      <c r="H217" s="13"/>
      <c r="I217" s="14">
        <v>2.17</v>
      </c>
      <c r="J217" s="29">
        <f t="shared" si="35"/>
        <v>32.549999999999997</v>
      </c>
    </row>
    <row r="218" spans="1:30" x14ac:dyDescent="0.25">
      <c r="A218" s="20">
        <v>208</v>
      </c>
      <c r="B218" s="165" t="s">
        <v>169</v>
      </c>
      <c r="C218" s="165"/>
      <c r="D218" s="2">
        <v>2</v>
      </c>
      <c r="E218" s="2" t="s">
        <v>6</v>
      </c>
      <c r="F218" s="9">
        <v>44498</v>
      </c>
      <c r="G218" s="15"/>
      <c r="H218" s="13"/>
      <c r="I218" s="14">
        <v>0.2</v>
      </c>
      <c r="J218" s="29">
        <f t="shared" si="35"/>
        <v>0.4</v>
      </c>
    </row>
    <row r="219" spans="1:30" x14ac:dyDescent="0.25">
      <c r="A219" s="20">
        <v>209</v>
      </c>
      <c r="B219" s="165" t="s">
        <v>170</v>
      </c>
      <c r="C219" s="165"/>
      <c r="D219" s="2">
        <v>1</v>
      </c>
      <c r="E219" s="2" t="s">
        <v>6</v>
      </c>
      <c r="F219" s="9">
        <v>44498</v>
      </c>
      <c r="G219" s="15"/>
      <c r="H219" s="13"/>
      <c r="I219" s="14">
        <v>0.75</v>
      </c>
      <c r="J219" s="29">
        <f t="shared" si="35"/>
        <v>0.75</v>
      </c>
    </row>
    <row r="220" spans="1:30" x14ac:dyDescent="0.25">
      <c r="A220" s="20">
        <v>210</v>
      </c>
      <c r="B220" s="165" t="s">
        <v>171</v>
      </c>
      <c r="C220" s="165"/>
      <c r="D220" s="2">
        <v>1</v>
      </c>
      <c r="E220" s="2" t="s">
        <v>6</v>
      </c>
      <c r="F220" s="9">
        <v>44498</v>
      </c>
      <c r="G220" s="15"/>
      <c r="H220" s="13"/>
      <c r="I220" s="14">
        <v>0.6</v>
      </c>
      <c r="J220" s="29">
        <f t="shared" si="35"/>
        <v>0.6</v>
      </c>
    </row>
    <row r="221" spans="1:30" x14ac:dyDescent="0.25">
      <c r="A221" s="20">
        <v>211</v>
      </c>
      <c r="B221" s="165" t="s">
        <v>136</v>
      </c>
      <c r="C221" s="165"/>
      <c r="D221" s="2">
        <v>7</v>
      </c>
      <c r="E221" s="2" t="s">
        <v>6</v>
      </c>
      <c r="F221" s="9">
        <v>44509</v>
      </c>
      <c r="G221" s="15"/>
      <c r="H221" s="13"/>
      <c r="I221" s="14">
        <v>6</v>
      </c>
      <c r="J221" s="29">
        <f>I221*D221</f>
        <v>42</v>
      </c>
      <c r="K221" s="27"/>
    </row>
    <row r="222" spans="1:30" x14ac:dyDescent="0.25">
      <c r="A222" s="20">
        <v>212</v>
      </c>
      <c r="B222" s="165" t="s">
        <v>189</v>
      </c>
      <c r="C222" s="165"/>
      <c r="D222" s="2">
        <v>3</v>
      </c>
      <c r="E222" s="2" t="s">
        <v>6</v>
      </c>
      <c r="F222" s="9">
        <v>44509</v>
      </c>
      <c r="G222" s="15"/>
      <c r="H222" s="13"/>
      <c r="I222" s="14">
        <v>0.2</v>
      </c>
      <c r="J222" s="29">
        <f>I222*D222</f>
        <v>0.60000000000000009</v>
      </c>
    </row>
    <row r="223" spans="1:30" x14ac:dyDescent="0.25">
      <c r="A223" s="20">
        <v>213</v>
      </c>
      <c r="B223" s="165" t="s">
        <v>93</v>
      </c>
      <c r="C223" s="165"/>
      <c r="D223" s="2">
        <v>2</v>
      </c>
      <c r="E223" s="2" t="s">
        <v>6</v>
      </c>
      <c r="F223" s="9">
        <v>44512</v>
      </c>
      <c r="G223" s="15"/>
      <c r="H223" s="13"/>
      <c r="I223" s="14">
        <v>6</v>
      </c>
      <c r="J223" s="29">
        <f>I223*D223</f>
        <v>12</v>
      </c>
    </row>
    <row r="224" spans="1:30" x14ac:dyDescent="0.25">
      <c r="A224" s="20">
        <v>214</v>
      </c>
      <c r="B224" s="165" t="s">
        <v>190</v>
      </c>
      <c r="C224" s="165"/>
      <c r="D224" s="2">
        <v>6.5</v>
      </c>
      <c r="E224" s="2" t="s">
        <v>6</v>
      </c>
      <c r="F224" s="9">
        <v>44518</v>
      </c>
      <c r="G224" s="15"/>
      <c r="H224" s="13"/>
      <c r="I224" s="14">
        <v>6.5</v>
      </c>
      <c r="J224" s="29">
        <f>I224*D224</f>
        <v>42.25</v>
      </c>
    </row>
    <row r="225" spans="1:10" ht="17.25" x14ac:dyDescent="0.25">
      <c r="A225" s="20">
        <v>215</v>
      </c>
      <c r="B225" s="165" t="s">
        <v>191</v>
      </c>
      <c r="C225" s="165"/>
      <c r="D225" s="2">
        <v>1</v>
      </c>
      <c r="E225" s="2" t="s">
        <v>6</v>
      </c>
      <c r="F225" s="9">
        <v>44518</v>
      </c>
      <c r="G225" s="15"/>
      <c r="H225" s="13"/>
      <c r="I225" s="14">
        <v>3</v>
      </c>
      <c r="J225" s="29">
        <f t="shared" ref="J225:J236" si="36">I225*D225</f>
        <v>3</v>
      </c>
    </row>
    <row r="226" spans="1:10" x14ac:dyDescent="0.25">
      <c r="A226" s="20">
        <v>216</v>
      </c>
      <c r="B226" s="165" t="s">
        <v>192</v>
      </c>
      <c r="C226" s="165"/>
      <c r="D226" s="2">
        <v>5</v>
      </c>
      <c r="E226" s="2" t="s">
        <v>6</v>
      </c>
      <c r="F226" s="9">
        <v>44518</v>
      </c>
      <c r="G226" s="15"/>
      <c r="H226" s="13"/>
      <c r="I226" s="14">
        <v>6</v>
      </c>
      <c r="J226" s="29">
        <f t="shared" si="36"/>
        <v>30</v>
      </c>
    </row>
    <row r="227" spans="1:10" x14ac:dyDescent="0.25">
      <c r="A227" s="20">
        <v>217</v>
      </c>
      <c r="B227" s="165" t="s">
        <v>193</v>
      </c>
      <c r="C227" s="165"/>
      <c r="D227" s="2">
        <v>3</v>
      </c>
      <c r="E227" s="2" t="s">
        <v>6</v>
      </c>
      <c r="F227" s="9">
        <v>44518</v>
      </c>
      <c r="G227" s="15"/>
      <c r="H227" s="13"/>
      <c r="I227" s="14">
        <v>6</v>
      </c>
      <c r="J227" s="29">
        <f t="shared" si="36"/>
        <v>18</v>
      </c>
    </row>
    <row r="228" spans="1:10" x14ac:dyDescent="0.25">
      <c r="A228" s="20">
        <v>218</v>
      </c>
      <c r="B228" s="165" t="s">
        <v>136</v>
      </c>
      <c r="C228" s="165"/>
      <c r="D228" s="2">
        <v>2</v>
      </c>
      <c r="E228" s="2" t="s">
        <v>6</v>
      </c>
      <c r="F228" s="9">
        <v>44518</v>
      </c>
      <c r="G228" s="15"/>
      <c r="H228" s="13"/>
      <c r="I228" s="14">
        <v>6</v>
      </c>
      <c r="J228" s="29">
        <f t="shared" si="36"/>
        <v>12</v>
      </c>
    </row>
    <row r="229" spans="1:10" x14ac:dyDescent="0.25">
      <c r="A229" s="20">
        <v>219</v>
      </c>
      <c r="B229" s="165" t="s">
        <v>194</v>
      </c>
      <c r="C229" s="165"/>
      <c r="D229" s="2">
        <v>8</v>
      </c>
      <c r="E229" s="2" t="s">
        <v>6</v>
      </c>
      <c r="F229" s="9">
        <v>44518</v>
      </c>
      <c r="G229" s="15"/>
      <c r="H229" s="13"/>
      <c r="I229" s="14">
        <v>0.6</v>
      </c>
      <c r="J229" s="29">
        <f t="shared" si="36"/>
        <v>4.8</v>
      </c>
    </row>
    <row r="230" spans="1:10" x14ac:dyDescent="0.25">
      <c r="A230" s="20">
        <v>220</v>
      </c>
      <c r="B230" s="165" t="s">
        <v>195</v>
      </c>
      <c r="C230" s="165"/>
      <c r="D230" s="2">
        <v>2</v>
      </c>
      <c r="E230" s="2" t="s">
        <v>6</v>
      </c>
      <c r="F230" s="9">
        <v>44518</v>
      </c>
      <c r="G230" s="15"/>
      <c r="H230" s="13"/>
      <c r="I230" s="14">
        <v>6</v>
      </c>
      <c r="J230" s="29">
        <f t="shared" si="36"/>
        <v>12</v>
      </c>
    </row>
    <row r="231" spans="1:10" x14ac:dyDescent="0.25">
      <c r="A231" s="20">
        <v>221</v>
      </c>
      <c r="B231" s="165" t="s">
        <v>196</v>
      </c>
      <c r="C231" s="165"/>
      <c r="D231" s="2">
        <v>8</v>
      </c>
      <c r="E231" s="2" t="s">
        <v>6</v>
      </c>
      <c r="F231" s="9">
        <v>44518</v>
      </c>
      <c r="G231" s="15"/>
      <c r="H231" s="13"/>
      <c r="I231" s="14">
        <v>0.06</v>
      </c>
      <c r="J231" s="29">
        <f>I231*D231</f>
        <v>0.48</v>
      </c>
    </row>
    <row r="232" spans="1:10" x14ac:dyDescent="0.25">
      <c r="A232" s="20">
        <v>222</v>
      </c>
      <c r="B232" s="165" t="s">
        <v>197</v>
      </c>
      <c r="C232" s="165"/>
      <c r="D232" s="2">
        <v>12</v>
      </c>
      <c r="E232" s="2" t="s">
        <v>6</v>
      </c>
      <c r="F232" s="9">
        <v>44518</v>
      </c>
      <c r="G232" s="15">
        <f>0.31*0.1</f>
        <v>3.1E-2</v>
      </c>
      <c r="H232" s="13">
        <f>G232*D232</f>
        <v>0.372</v>
      </c>
      <c r="I232" s="14"/>
      <c r="J232" s="29"/>
    </row>
    <row r="233" spans="1:10" x14ac:dyDescent="0.25">
      <c r="A233" s="20">
        <v>223</v>
      </c>
      <c r="B233" s="165" t="s">
        <v>198</v>
      </c>
      <c r="C233" s="165"/>
      <c r="D233" s="2">
        <v>2</v>
      </c>
      <c r="E233" s="2" t="s">
        <v>6</v>
      </c>
      <c r="F233" s="9">
        <v>44518</v>
      </c>
      <c r="G233" s="15"/>
      <c r="H233" s="13"/>
      <c r="I233" s="14">
        <v>1.72</v>
      </c>
      <c r="J233" s="29">
        <f t="shared" si="36"/>
        <v>3.44</v>
      </c>
    </row>
    <row r="234" spans="1:10" x14ac:dyDescent="0.25">
      <c r="A234" s="20">
        <v>224</v>
      </c>
      <c r="B234" s="165" t="s">
        <v>199</v>
      </c>
      <c r="C234" s="165"/>
      <c r="D234" s="2">
        <v>1</v>
      </c>
      <c r="E234" s="2" t="s">
        <v>6</v>
      </c>
      <c r="F234" s="9">
        <v>44518</v>
      </c>
      <c r="G234" s="14"/>
      <c r="H234" s="13"/>
      <c r="I234" s="14">
        <v>3.5</v>
      </c>
      <c r="J234" s="29">
        <f t="shared" si="36"/>
        <v>3.5</v>
      </c>
    </row>
    <row r="235" spans="1:10" x14ac:dyDescent="0.25">
      <c r="A235" s="20">
        <v>225</v>
      </c>
      <c r="B235" s="165" t="s">
        <v>46</v>
      </c>
      <c r="C235" s="165"/>
      <c r="D235" s="2">
        <v>6</v>
      </c>
      <c r="E235" s="2" t="s">
        <v>6</v>
      </c>
      <c r="F235" s="9">
        <v>44518</v>
      </c>
      <c r="G235" s="17"/>
      <c r="H235" s="13"/>
      <c r="I235" s="14">
        <v>6</v>
      </c>
      <c r="J235" s="29">
        <f t="shared" si="36"/>
        <v>36</v>
      </c>
    </row>
    <row r="236" spans="1:10" ht="17.25" x14ac:dyDescent="0.25">
      <c r="A236" s="20">
        <v>226</v>
      </c>
      <c r="B236" s="165" t="s">
        <v>200</v>
      </c>
      <c r="C236" s="165"/>
      <c r="D236" s="2">
        <v>1</v>
      </c>
      <c r="E236" s="2" t="s">
        <v>6</v>
      </c>
      <c r="F236" s="9">
        <v>44518</v>
      </c>
      <c r="G236" s="17"/>
      <c r="H236" s="13"/>
      <c r="I236" s="14">
        <v>6</v>
      </c>
      <c r="J236" s="29">
        <f t="shared" si="36"/>
        <v>6</v>
      </c>
    </row>
    <row r="237" spans="1:10" x14ac:dyDescent="0.25">
      <c r="A237" s="20">
        <v>227</v>
      </c>
      <c r="B237" s="165" t="s">
        <v>201</v>
      </c>
      <c r="C237" s="165"/>
      <c r="D237" s="2">
        <v>18</v>
      </c>
      <c r="E237" s="2" t="s">
        <v>6</v>
      </c>
      <c r="F237" s="9">
        <v>44518</v>
      </c>
      <c r="G237" s="17">
        <f>0.78*1.18</f>
        <v>0.9204</v>
      </c>
      <c r="H237" s="13">
        <f t="shared" ref="H237:H239" si="37">G237*D237</f>
        <v>16.5672</v>
      </c>
      <c r="I237" s="16"/>
      <c r="J237" s="29"/>
    </row>
    <row r="238" spans="1:10" x14ac:dyDescent="0.25">
      <c r="A238" s="20">
        <v>228</v>
      </c>
      <c r="B238" s="165" t="s">
        <v>202</v>
      </c>
      <c r="C238" s="165"/>
      <c r="D238" s="2">
        <v>9</v>
      </c>
      <c r="E238" s="2" t="s">
        <v>6</v>
      </c>
      <c r="F238" s="9">
        <v>44518</v>
      </c>
      <c r="G238" s="16">
        <f>0.5*0.75</f>
        <v>0.375</v>
      </c>
      <c r="H238" s="13">
        <f t="shared" si="37"/>
        <v>3.375</v>
      </c>
      <c r="I238" s="16"/>
      <c r="J238" s="29"/>
    </row>
    <row r="239" spans="1:10" x14ac:dyDescent="0.25">
      <c r="A239" s="20">
        <v>229</v>
      </c>
      <c r="B239" s="165" t="s">
        <v>203</v>
      </c>
      <c r="C239" s="165"/>
      <c r="D239" s="2">
        <v>9</v>
      </c>
      <c r="E239" s="2" t="s">
        <v>6</v>
      </c>
      <c r="F239" s="9">
        <v>44518</v>
      </c>
      <c r="G239" s="16">
        <f>1.03*0.75</f>
        <v>0.77249999999999996</v>
      </c>
      <c r="H239" s="13">
        <f t="shared" si="37"/>
        <v>6.9524999999999997</v>
      </c>
      <c r="I239" s="16"/>
      <c r="J239" s="29"/>
    </row>
    <row r="240" spans="1:10" x14ac:dyDescent="0.25">
      <c r="A240" s="20">
        <v>230</v>
      </c>
      <c r="B240" s="165" t="s">
        <v>46</v>
      </c>
      <c r="C240" s="165"/>
      <c r="D240" s="2">
        <v>11</v>
      </c>
      <c r="E240" s="2" t="s">
        <v>6</v>
      </c>
      <c r="F240" s="9">
        <v>44519</v>
      </c>
      <c r="G240" s="18"/>
      <c r="H240" s="13"/>
      <c r="I240" s="16">
        <v>6</v>
      </c>
      <c r="J240" s="29">
        <f>I240*D240</f>
        <v>66</v>
      </c>
    </row>
    <row r="241" spans="1:10" x14ac:dyDescent="0.25">
      <c r="A241" s="20">
        <v>231</v>
      </c>
      <c r="B241" s="165" t="s">
        <v>192</v>
      </c>
      <c r="C241" s="165"/>
      <c r="D241" s="2">
        <v>1</v>
      </c>
      <c r="E241" s="2" t="s">
        <v>6</v>
      </c>
      <c r="F241" s="9">
        <v>44519</v>
      </c>
      <c r="G241" s="18"/>
      <c r="H241" s="13"/>
      <c r="I241" s="16">
        <v>6</v>
      </c>
      <c r="J241" s="29">
        <f t="shared" ref="J241:J243" si="38">I241*D241</f>
        <v>6</v>
      </c>
    </row>
    <row r="242" spans="1:10" x14ac:dyDescent="0.25">
      <c r="A242" s="20">
        <v>232</v>
      </c>
      <c r="B242" s="165" t="s">
        <v>204</v>
      </c>
      <c r="C242" s="165"/>
      <c r="D242" s="2">
        <v>1</v>
      </c>
      <c r="E242" s="2" t="s">
        <v>6</v>
      </c>
      <c r="F242" s="9">
        <v>44519</v>
      </c>
      <c r="G242" s="16"/>
      <c r="H242" s="13"/>
      <c r="I242" s="16">
        <v>3</v>
      </c>
      <c r="J242" s="29">
        <f t="shared" si="38"/>
        <v>3</v>
      </c>
    </row>
    <row r="243" spans="1:10" x14ac:dyDescent="0.25">
      <c r="A243" s="20">
        <v>233</v>
      </c>
      <c r="B243" s="165" t="s">
        <v>205</v>
      </c>
      <c r="C243" s="165"/>
      <c r="D243" s="2">
        <v>1</v>
      </c>
      <c r="E243" s="2" t="s">
        <v>6</v>
      </c>
      <c r="F243" s="9">
        <v>44519</v>
      </c>
      <c r="G243" s="16"/>
      <c r="H243" s="13"/>
      <c r="I243" s="16">
        <v>3</v>
      </c>
      <c r="J243" s="29">
        <f t="shared" si="38"/>
        <v>3</v>
      </c>
    </row>
    <row r="244" spans="1:10" x14ac:dyDescent="0.25">
      <c r="A244" s="20">
        <v>234</v>
      </c>
      <c r="B244" s="165" t="s">
        <v>206</v>
      </c>
      <c r="C244" s="165"/>
      <c r="D244" s="2">
        <v>4</v>
      </c>
      <c r="E244" s="2" t="s">
        <v>6</v>
      </c>
      <c r="F244" s="9">
        <v>44524</v>
      </c>
      <c r="G244" s="14">
        <f>0.3*0.15</f>
        <v>4.4999999999999998E-2</v>
      </c>
      <c r="H244" s="13">
        <f>G244*D244</f>
        <v>0.18</v>
      </c>
      <c r="I244" s="14"/>
      <c r="J244" s="29"/>
    </row>
    <row r="245" spans="1:10" x14ac:dyDescent="0.25">
      <c r="A245" s="20">
        <v>235</v>
      </c>
      <c r="B245" s="165" t="s">
        <v>135</v>
      </c>
      <c r="C245" s="165"/>
      <c r="D245" s="2">
        <v>11</v>
      </c>
      <c r="E245" s="2" t="s">
        <v>6</v>
      </c>
      <c r="F245" s="9">
        <v>44524</v>
      </c>
      <c r="G245" s="14"/>
      <c r="H245" s="13"/>
      <c r="I245" s="14">
        <v>6</v>
      </c>
      <c r="J245" s="29">
        <f>I245*D245</f>
        <v>66</v>
      </c>
    </row>
    <row r="246" spans="1:10" x14ac:dyDescent="0.25">
      <c r="A246" s="20">
        <v>236</v>
      </c>
      <c r="B246" s="165" t="s">
        <v>207</v>
      </c>
      <c r="C246" s="165"/>
      <c r="D246" s="2">
        <v>3</v>
      </c>
      <c r="E246" s="2" t="s">
        <v>6</v>
      </c>
      <c r="F246" s="9">
        <v>44525</v>
      </c>
      <c r="G246" s="14">
        <f>6*1.8</f>
        <v>10.8</v>
      </c>
      <c r="H246" s="13">
        <f>G246*D246</f>
        <v>32.400000000000006</v>
      </c>
      <c r="I246" s="14"/>
      <c r="J246" s="29"/>
    </row>
    <row r="247" spans="1:10" x14ac:dyDescent="0.25">
      <c r="A247" s="20">
        <v>237</v>
      </c>
      <c r="B247" s="165" t="s">
        <v>208</v>
      </c>
      <c r="C247" s="165"/>
      <c r="D247" s="2">
        <v>1</v>
      </c>
      <c r="E247" s="2" t="s">
        <v>6</v>
      </c>
      <c r="F247" s="9">
        <v>44525</v>
      </c>
      <c r="G247" s="14">
        <f>2.85*1.85</f>
        <v>5.2725000000000009</v>
      </c>
      <c r="H247" s="13">
        <f>G247*D247</f>
        <v>5.2725000000000009</v>
      </c>
      <c r="I247" s="14"/>
      <c r="J247" s="29"/>
    </row>
    <row r="248" spans="1:10" x14ac:dyDescent="0.25">
      <c r="A248" s="20">
        <v>238</v>
      </c>
      <c r="B248" s="165" t="s">
        <v>90</v>
      </c>
      <c r="C248" s="165"/>
      <c r="D248" s="2">
        <v>2</v>
      </c>
      <c r="E248" s="2" t="s">
        <v>6</v>
      </c>
      <c r="F248" s="9">
        <v>44526</v>
      </c>
      <c r="G248" s="14"/>
      <c r="H248" s="13"/>
      <c r="I248" s="14">
        <v>6</v>
      </c>
      <c r="J248" s="29">
        <f>I248*D248</f>
        <v>12</v>
      </c>
    </row>
    <row r="249" spans="1:10" x14ac:dyDescent="0.25">
      <c r="A249" s="20">
        <v>239</v>
      </c>
      <c r="B249" s="165" t="s">
        <v>209</v>
      </c>
      <c r="C249" s="165"/>
      <c r="D249" s="2">
        <v>2</v>
      </c>
      <c r="E249" s="2" t="s">
        <v>6</v>
      </c>
      <c r="F249" s="9">
        <v>44526</v>
      </c>
      <c r="G249" s="14"/>
      <c r="H249" s="13"/>
      <c r="I249" s="14">
        <v>6</v>
      </c>
      <c r="J249" s="29">
        <f t="shared" ref="J249:J255" si="39">I249*D249</f>
        <v>12</v>
      </c>
    </row>
    <row r="250" spans="1:10" ht="17.25" x14ac:dyDescent="0.25">
      <c r="A250" s="20">
        <v>240</v>
      </c>
      <c r="B250" s="165" t="s">
        <v>114</v>
      </c>
      <c r="C250" s="165"/>
      <c r="D250" s="2">
        <v>1</v>
      </c>
      <c r="E250" s="2" t="s">
        <v>6</v>
      </c>
      <c r="F250" s="9">
        <v>44526</v>
      </c>
      <c r="G250" s="14"/>
      <c r="H250" s="13"/>
      <c r="I250" s="14">
        <v>6</v>
      </c>
      <c r="J250" s="29">
        <f t="shared" si="39"/>
        <v>6</v>
      </c>
    </row>
    <row r="251" spans="1:10" x14ac:dyDescent="0.25">
      <c r="A251" s="20">
        <v>241</v>
      </c>
      <c r="B251" s="165" t="s">
        <v>210</v>
      </c>
      <c r="C251" s="165"/>
      <c r="D251" s="2">
        <v>18</v>
      </c>
      <c r="E251" s="2" t="s">
        <v>6</v>
      </c>
      <c r="F251" s="9">
        <v>44526</v>
      </c>
      <c r="G251" s="14"/>
      <c r="H251" s="13"/>
      <c r="I251" s="14">
        <v>1.35</v>
      </c>
      <c r="J251" s="29">
        <f t="shared" si="39"/>
        <v>24.3</v>
      </c>
    </row>
    <row r="252" spans="1:10" x14ac:dyDescent="0.25">
      <c r="A252" s="20">
        <v>242</v>
      </c>
      <c r="B252" s="165" t="s">
        <v>211</v>
      </c>
      <c r="C252" s="165"/>
      <c r="D252" s="2">
        <v>18</v>
      </c>
      <c r="E252" s="2" t="s">
        <v>6</v>
      </c>
      <c r="F252" s="9">
        <v>44526</v>
      </c>
      <c r="G252" s="14"/>
      <c r="H252" s="13"/>
      <c r="I252" s="14">
        <v>0.77</v>
      </c>
      <c r="J252" s="29">
        <f t="shared" si="39"/>
        <v>13.86</v>
      </c>
    </row>
    <row r="253" spans="1:10" x14ac:dyDescent="0.25">
      <c r="A253" s="20">
        <v>243</v>
      </c>
      <c r="B253" s="165" t="s">
        <v>212</v>
      </c>
      <c r="C253" s="165"/>
      <c r="D253" s="2">
        <v>17</v>
      </c>
      <c r="E253" s="2" t="s">
        <v>6</v>
      </c>
      <c r="F253" s="9">
        <v>44526</v>
      </c>
      <c r="G253" s="14">
        <f>3.08*0.32</f>
        <v>0.98560000000000003</v>
      </c>
      <c r="H253" s="13">
        <f>D253*G253</f>
        <v>16.755200000000002</v>
      </c>
      <c r="I253" s="14"/>
      <c r="J253" s="29"/>
    </row>
    <row r="254" spans="1:10" ht="17.25" x14ac:dyDescent="0.25">
      <c r="A254" s="20">
        <v>244</v>
      </c>
      <c r="B254" s="165" t="s">
        <v>213</v>
      </c>
      <c r="C254" s="165"/>
      <c r="D254" s="2">
        <v>9</v>
      </c>
      <c r="E254" s="2" t="s">
        <v>6</v>
      </c>
      <c r="F254" s="9">
        <v>44526</v>
      </c>
      <c r="G254" s="14"/>
      <c r="H254" s="13"/>
      <c r="I254" s="14">
        <v>6</v>
      </c>
      <c r="J254" s="29">
        <f t="shared" si="39"/>
        <v>54</v>
      </c>
    </row>
    <row r="255" spans="1:10" x14ac:dyDescent="0.25">
      <c r="A255" s="20">
        <v>245</v>
      </c>
      <c r="B255" s="165" t="s">
        <v>214</v>
      </c>
      <c r="C255" s="165"/>
      <c r="D255" s="2">
        <v>52</v>
      </c>
      <c r="E255" s="2" t="s">
        <v>6</v>
      </c>
      <c r="F255" s="9">
        <v>44526</v>
      </c>
      <c r="G255" s="14"/>
      <c r="H255" s="13"/>
      <c r="I255" s="14">
        <v>0.45</v>
      </c>
      <c r="J255" s="29">
        <f t="shared" si="39"/>
        <v>23.400000000000002</v>
      </c>
    </row>
    <row r="256" spans="1:10" x14ac:dyDescent="0.25">
      <c r="A256" s="20">
        <v>246</v>
      </c>
      <c r="B256" s="165" t="s">
        <v>215</v>
      </c>
      <c r="C256" s="165"/>
      <c r="D256" s="2">
        <v>2</v>
      </c>
      <c r="E256" s="2" t="s">
        <v>6</v>
      </c>
      <c r="F256" s="9">
        <v>44526</v>
      </c>
      <c r="G256" s="14">
        <f>0.45*6</f>
        <v>2.7</v>
      </c>
      <c r="H256" s="13">
        <f>G256*D256</f>
        <v>5.4</v>
      </c>
      <c r="I256" s="14"/>
      <c r="J256" s="29"/>
    </row>
    <row r="257" spans="1:10" x14ac:dyDescent="0.25">
      <c r="A257" s="20">
        <v>247</v>
      </c>
      <c r="B257" s="165" t="s">
        <v>216</v>
      </c>
      <c r="C257" s="165"/>
      <c r="D257" s="2">
        <v>2</v>
      </c>
      <c r="E257" s="2" t="s">
        <v>6</v>
      </c>
      <c r="F257" s="9">
        <v>44526</v>
      </c>
      <c r="G257" s="14">
        <f>1.8*6</f>
        <v>10.8</v>
      </c>
      <c r="H257" s="13">
        <f>G257*D257</f>
        <v>21.6</v>
      </c>
      <c r="I257" s="16"/>
      <c r="J257" s="29"/>
    </row>
    <row r="258" spans="1:10" x14ac:dyDescent="0.25">
      <c r="A258" s="20">
        <v>248</v>
      </c>
      <c r="B258" s="165" t="s">
        <v>217</v>
      </c>
      <c r="C258" s="165"/>
      <c r="D258" s="2">
        <v>1</v>
      </c>
      <c r="E258" s="2" t="s">
        <v>6</v>
      </c>
      <c r="F258" s="9">
        <v>44526</v>
      </c>
      <c r="G258" s="14">
        <f>1.8*5</f>
        <v>9</v>
      </c>
      <c r="H258" s="13">
        <f>G258*D258</f>
        <v>9</v>
      </c>
      <c r="I258" s="16"/>
      <c r="J258" s="29"/>
    </row>
    <row r="259" spans="1:10" x14ac:dyDescent="0.25">
      <c r="A259" s="20">
        <v>249</v>
      </c>
      <c r="B259" s="165" t="s">
        <v>218</v>
      </c>
      <c r="C259" s="165"/>
      <c r="D259" s="2">
        <v>1</v>
      </c>
      <c r="E259" s="2" t="s">
        <v>6</v>
      </c>
      <c r="F259" s="9">
        <v>44533</v>
      </c>
      <c r="G259" s="14">
        <f>2*1</f>
        <v>2</v>
      </c>
      <c r="H259" s="13">
        <f>G259*D259</f>
        <v>2</v>
      </c>
      <c r="I259" s="14"/>
      <c r="J259" s="29"/>
    </row>
    <row r="260" spans="1:10" x14ac:dyDescent="0.25">
      <c r="A260" s="20">
        <v>250</v>
      </c>
      <c r="B260" s="165" t="s">
        <v>214</v>
      </c>
      <c r="C260" s="165"/>
      <c r="D260" s="2">
        <v>6</v>
      </c>
      <c r="E260" s="2" t="s">
        <v>6</v>
      </c>
      <c r="F260" s="9">
        <v>44533</v>
      </c>
      <c r="G260" s="14"/>
      <c r="H260" s="13"/>
      <c r="I260" s="14">
        <v>0.45</v>
      </c>
      <c r="J260" s="29">
        <f>I260*D260</f>
        <v>2.7</v>
      </c>
    </row>
    <row r="261" spans="1:10" x14ac:dyDescent="0.25">
      <c r="A261" s="20">
        <v>251</v>
      </c>
      <c r="B261" s="165" t="s">
        <v>219</v>
      </c>
      <c r="C261" s="165"/>
      <c r="D261" s="2">
        <v>18</v>
      </c>
      <c r="E261" s="2" t="s">
        <v>6</v>
      </c>
      <c r="F261" s="9">
        <v>44533</v>
      </c>
      <c r="G261" s="14"/>
      <c r="H261" s="13"/>
      <c r="I261" s="14">
        <v>1.1499999999999999</v>
      </c>
      <c r="J261" s="29">
        <f>I261*D261</f>
        <v>20.7</v>
      </c>
    </row>
    <row r="262" spans="1:10" x14ac:dyDescent="0.25">
      <c r="A262" s="20">
        <v>252</v>
      </c>
      <c r="B262" s="165" t="s">
        <v>220</v>
      </c>
      <c r="C262" s="165"/>
      <c r="D262" s="2">
        <v>72</v>
      </c>
      <c r="E262" s="2" t="s">
        <v>6</v>
      </c>
      <c r="F262" s="9">
        <v>44533</v>
      </c>
      <c r="G262" s="14"/>
      <c r="H262" s="13"/>
      <c r="I262" s="14">
        <v>0.22</v>
      </c>
      <c r="J262" s="29">
        <f>I262*D262</f>
        <v>15.84</v>
      </c>
    </row>
    <row r="263" spans="1:10" ht="17.25" x14ac:dyDescent="0.25">
      <c r="A263" s="20">
        <v>253</v>
      </c>
      <c r="B263" s="165" t="s">
        <v>221</v>
      </c>
      <c r="C263" s="165"/>
      <c r="D263" s="2">
        <v>48</v>
      </c>
      <c r="E263" s="2" t="s">
        <v>6</v>
      </c>
      <c r="F263" s="9">
        <v>44533</v>
      </c>
      <c r="G263" s="14"/>
      <c r="H263" s="13"/>
      <c r="I263" s="14">
        <v>0.38</v>
      </c>
      <c r="J263" s="29">
        <f>I263*D263</f>
        <v>18.240000000000002</v>
      </c>
    </row>
    <row r="264" spans="1:10" x14ac:dyDescent="0.25">
      <c r="A264" s="20">
        <v>254</v>
      </c>
      <c r="B264" s="165" t="s">
        <v>222</v>
      </c>
      <c r="C264" s="165"/>
      <c r="D264" s="2">
        <v>24</v>
      </c>
      <c r="E264" s="2" t="s">
        <v>6</v>
      </c>
      <c r="F264" s="9">
        <v>44533</v>
      </c>
      <c r="G264" s="14"/>
      <c r="H264" s="13"/>
      <c r="I264" s="14">
        <v>0.4</v>
      </c>
      <c r="J264" s="29">
        <f t="shared" ref="J264:J273" si="40">I264*D264</f>
        <v>9.6000000000000014</v>
      </c>
    </row>
    <row r="265" spans="1:10" x14ac:dyDescent="0.25">
      <c r="A265" s="20">
        <v>255</v>
      </c>
      <c r="B265" s="165" t="s">
        <v>223</v>
      </c>
      <c r="C265" s="165"/>
      <c r="D265" s="2">
        <v>8</v>
      </c>
      <c r="E265" s="2" t="s">
        <v>6</v>
      </c>
      <c r="F265" s="9">
        <v>44533</v>
      </c>
      <c r="G265" s="14"/>
      <c r="H265" s="13"/>
      <c r="I265" s="14">
        <v>1.02</v>
      </c>
      <c r="J265" s="29">
        <f t="shared" si="40"/>
        <v>8.16</v>
      </c>
    </row>
    <row r="266" spans="1:10" ht="17.25" x14ac:dyDescent="0.25">
      <c r="A266" s="20">
        <v>256</v>
      </c>
      <c r="B266" s="165" t="s">
        <v>224</v>
      </c>
      <c r="C266" s="165"/>
      <c r="D266" s="2">
        <v>24</v>
      </c>
      <c r="E266" s="2" t="s">
        <v>6</v>
      </c>
      <c r="F266" s="9">
        <v>44533</v>
      </c>
      <c r="G266" s="14"/>
      <c r="H266" s="13"/>
      <c r="I266" s="14">
        <v>0.52</v>
      </c>
      <c r="J266" s="29">
        <f t="shared" si="40"/>
        <v>12.48</v>
      </c>
    </row>
    <row r="267" spans="1:10" x14ac:dyDescent="0.25">
      <c r="A267" s="20">
        <v>257</v>
      </c>
      <c r="B267" s="165" t="s">
        <v>225</v>
      </c>
      <c r="C267" s="165"/>
      <c r="D267" s="2">
        <v>24</v>
      </c>
      <c r="E267" s="2" t="s">
        <v>6</v>
      </c>
      <c r="F267" s="9">
        <v>44533</v>
      </c>
      <c r="G267" s="14"/>
      <c r="H267" s="13"/>
      <c r="I267" s="14">
        <v>0.6</v>
      </c>
      <c r="J267" s="29">
        <f t="shared" si="40"/>
        <v>14.399999999999999</v>
      </c>
    </row>
    <row r="268" spans="1:10" x14ac:dyDescent="0.25">
      <c r="A268" s="20">
        <v>258</v>
      </c>
      <c r="B268" s="165" t="s">
        <v>226</v>
      </c>
      <c r="C268" s="165"/>
      <c r="D268" s="2">
        <v>28</v>
      </c>
      <c r="E268" s="2" t="s">
        <v>6</v>
      </c>
      <c r="F268" s="9">
        <v>44533</v>
      </c>
      <c r="G268" s="14"/>
      <c r="H268" s="13"/>
      <c r="I268" s="14">
        <v>0.18</v>
      </c>
      <c r="J268" s="29">
        <f t="shared" si="40"/>
        <v>5.04</v>
      </c>
    </row>
    <row r="269" spans="1:10" x14ac:dyDescent="0.25">
      <c r="A269" s="20">
        <v>259</v>
      </c>
      <c r="B269" s="165" t="s">
        <v>227</v>
      </c>
      <c r="C269" s="165"/>
      <c r="D269" s="2">
        <v>8</v>
      </c>
      <c r="E269" s="2" t="s">
        <v>6</v>
      </c>
      <c r="F269" s="9">
        <v>44533</v>
      </c>
      <c r="G269" s="14"/>
      <c r="H269" s="13"/>
      <c r="I269" s="14">
        <v>0.8</v>
      </c>
      <c r="J269" s="29">
        <f t="shared" si="40"/>
        <v>6.4</v>
      </c>
    </row>
    <row r="270" spans="1:10" x14ac:dyDescent="0.25">
      <c r="A270" s="20">
        <v>260</v>
      </c>
      <c r="B270" s="165" t="s">
        <v>228</v>
      </c>
      <c r="C270" s="165"/>
      <c r="D270" s="2">
        <v>16</v>
      </c>
      <c r="E270" s="2" t="s">
        <v>6</v>
      </c>
      <c r="F270" s="9">
        <v>44533</v>
      </c>
      <c r="G270" s="14"/>
      <c r="H270" s="13"/>
      <c r="I270" s="14">
        <v>0.2</v>
      </c>
      <c r="J270" s="29">
        <f t="shared" si="40"/>
        <v>3.2</v>
      </c>
    </row>
    <row r="271" spans="1:10" x14ac:dyDescent="0.25">
      <c r="A271" s="20">
        <v>261</v>
      </c>
      <c r="B271" s="165" t="s">
        <v>229</v>
      </c>
      <c r="C271" s="165"/>
      <c r="D271" s="2">
        <v>16</v>
      </c>
      <c r="E271" s="2" t="s">
        <v>6</v>
      </c>
      <c r="F271" s="9">
        <v>44533</v>
      </c>
      <c r="G271" s="14"/>
      <c r="H271" s="13"/>
      <c r="I271" s="14">
        <v>0.5</v>
      </c>
      <c r="J271" s="29">
        <f t="shared" si="40"/>
        <v>8</v>
      </c>
    </row>
    <row r="272" spans="1:10" x14ac:dyDescent="0.25">
      <c r="A272" s="20">
        <v>262</v>
      </c>
      <c r="B272" s="165" t="s">
        <v>230</v>
      </c>
      <c r="C272" s="165"/>
      <c r="D272" s="2">
        <v>4</v>
      </c>
      <c r="E272" s="2" t="s">
        <v>6</v>
      </c>
      <c r="F272" s="9">
        <v>44533</v>
      </c>
      <c r="G272" s="14"/>
      <c r="H272" s="13"/>
      <c r="I272" s="16">
        <v>0.7</v>
      </c>
      <c r="J272" s="29">
        <f t="shared" si="40"/>
        <v>2.8</v>
      </c>
    </row>
    <row r="273" spans="1:10" x14ac:dyDescent="0.25">
      <c r="A273" s="20">
        <v>263</v>
      </c>
      <c r="B273" s="165" t="s">
        <v>222</v>
      </c>
      <c r="C273" s="165"/>
      <c r="D273" s="2">
        <v>4</v>
      </c>
      <c r="E273" s="2" t="s">
        <v>6</v>
      </c>
      <c r="F273" s="9">
        <v>44533</v>
      </c>
      <c r="G273" s="14"/>
      <c r="H273" s="13"/>
      <c r="I273" s="16">
        <v>0.4</v>
      </c>
      <c r="J273" s="29">
        <f t="shared" si="40"/>
        <v>1.6</v>
      </c>
    </row>
    <row r="274" spans="1:10" x14ac:dyDescent="0.25">
      <c r="A274" s="20">
        <v>264</v>
      </c>
      <c r="B274" s="165" t="s">
        <v>231</v>
      </c>
      <c r="C274" s="165"/>
      <c r="D274" s="2">
        <v>2</v>
      </c>
      <c r="E274" s="2" t="s">
        <v>6</v>
      </c>
      <c r="F274" s="9">
        <v>44533</v>
      </c>
      <c r="G274" s="16">
        <f>0.54*0.9</f>
        <v>0.48600000000000004</v>
      </c>
      <c r="H274" s="13">
        <f>G274*D274</f>
        <v>0.97200000000000009</v>
      </c>
      <c r="I274" s="16"/>
      <c r="J274" s="29"/>
    </row>
    <row r="275" spans="1:10" ht="17.25" x14ac:dyDescent="0.25">
      <c r="A275" s="20">
        <v>265</v>
      </c>
      <c r="B275" s="165" t="s">
        <v>232</v>
      </c>
      <c r="C275" s="165"/>
      <c r="D275" s="2">
        <v>3</v>
      </c>
      <c r="E275" s="2" t="s">
        <v>6</v>
      </c>
      <c r="F275" s="9">
        <v>44540</v>
      </c>
      <c r="G275" s="14"/>
      <c r="H275" s="13"/>
      <c r="I275" s="14">
        <v>6</v>
      </c>
      <c r="J275" s="29">
        <f>I275*D275</f>
        <v>18</v>
      </c>
    </row>
    <row r="276" spans="1:10" x14ac:dyDescent="0.25">
      <c r="A276" s="20">
        <v>266</v>
      </c>
      <c r="B276" s="165" t="s">
        <v>233</v>
      </c>
      <c r="C276" s="165"/>
      <c r="D276" s="2">
        <v>2</v>
      </c>
      <c r="E276" s="2" t="s">
        <v>6</v>
      </c>
      <c r="F276" s="9">
        <v>44540</v>
      </c>
      <c r="G276" s="14"/>
      <c r="H276" s="13"/>
      <c r="I276" s="14">
        <v>1.2</v>
      </c>
      <c r="J276" s="29">
        <f t="shared" ref="J276:J292" si="41">I276*D276</f>
        <v>2.4</v>
      </c>
    </row>
    <row r="277" spans="1:10" x14ac:dyDescent="0.25">
      <c r="A277" s="20">
        <v>267</v>
      </c>
      <c r="B277" s="165" t="s">
        <v>222</v>
      </c>
      <c r="C277" s="165"/>
      <c r="D277" s="2">
        <v>6</v>
      </c>
      <c r="E277" s="2" t="s">
        <v>6</v>
      </c>
      <c r="F277" s="9">
        <v>44540</v>
      </c>
      <c r="G277" s="14"/>
      <c r="H277" s="13"/>
      <c r="I277" s="14">
        <v>0.4</v>
      </c>
      <c r="J277" s="29">
        <f t="shared" si="41"/>
        <v>2.4000000000000004</v>
      </c>
    </row>
    <row r="278" spans="1:10" x14ac:dyDescent="0.25">
      <c r="A278" s="20">
        <v>268</v>
      </c>
      <c r="B278" s="165" t="s">
        <v>234</v>
      </c>
      <c r="C278" s="165"/>
      <c r="D278" s="2">
        <v>88</v>
      </c>
      <c r="E278" s="2" t="s">
        <v>6</v>
      </c>
      <c r="F278" s="9">
        <v>44540</v>
      </c>
      <c r="G278" s="14">
        <f>0.1*0.17</f>
        <v>1.7000000000000001E-2</v>
      </c>
      <c r="H278" s="13">
        <f t="shared" ref="H278:H291" si="42">G278*D278</f>
        <v>1.496</v>
      </c>
      <c r="I278" s="14"/>
      <c r="J278" s="29"/>
    </row>
    <row r="279" spans="1:10" x14ac:dyDescent="0.25">
      <c r="A279" s="20">
        <v>269</v>
      </c>
      <c r="B279" s="165" t="s">
        <v>235</v>
      </c>
      <c r="C279" s="165"/>
      <c r="D279" s="2">
        <v>1</v>
      </c>
      <c r="E279" s="2" t="s">
        <v>6</v>
      </c>
      <c r="F279" s="9">
        <v>44540</v>
      </c>
      <c r="G279" s="14">
        <f>0.5*0.5</f>
        <v>0.25</v>
      </c>
      <c r="H279" s="13">
        <f t="shared" si="42"/>
        <v>0.25</v>
      </c>
      <c r="I279" s="14"/>
      <c r="J279" s="29"/>
    </row>
    <row r="280" spans="1:10" x14ac:dyDescent="0.25">
      <c r="A280" s="20">
        <v>270</v>
      </c>
      <c r="B280" s="165" t="s">
        <v>236</v>
      </c>
      <c r="C280" s="165"/>
      <c r="D280" s="2">
        <v>4</v>
      </c>
      <c r="E280" s="2" t="s">
        <v>6</v>
      </c>
      <c r="F280" s="9">
        <v>44540</v>
      </c>
      <c r="G280" s="14">
        <f>0.3*0.15</f>
        <v>4.4999999999999998E-2</v>
      </c>
      <c r="H280" s="13">
        <f t="shared" si="42"/>
        <v>0.18</v>
      </c>
      <c r="I280" s="14"/>
      <c r="J280" s="29"/>
    </row>
    <row r="281" spans="1:10" x14ac:dyDescent="0.25">
      <c r="A281" s="20">
        <v>271</v>
      </c>
      <c r="B281" s="165" t="s">
        <v>237</v>
      </c>
      <c r="C281" s="165"/>
      <c r="D281" s="2">
        <v>1</v>
      </c>
      <c r="E281" s="2" t="s">
        <v>6</v>
      </c>
      <c r="F281" s="9">
        <v>44540</v>
      </c>
      <c r="G281" s="14"/>
      <c r="H281" s="13"/>
      <c r="I281" s="14">
        <v>1.04</v>
      </c>
      <c r="J281" s="29">
        <f t="shared" si="41"/>
        <v>1.04</v>
      </c>
    </row>
    <row r="282" spans="1:10" x14ac:dyDescent="0.25">
      <c r="A282" s="20">
        <v>272</v>
      </c>
      <c r="B282" s="165" t="s">
        <v>238</v>
      </c>
      <c r="C282" s="165"/>
      <c r="D282" s="2">
        <v>24</v>
      </c>
      <c r="E282" s="2" t="s">
        <v>6</v>
      </c>
      <c r="F282" s="9">
        <v>44540</v>
      </c>
      <c r="G282" s="14"/>
      <c r="H282" s="13"/>
      <c r="I282" s="14">
        <v>0.12</v>
      </c>
      <c r="J282" s="29">
        <f t="shared" si="41"/>
        <v>2.88</v>
      </c>
    </row>
    <row r="283" spans="1:10" ht="17.25" x14ac:dyDescent="0.25">
      <c r="A283" s="20">
        <v>273</v>
      </c>
      <c r="B283" s="165" t="s">
        <v>239</v>
      </c>
      <c r="C283" s="165"/>
      <c r="D283" s="2">
        <v>1</v>
      </c>
      <c r="E283" s="2" t="s">
        <v>6</v>
      </c>
      <c r="F283" s="9">
        <v>44540</v>
      </c>
      <c r="G283" s="14"/>
      <c r="H283" s="13"/>
      <c r="I283" s="14">
        <v>0.8</v>
      </c>
      <c r="J283" s="29">
        <f t="shared" si="41"/>
        <v>0.8</v>
      </c>
    </row>
    <row r="284" spans="1:10" x14ac:dyDescent="0.25">
      <c r="A284" s="20">
        <v>274</v>
      </c>
      <c r="B284" s="165" t="s">
        <v>240</v>
      </c>
      <c r="C284" s="165"/>
      <c r="D284" s="2">
        <v>1</v>
      </c>
      <c r="E284" s="2" t="s">
        <v>6</v>
      </c>
      <c r="F284" s="9">
        <v>44540</v>
      </c>
      <c r="G284" s="14">
        <f>0.92*0.25</f>
        <v>0.23</v>
      </c>
      <c r="H284" s="13">
        <f t="shared" si="42"/>
        <v>0.23</v>
      </c>
      <c r="I284" s="14"/>
      <c r="J284" s="29"/>
    </row>
    <row r="285" spans="1:10" x14ac:dyDescent="0.25">
      <c r="A285" s="20">
        <v>275</v>
      </c>
      <c r="B285" s="165" t="s">
        <v>241</v>
      </c>
      <c r="C285" s="165"/>
      <c r="D285" s="2">
        <v>1</v>
      </c>
      <c r="E285" s="2" t="s">
        <v>6</v>
      </c>
      <c r="F285" s="9">
        <v>44540</v>
      </c>
      <c r="G285" s="14">
        <f>0.95*0.8</f>
        <v>0.76</v>
      </c>
      <c r="H285" s="13">
        <f t="shared" si="42"/>
        <v>0.76</v>
      </c>
      <c r="I285" s="14"/>
      <c r="J285" s="29"/>
    </row>
    <row r="286" spans="1:10" ht="17.25" x14ac:dyDescent="0.25">
      <c r="A286" s="20">
        <v>276</v>
      </c>
      <c r="B286" s="165" t="s">
        <v>242</v>
      </c>
      <c r="C286" s="165"/>
      <c r="D286" s="2">
        <v>2</v>
      </c>
      <c r="E286" s="2" t="s">
        <v>6</v>
      </c>
      <c r="F286" s="9">
        <v>44540</v>
      </c>
      <c r="G286" s="14"/>
      <c r="H286" s="13"/>
      <c r="I286" s="14">
        <v>0.75</v>
      </c>
      <c r="J286" s="29">
        <f t="shared" si="41"/>
        <v>1.5</v>
      </c>
    </row>
    <row r="287" spans="1:10" x14ac:dyDescent="0.25">
      <c r="A287" s="20">
        <v>277</v>
      </c>
      <c r="B287" s="165" t="s">
        <v>243</v>
      </c>
      <c r="C287" s="165"/>
      <c r="D287" s="2">
        <v>8</v>
      </c>
      <c r="E287" s="2" t="s">
        <v>6</v>
      </c>
      <c r="F287" s="9">
        <v>44540</v>
      </c>
      <c r="G287" s="14"/>
      <c r="H287" s="13"/>
      <c r="I287" s="14">
        <v>6</v>
      </c>
      <c r="J287" s="29">
        <f t="shared" si="41"/>
        <v>48</v>
      </c>
    </row>
    <row r="288" spans="1:10" x14ac:dyDescent="0.25">
      <c r="A288" s="20">
        <v>278</v>
      </c>
      <c r="B288" s="165" t="s">
        <v>244</v>
      </c>
      <c r="C288" s="165"/>
      <c r="D288" s="2">
        <v>4</v>
      </c>
      <c r="E288" s="2" t="s">
        <v>6</v>
      </c>
      <c r="F288" s="9">
        <v>44540</v>
      </c>
      <c r="G288" s="14"/>
      <c r="H288" s="13"/>
      <c r="I288" s="16">
        <v>0.7</v>
      </c>
      <c r="J288" s="29">
        <f t="shared" si="41"/>
        <v>2.8</v>
      </c>
    </row>
    <row r="289" spans="1:10" x14ac:dyDescent="0.25">
      <c r="A289" s="20">
        <v>279</v>
      </c>
      <c r="B289" s="165" t="s">
        <v>245</v>
      </c>
      <c r="C289" s="165"/>
      <c r="D289" s="2">
        <v>4</v>
      </c>
      <c r="E289" s="2" t="s">
        <v>6</v>
      </c>
      <c r="F289" s="9">
        <v>44540</v>
      </c>
      <c r="G289" s="14">
        <f>0.2*0.2</f>
        <v>4.0000000000000008E-2</v>
      </c>
      <c r="H289" s="13">
        <f t="shared" si="42"/>
        <v>0.16000000000000003</v>
      </c>
      <c r="I289" s="16"/>
      <c r="J289" s="29"/>
    </row>
    <row r="290" spans="1:10" x14ac:dyDescent="0.25">
      <c r="A290" s="20">
        <v>280</v>
      </c>
      <c r="B290" s="165" t="s">
        <v>246</v>
      </c>
      <c r="C290" s="165"/>
      <c r="D290" s="2">
        <v>4</v>
      </c>
      <c r="E290" s="2" t="s">
        <v>6</v>
      </c>
      <c r="F290" s="9">
        <v>44540</v>
      </c>
      <c r="G290" s="16">
        <f>0.15*0.15</f>
        <v>2.2499999999999999E-2</v>
      </c>
      <c r="H290" s="13">
        <f t="shared" si="42"/>
        <v>0.09</v>
      </c>
      <c r="I290" s="16"/>
      <c r="J290" s="29"/>
    </row>
    <row r="291" spans="1:10" x14ac:dyDescent="0.25">
      <c r="A291" s="20">
        <v>281</v>
      </c>
      <c r="B291" s="165" t="s">
        <v>247</v>
      </c>
      <c r="C291" s="165"/>
      <c r="D291" s="2">
        <v>4</v>
      </c>
      <c r="E291" s="2" t="s">
        <v>6</v>
      </c>
      <c r="F291" s="9">
        <v>44540</v>
      </c>
      <c r="G291" s="18">
        <f>0.1*0.15</f>
        <v>1.4999999999999999E-2</v>
      </c>
      <c r="H291" s="13">
        <f t="shared" si="42"/>
        <v>0.06</v>
      </c>
      <c r="I291" s="16"/>
      <c r="J291" s="29"/>
    </row>
    <row r="292" spans="1:10" ht="17.25" x14ac:dyDescent="0.25">
      <c r="A292" s="20">
        <v>282</v>
      </c>
      <c r="B292" s="165" t="s">
        <v>248</v>
      </c>
      <c r="C292" s="165"/>
      <c r="D292" s="2">
        <v>2</v>
      </c>
      <c r="E292" s="2" t="s">
        <v>6</v>
      </c>
      <c r="F292" s="9">
        <v>44540</v>
      </c>
      <c r="G292" s="18"/>
      <c r="H292" s="13"/>
      <c r="I292" s="16">
        <v>1.1200000000000001</v>
      </c>
      <c r="J292" s="29">
        <f t="shared" si="41"/>
        <v>2.2400000000000002</v>
      </c>
    </row>
    <row r="293" spans="1:10" x14ac:dyDescent="0.25">
      <c r="A293" s="20">
        <v>283</v>
      </c>
      <c r="B293" s="165" t="s">
        <v>90</v>
      </c>
      <c r="C293" s="165"/>
      <c r="D293" s="2">
        <v>7</v>
      </c>
      <c r="E293" s="2" t="s">
        <v>6</v>
      </c>
      <c r="F293" s="9">
        <v>44540</v>
      </c>
      <c r="G293" s="16"/>
      <c r="H293" s="13"/>
      <c r="I293" s="16">
        <v>6</v>
      </c>
      <c r="J293" s="29">
        <f>I293*D293</f>
        <v>42</v>
      </c>
    </row>
    <row r="294" spans="1:10" x14ac:dyDescent="0.25">
      <c r="A294" s="20">
        <v>284</v>
      </c>
      <c r="B294" s="168" t="s">
        <v>168</v>
      </c>
      <c r="C294" s="168"/>
      <c r="D294" s="2">
        <v>4</v>
      </c>
      <c r="E294" s="2" t="s">
        <v>6</v>
      </c>
      <c r="F294" s="9">
        <v>44540</v>
      </c>
      <c r="G294" s="16"/>
      <c r="H294" s="13"/>
      <c r="I294" s="16">
        <v>6</v>
      </c>
      <c r="J294" s="29">
        <f>I294*D293</f>
        <v>42</v>
      </c>
    </row>
    <row r="295" spans="1:10" x14ac:dyDescent="0.25">
      <c r="A295" s="20">
        <v>285</v>
      </c>
      <c r="B295" s="168" t="s">
        <v>249</v>
      </c>
      <c r="C295" s="168"/>
      <c r="D295" s="2">
        <v>4</v>
      </c>
      <c r="E295" s="2" t="s">
        <v>6</v>
      </c>
      <c r="F295" s="9">
        <v>44540</v>
      </c>
      <c r="G295" s="16"/>
      <c r="H295" s="13"/>
      <c r="I295" s="16">
        <v>6</v>
      </c>
      <c r="J295" s="29">
        <f>I295*D294</f>
        <v>24</v>
      </c>
    </row>
    <row r="296" spans="1:10" x14ac:dyDescent="0.25">
      <c r="A296" s="20">
        <v>286</v>
      </c>
      <c r="B296" s="168" t="s">
        <v>250</v>
      </c>
      <c r="C296" s="168"/>
      <c r="D296" s="2">
        <v>7</v>
      </c>
      <c r="E296" s="2" t="s">
        <v>6</v>
      </c>
      <c r="F296" s="9">
        <v>44540</v>
      </c>
      <c r="G296" s="16"/>
      <c r="H296" s="13"/>
      <c r="I296" s="16">
        <v>6</v>
      </c>
      <c r="J296" s="29">
        <f>I296*D295</f>
        <v>24</v>
      </c>
    </row>
    <row r="297" spans="1:10" x14ac:dyDescent="0.25">
      <c r="A297" s="20">
        <v>287</v>
      </c>
      <c r="B297" s="165" t="s">
        <v>251</v>
      </c>
      <c r="C297" s="165"/>
      <c r="D297" s="2">
        <v>1</v>
      </c>
      <c r="E297" s="2" t="s">
        <v>6</v>
      </c>
      <c r="F297" s="9">
        <v>44540</v>
      </c>
      <c r="G297" s="16"/>
      <c r="H297" s="13"/>
      <c r="I297" s="16">
        <v>1.6</v>
      </c>
      <c r="J297" s="29">
        <f>I297*D296</f>
        <v>11.200000000000001</v>
      </c>
    </row>
    <row r="298" spans="1:10" x14ac:dyDescent="0.25">
      <c r="A298" s="20">
        <v>288</v>
      </c>
      <c r="B298" s="168" t="s">
        <v>252</v>
      </c>
      <c r="C298" s="168"/>
      <c r="D298" s="2">
        <v>1</v>
      </c>
      <c r="E298" s="2" t="s">
        <v>6</v>
      </c>
      <c r="F298" s="9">
        <v>44540</v>
      </c>
      <c r="G298" s="16">
        <f>0.5*0.5</f>
        <v>0.25</v>
      </c>
      <c r="H298" s="13">
        <f>G298*D297</f>
        <v>0.25</v>
      </c>
      <c r="I298" s="16"/>
      <c r="J298" s="29"/>
    </row>
    <row r="299" spans="1:10" x14ac:dyDescent="0.25">
      <c r="A299" s="20">
        <v>289</v>
      </c>
      <c r="B299" s="165" t="s">
        <v>207</v>
      </c>
      <c r="C299" s="165"/>
      <c r="D299" s="2">
        <v>2</v>
      </c>
      <c r="E299" s="7" t="s">
        <v>6</v>
      </c>
      <c r="F299" s="9">
        <v>44546</v>
      </c>
      <c r="G299" s="14">
        <f>6*1.8</f>
        <v>10.8</v>
      </c>
      <c r="H299" s="13">
        <f>D299*G299</f>
        <v>21.6</v>
      </c>
      <c r="I299" s="16"/>
      <c r="J299" s="29"/>
    </row>
    <row r="300" spans="1:10" ht="15.75" thickBot="1" x14ac:dyDescent="0.3">
      <c r="A300" s="21">
        <v>290</v>
      </c>
      <c r="B300" s="167" t="s">
        <v>279</v>
      </c>
      <c r="C300" s="167"/>
      <c r="D300" s="70">
        <v>10</v>
      </c>
      <c r="E300" s="71" t="s">
        <v>6</v>
      </c>
      <c r="F300" s="72">
        <v>44546</v>
      </c>
      <c r="G300" s="73">
        <f>1.2*0.85</f>
        <v>1.02</v>
      </c>
      <c r="H300" s="74">
        <f>D300*G300</f>
        <v>10.199999999999999</v>
      </c>
      <c r="I300" s="75"/>
      <c r="J300" s="76"/>
    </row>
    <row r="301" spans="1:10" x14ac:dyDescent="0.25">
      <c r="B301" s="22"/>
      <c r="C301" s="22"/>
    </row>
  </sheetData>
  <mergeCells count="365">
    <mergeCell ref="M73:N73"/>
    <mergeCell ref="M74:N74"/>
    <mergeCell ref="A9:J9"/>
    <mergeCell ref="L9:T9"/>
    <mergeCell ref="B15:C15"/>
    <mergeCell ref="M15:N15"/>
    <mergeCell ref="B16:C16"/>
    <mergeCell ref="M16:N16"/>
    <mergeCell ref="B17:C17"/>
    <mergeCell ref="M17:N17"/>
    <mergeCell ref="B12:C12"/>
    <mergeCell ref="M12:N12"/>
    <mergeCell ref="B13:C13"/>
    <mergeCell ref="M13:N13"/>
    <mergeCell ref="B14:C14"/>
    <mergeCell ref="M14:N14"/>
    <mergeCell ref="B21:C21"/>
    <mergeCell ref="M21:N21"/>
    <mergeCell ref="W9:AD9"/>
    <mergeCell ref="B10:C10"/>
    <mergeCell ref="M10:N10"/>
    <mergeCell ref="B2:D6"/>
    <mergeCell ref="E2:I2"/>
    <mergeCell ref="E3:I3"/>
    <mergeCell ref="E4:I4"/>
    <mergeCell ref="E5:I5"/>
    <mergeCell ref="E6:I6"/>
    <mergeCell ref="B22:C22"/>
    <mergeCell ref="M22:N22"/>
    <mergeCell ref="B23:C23"/>
    <mergeCell ref="M23:N23"/>
    <mergeCell ref="B18:C18"/>
    <mergeCell ref="M18:N18"/>
    <mergeCell ref="B19:C19"/>
    <mergeCell ref="M19:N19"/>
    <mergeCell ref="B20:C20"/>
    <mergeCell ref="M20:N20"/>
    <mergeCell ref="B27:C27"/>
    <mergeCell ref="M27:N27"/>
    <mergeCell ref="B28:C28"/>
    <mergeCell ref="M28:N28"/>
    <mergeCell ref="B29:C29"/>
    <mergeCell ref="M29:N29"/>
    <mergeCell ref="B24:C24"/>
    <mergeCell ref="M24:N24"/>
    <mergeCell ref="B25:C25"/>
    <mergeCell ref="M25:N25"/>
    <mergeCell ref="B26:C26"/>
    <mergeCell ref="M26:N26"/>
    <mergeCell ref="B33:C33"/>
    <mergeCell ref="M33:N33"/>
    <mergeCell ref="B34:C34"/>
    <mergeCell ref="M34:N34"/>
    <mergeCell ref="B35:C35"/>
    <mergeCell ref="M35:N35"/>
    <mergeCell ref="B30:C30"/>
    <mergeCell ref="M30:N30"/>
    <mergeCell ref="B31:C31"/>
    <mergeCell ref="M31:N31"/>
    <mergeCell ref="B32:C32"/>
    <mergeCell ref="M32:N32"/>
    <mergeCell ref="B40:C40"/>
    <mergeCell ref="B41:C41"/>
    <mergeCell ref="B42:C42"/>
    <mergeCell ref="B43:C43"/>
    <mergeCell ref="B44:C44"/>
    <mergeCell ref="B45:C45"/>
    <mergeCell ref="B36:C36"/>
    <mergeCell ref="M36:N36"/>
    <mergeCell ref="B37:C37"/>
    <mergeCell ref="M37:N37"/>
    <mergeCell ref="B38:C38"/>
    <mergeCell ref="B39:C39"/>
    <mergeCell ref="M42:N42"/>
    <mergeCell ref="M43:N43"/>
    <mergeCell ref="M44:N44"/>
    <mergeCell ref="M45:N45"/>
    <mergeCell ref="B52:C52"/>
    <mergeCell ref="B53:C53"/>
    <mergeCell ref="B54:C54"/>
    <mergeCell ref="B55:C55"/>
    <mergeCell ref="B56:C56"/>
    <mergeCell ref="B57:C57"/>
    <mergeCell ref="B46:C46"/>
    <mergeCell ref="B47:C47"/>
    <mergeCell ref="B48:C48"/>
    <mergeCell ref="B49:C49"/>
    <mergeCell ref="B50:C50"/>
    <mergeCell ref="B51:C51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88:C88"/>
    <mergeCell ref="B89:C89"/>
    <mergeCell ref="B90:C90"/>
    <mergeCell ref="B91:C91"/>
    <mergeCell ref="B92:C92"/>
    <mergeCell ref="B93:C93"/>
    <mergeCell ref="B82:C82"/>
    <mergeCell ref="B83:C83"/>
    <mergeCell ref="B84:C84"/>
    <mergeCell ref="B85:C85"/>
    <mergeCell ref="B86:C86"/>
    <mergeCell ref="B87:C87"/>
    <mergeCell ref="B100:C100"/>
    <mergeCell ref="B101:C101"/>
    <mergeCell ref="B102:C102"/>
    <mergeCell ref="B103:C103"/>
    <mergeCell ref="B104:C104"/>
    <mergeCell ref="B105:C105"/>
    <mergeCell ref="B94:C94"/>
    <mergeCell ref="B95:C95"/>
    <mergeCell ref="B96:C96"/>
    <mergeCell ref="B97:C97"/>
    <mergeCell ref="B98:C98"/>
    <mergeCell ref="B99:C99"/>
    <mergeCell ref="B112:C112"/>
    <mergeCell ref="B113:C113"/>
    <mergeCell ref="B114:C114"/>
    <mergeCell ref="B115:C115"/>
    <mergeCell ref="B116:C116"/>
    <mergeCell ref="B117:C117"/>
    <mergeCell ref="B106:C106"/>
    <mergeCell ref="B107:C107"/>
    <mergeCell ref="B108:C108"/>
    <mergeCell ref="B109:C109"/>
    <mergeCell ref="B110:C110"/>
    <mergeCell ref="B111:C111"/>
    <mergeCell ref="B124:C124"/>
    <mergeCell ref="B125:C125"/>
    <mergeCell ref="B126:C126"/>
    <mergeCell ref="B127:C127"/>
    <mergeCell ref="B128:C128"/>
    <mergeCell ref="B129:C129"/>
    <mergeCell ref="B118:C118"/>
    <mergeCell ref="B119:C119"/>
    <mergeCell ref="B120:C120"/>
    <mergeCell ref="B121:C121"/>
    <mergeCell ref="B122:C122"/>
    <mergeCell ref="B123:C123"/>
    <mergeCell ref="B146:C146"/>
    <mergeCell ref="B147:C147"/>
    <mergeCell ref="B136:C136"/>
    <mergeCell ref="B137:C137"/>
    <mergeCell ref="B138:C138"/>
    <mergeCell ref="B139:C139"/>
    <mergeCell ref="B140:C140"/>
    <mergeCell ref="B141:C141"/>
    <mergeCell ref="B130:C130"/>
    <mergeCell ref="B131:C131"/>
    <mergeCell ref="B132:C132"/>
    <mergeCell ref="B133:C133"/>
    <mergeCell ref="B134:C134"/>
    <mergeCell ref="B135:C135"/>
    <mergeCell ref="B155:C155"/>
    <mergeCell ref="B156:C156"/>
    <mergeCell ref="B157:C157"/>
    <mergeCell ref="B158:C158"/>
    <mergeCell ref="B159:C159"/>
    <mergeCell ref="B160:C160"/>
    <mergeCell ref="M46:N46"/>
    <mergeCell ref="B154:C154"/>
    <mergeCell ref="B11:C11"/>
    <mergeCell ref="M11:N11"/>
    <mergeCell ref="M38:N38"/>
    <mergeCell ref="M39:N39"/>
    <mergeCell ref="M40:N40"/>
    <mergeCell ref="M41:N41"/>
    <mergeCell ref="B148:C148"/>
    <mergeCell ref="B149:C149"/>
    <mergeCell ref="B150:C150"/>
    <mergeCell ref="B151:C151"/>
    <mergeCell ref="B152:C152"/>
    <mergeCell ref="B153:C153"/>
    <mergeCell ref="B142:C142"/>
    <mergeCell ref="B143:C143"/>
    <mergeCell ref="B144:C144"/>
    <mergeCell ref="B145:C145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39:C239"/>
    <mergeCell ref="B240:C240"/>
    <mergeCell ref="B241:C241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51:C251"/>
    <mergeCell ref="B252:C252"/>
    <mergeCell ref="B253:C253"/>
    <mergeCell ref="B254:C254"/>
    <mergeCell ref="B255:C255"/>
    <mergeCell ref="B256:C256"/>
    <mergeCell ref="B245:C245"/>
    <mergeCell ref="B246:C246"/>
    <mergeCell ref="B247:C247"/>
    <mergeCell ref="B248:C248"/>
    <mergeCell ref="B249:C249"/>
    <mergeCell ref="B250:C250"/>
    <mergeCell ref="B263:C263"/>
    <mergeCell ref="B264:C264"/>
    <mergeCell ref="B265:C265"/>
    <mergeCell ref="B266:C266"/>
    <mergeCell ref="B267:C267"/>
    <mergeCell ref="B268:C268"/>
    <mergeCell ref="B257:C257"/>
    <mergeCell ref="B258:C258"/>
    <mergeCell ref="B259:C259"/>
    <mergeCell ref="B260:C260"/>
    <mergeCell ref="B261:C261"/>
    <mergeCell ref="B262:C262"/>
    <mergeCell ref="B286:C286"/>
    <mergeCell ref="B275:C275"/>
    <mergeCell ref="B276:C276"/>
    <mergeCell ref="B277:C277"/>
    <mergeCell ref="B278:C278"/>
    <mergeCell ref="B279:C279"/>
    <mergeCell ref="B280:C280"/>
    <mergeCell ref="B269:C269"/>
    <mergeCell ref="B270:C270"/>
    <mergeCell ref="B271:C271"/>
    <mergeCell ref="B272:C272"/>
    <mergeCell ref="B273:C273"/>
    <mergeCell ref="B274:C274"/>
    <mergeCell ref="B299:C299"/>
    <mergeCell ref="B300:C300"/>
    <mergeCell ref="M47:N47"/>
    <mergeCell ref="M48:N48"/>
    <mergeCell ref="M49:N49"/>
    <mergeCell ref="M50:N50"/>
    <mergeCell ref="M51:N51"/>
    <mergeCell ref="B293:C293"/>
    <mergeCell ref="B294:C294"/>
    <mergeCell ref="B295:C295"/>
    <mergeCell ref="B296:C296"/>
    <mergeCell ref="B297:C297"/>
    <mergeCell ref="B298:C298"/>
    <mergeCell ref="B287:C287"/>
    <mergeCell ref="B288:C288"/>
    <mergeCell ref="B289:C289"/>
    <mergeCell ref="B290:C290"/>
    <mergeCell ref="B291:C291"/>
    <mergeCell ref="B292:C292"/>
    <mergeCell ref="B281:C281"/>
    <mergeCell ref="B282:C282"/>
    <mergeCell ref="B283:C283"/>
    <mergeCell ref="B284:C284"/>
    <mergeCell ref="B285:C285"/>
    <mergeCell ref="M65:N65"/>
    <mergeCell ref="M66:N66"/>
    <mergeCell ref="M67:N67"/>
    <mergeCell ref="M68:N68"/>
    <mergeCell ref="M69:N69"/>
    <mergeCell ref="M70:N70"/>
    <mergeCell ref="M71:N71"/>
    <mergeCell ref="M72:N72"/>
    <mergeCell ref="M52:N52"/>
    <mergeCell ref="M60:N60"/>
    <mergeCell ref="M61:N61"/>
    <mergeCell ref="M62:N62"/>
    <mergeCell ref="M63:N63"/>
    <mergeCell ref="M64:N64"/>
    <mergeCell ref="M53:N53"/>
    <mergeCell ref="M54:N54"/>
    <mergeCell ref="M55:N55"/>
    <mergeCell ref="M56:N56"/>
    <mergeCell ref="M57:N57"/>
    <mergeCell ref="M58:N58"/>
    <mergeCell ref="M59:N5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Materiales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2022-02-15T03:13:01Z</dcterms:modified>
</cp:coreProperties>
</file>