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2.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labiblioteca\Desktop\"/>
    </mc:Choice>
  </mc:AlternateContent>
  <bookViews>
    <workbookView xWindow="0" yWindow="0" windowWidth="28800" windowHeight="11835" activeTab="9"/>
  </bookViews>
  <sheets>
    <sheet name="Resumen de exportación" sheetId="1" r:id="rId1"/>
    <sheet name="Medellin" sheetId="2" r:id="rId2"/>
    <sheet name="Villavicencio" sheetId="3" r:id="rId3"/>
    <sheet name="Tunja" sheetId="4" r:id="rId4"/>
    <sheet name="Bucaramanga" sheetId="5" r:id="rId5"/>
    <sheet name="Bogota" sheetId="6" r:id="rId6"/>
    <sheet name="DUAD" sheetId="7" r:id="rId7"/>
    <sheet name="Huella 2018" sheetId="8" r:id="rId8"/>
    <sheet name="Huella 2017" sheetId="9" r:id="rId9"/>
    <sheet name="Comparacion" sheetId="10" r:id="rId10"/>
  </sheets>
  <calcPr calcId="152511"/>
</workbook>
</file>

<file path=xl/calcChain.xml><?xml version="1.0" encoding="utf-8"?>
<calcChain xmlns="http://schemas.openxmlformats.org/spreadsheetml/2006/main">
  <c r="L64" i="10" l="1"/>
  <c r="L63" i="10"/>
  <c r="L60" i="10"/>
  <c r="L59" i="10"/>
  <c r="L58" i="10"/>
  <c r="L57" i="10"/>
  <c r="L56" i="10"/>
  <c r="L55" i="10"/>
  <c r="L52" i="10"/>
  <c r="L51" i="10"/>
  <c r="L50" i="10"/>
  <c r="L49" i="10"/>
  <c r="L48" i="10"/>
  <c r="L47" i="10"/>
  <c r="L44" i="10"/>
  <c r="D45" i="10"/>
  <c r="K64" i="10" s="1"/>
  <c r="L43" i="10"/>
  <c r="D44" i="10"/>
  <c r="K63" i="10" s="1"/>
  <c r="L42" i="10"/>
  <c r="L41" i="10"/>
  <c r="D42" i="10"/>
  <c r="K60" i="10" s="1"/>
  <c r="D41" i="10"/>
  <c r="K59" i="10" s="1"/>
  <c r="L40" i="10"/>
  <c r="D40" i="10"/>
  <c r="K58" i="10" s="1"/>
  <c r="D39" i="10"/>
  <c r="K57" i="10" s="1"/>
  <c r="D38" i="10"/>
  <c r="K56" i="10" s="1"/>
  <c r="L37" i="10"/>
  <c r="K37" i="10"/>
  <c r="M37" i="10" s="1"/>
  <c r="D37" i="10"/>
  <c r="L36" i="10"/>
  <c r="D36" i="10"/>
  <c r="L35" i="10"/>
  <c r="N35" i="10" s="1"/>
  <c r="L34" i="10"/>
  <c r="D34" i="10"/>
  <c r="K52" i="10" s="1"/>
  <c r="L33" i="10"/>
  <c r="N33" i="10" s="1"/>
  <c r="D33" i="10"/>
  <c r="K51" i="10" s="1"/>
  <c r="L32" i="10"/>
  <c r="D32" i="10"/>
  <c r="K50" i="10" s="1"/>
  <c r="D31" i="10"/>
  <c r="K49" i="10" s="1"/>
  <c r="D30" i="10"/>
  <c r="K48" i="10" s="1"/>
  <c r="N29" i="10"/>
  <c r="M29" i="10"/>
  <c r="D29" i="10"/>
  <c r="K47" i="10" s="1"/>
  <c r="N28" i="10"/>
  <c r="M28" i="10"/>
  <c r="D28" i="10"/>
  <c r="N27" i="10"/>
  <c r="M27" i="10"/>
  <c r="V26" i="10"/>
  <c r="U26" i="10"/>
  <c r="U27" i="10" s="1"/>
  <c r="N26" i="10"/>
  <c r="M26" i="10"/>
  <c r="D26" i="10"/>
  <c r="K44" i="10" s="1"/>
  <c r="V25" i="10"/>
  <c r="U25" i="10"/>
  <c r="N25" i="10"/>
  <c r="M25" i="10"/>
  <c r="D25" i="10"/>
  <c r="K43" i="10" s="1"/>
  <c r="V24" i="10"/>
  <c r="U24" i="10"/>
  <c r="D24" i="10"/>
  <c r="K42" i="10" s="1"/>
  <c r="D23" i="10"/>
  <c r="K41" i="10" s="1"/>
  <c r="D22" i="10"/>
  <c r="T21" i="10"/>
  <c r="D21" i="10"/>
  <c r="T20" i="10"/>
  <c r="D20" i="10"/>
  <c r="K40" i="10" s="1"/>
  <c r="T19" i="10"/>
  <c r="Y18" i="10"/>
  <c r="T18" i="10"/>
  <c r="Y17" i="10"/>
  <c r="T17" i="10"/>
  <c r="D17" i="10"/>
  <c r="K36" i="10" s="1"/>
  <c r="Y16" i="10"/>
  <c r="T16" i="10"/>
  <c r="D16" i="10"/>
  <c r="K35" i="10" s="1"/>
  <c r="Y15" i="10"/>
  <c r="D15" i="10"/>
  <c r="K34" i="10" s="1"/>
  <c r="Y14" i="10"/>
  <c r="T14" i="10"/>
  <c r="D14" i="10"/>
  <c r="K33" i="10" s="1"/>
  <c r="Y13" i="10"/>
  <c r="D13" i="10"/>
  <c r="D12" i="10"/>
  <c r="T11" i="10"/>
  <c r="T10" i="10"/>
  <c r="D10" i="10"/>
  <c r="T9" i="10"/>
  <c r="D9" i="10"/>
  <c r="X8" i="10"/>
  <c r="T8" i="10"/>
  <c r="S8" i="10"/>
  <c r="D8" i="10"/>
  <c r="T7" i="10"/>
  <c r="D7" i="10"/>
  <c r="T6" i="10"/>
  <c r="D6" i="10"/>
  <c r="D5" i="10"/>
  <c r="D4" i="10"/>
  <c r="K24" i="10" s="1"/>
  <c r="H1" i="10"/>
  <c r="D46" i="9"/>
  <c r="E46" i="9" s="1"/>
  <c r="E45" i="9"/>
  <c r="D45" i="9"/>
  <c r="E44" i="9"/>
  <c r="D43" i="9"/>
  <c r="E43" i="9" s="1"/>
  <c r="E42" i="9"/>
  <c r="D42" i="9"/>
  <c r="D41" i="9"/>
  <c r="E41" i="9" s="1"/>
  <c r="D40" i="9"/>
  <c r="E40" i="9" s="1"/>
  <c r="D39" i="9"/>
  <c r="E39" i="9" s="1"/>
  <c r="E38" i="9"/>
  <c r="D38" i="9"/>
  <c r="D37" i="9"/>
  <c r="E37" i="9" s="1"/>
  <c r="E36" i="9"/>
  <c r="D35" i="9"/>
  <c r="E35" i="9" s="1"/>
  <c r="E34" i="9"/>
  <c r="D34" i="9"/>
  <c r="D33" i="9"/>
  <c r="E33" i="9" s="1"/>
  <c r="E32" i="9"/>
  <c r="D32" i="9"/>
  <c r="D31" i="9"/>
  <c r="E31" i="9" s="1"/>
  <c r="E30" i="9"/>
  <c r="D30" i="9"/>
  <c r="D29" i="9"/>
  <c r="E29" i="9" s="1"/>
  <c r="E28" i="9"/>
  <c r="D27" i="9"/>
  <c r="E27" i="9" s="1"/>
  <c r="D26" i="9"/>
  <c r="E26" i="9" s="1"/>
  <c r="E25" i="9"/>
  <c r="D25" i="9"/>
  <c r="D24" i="9"/>
  <c r="E24" i="9" s="1"/>
  <c r="D23" i="9"/>
  <c r="E23" i="9" s="1"/>
  <c r="D22" i="9"/>
  <c r="E22" i="9" s="1"/>
  <c r="E21" i="9"/>
  <c r="D21" i="9"/>
  <c r="E20" i="9"/>
  <c r="E19" i="9"/>
  <c r="E18" i="9"/>
  <c r="D18" i="9"/>
  <c r="D17" i="9"/>
  <c r="E17" i="9" s="1"/>
  <c r="E16" i="9"/>
  <c r="D16" i="9"/>
  <c r="D15" i="9"/>
  <c r="E15" i="9" s="1"/>
  <c r="E14" i="9"/>
  <c r="D14" i="9"/>
  <c r="D13" i="9"/>
  <c r="E13" i="9" s="1"/>
  <c r="E12" i="9"/>
  <c r="D11" i="9"/>
  <c r="E11" i="9" s="1"/>
  <c r="D10" i="9"/>
  <c r="E10" i="9" s="1"/>
  <c r="M9" i="9"/>
  <c r="L9" i="9"/>
  <c r="D9" i="9"/>
  <c r="E9" i="9" s="1"/>
  <c r="D8" i="9"/>
  <c r="E8" i="9" s="1"/>
  <c r="Q7" i="9"/>
  <c r="P7" i="9"/>
  <c r="E7" i="9"/>
  <c r="D7" i="9"/>
  <c r="Q6" i="9"/>
  <c r="L6" i="9"/>
  <c r="M6" i="9" s="1"/>
  <c r="E6" i="9"/>
  <c r="D6" i="9"/>
  <c r="P5" i="9"/>
  <c r="Q5" i="9" s="1"/>
  <c r="D5" i="9"/>
  <c r="E5" i="9" s="1"/>
  <c r="D1" i="9"/>
  <c r="C1" i="9"/>
  <c r="L10" i="9" s="1"/>
  <c r="M10" i="9" s="1"/>
  <c r="J101" i="8"/>
  <c r="J99" i="8"/>
  <c r="J95" i="8"/>
  <c r="K95" i="8" s="1"/>
  <c r="J91" i="8"/>
  <c r="J89" i="8"/>
  <c r="J87" i="8"/>
  <c r="J83" i="8"/>
  <c r="J79" i="8"/>
  <c r="J75" i="8"/>
  <c r="J73" i="8"/>
  <c r="J69" i="8"/>
  <c r="K69" i="8" s="1"/>
  <c r="J61" i="8"/>
  <c r="J56" i="8"/>
  <c r="J55" i="8"/>
  <c r="J51" i="8"/>
  <c r="K51" i="8" s="1"/>
  <c r="E51" i="8"/>
  <c r="E50" i="8"/>
  <c r="J76" i="8" s="1"/>
  <c r="E49" i="8"/>
  <c r="E48" i="8"/>
  <c r="J47" i="8"/>
  <c r="E47" i="8"/>
  <c r="E46" i="8"/>
  <c r="J82" i="8" s="1"/>
  <c r="E45" i="8"/>
  <c r="E43" i="8"/>
  <c r="J63" i="8" s="1"/>
  <c r="K63" i="8" s="1"/>
  <c r="E42" i="8"/>
  <c r="J57" i="8" s="1"/>
  <c r="E41" i="8"/>
  <c r="E40" i="8"/>
  <c r="J100" i="8" s="1"/>
  <c r="K100" i="8" s="1"/>
  <c r="E39" i="8"/>
  <c r="J94" i="8" s="1"/>
  <c r="E38" i="8"/>
  <c r="J88" i="8" s="1"/>
  <c r="E37" i="8"/>
  <c r="J38" i="8" s="1"/>
  <c r="E36" i="8"/>
  <c r="J74" i="8" s="1"/>
  <c r="K74" i="8" s="1"/>
  <c r="E35" i="8"/>
  <c r="J68" i="8" s="1"/>
  <c r="E34" i="8"/>
  <c r="J62" i="8" s="1"/>
  <c r="E33" i="8"/>
  <c r="E32" i="8"/>
  <c r="J50" i="8" s="1"/>
  <c r="K50" i="8" s="1"/>
  <c r="J31" i="8"/>
  <c r="E31" i="8"/>
  <c r="E30" i="8"/>
  <c r="J93" i="8" s="1"/>
  <c r="E29" i="8"/>
  <c r="J39" i="8" s="1"/>
  <c r="K39" i="8" s="1"/>
  <c r="E28" i="8"/>
  <c r="J80" i="8" s="1"/>
  <c r="K80" i="8" s="1"/>
  <c r="E27" i="8"/>
  <c r="E26" i="8"/>
  <c r="J67" i="8" s="1"/>
  <c r="E23" i="8"/>
  <c r="J49" i="8" s="1"/>
  <c r="K49" i="8" s="1"/>
  <c r="E22" i="8"/>
  <c r="J98" i="8" s="1"/>
  <c r="E21" i="8"/>
  <c r="J92" i="8" s="1"/>
  <c r="E20" i="8"/>
  <c r="J86" i="8" s="1"/>
  <c r="E19" i="8"/>
  <c r="E18" i="8"/>
  <c r="J72" i="8" s="1"/>
  <c r="K72" i="8" s="1"/>
  <c r="E17" i="8"/>
  <c r="J66" i="8" s="1"/>
  <c r="E16" i="8"/>
  <c r="J60" i="8" s="1"/>
  <c r="E15" i="8"/>
  <c r="J54" i="8" s="1"/>
  <c r="K54" i="8" s="1"/>
  <c r="E14" i="8"/>
  <c r="J48" i="8" s="1"/>
  <c r="E13" i="8"/>
  <c r="J41" i="8" s="1"/>
  <c r="E12" i="8"/>
  <c r="E11" i="8"/>
  <c r="J85" i="8" s="1"/>
  <c r="H10" i="8"/>
  <c r="I10" i="8" s="1"/>
  <c r="J10" i="8" s="1"/>
  <c r="E10" i="8"/>
  <c r="J78" i="8" s="1"/>
  <c r="H9" i="8"/>
  <c r="I9" i="8" s="1"/>
  <c r="E9" i="8"/>
  <c r="J33" i="8" s="1"/>
  <c r="K33" i="8" s="1"/>
  <c r="K36" i="8" s="1"/>
  <c r="L8" i="8"/>
  <c r="M8" i="8" s="1"/>
  <c r="I8" i="8"/>
  <c r="H8" i="8"/>
  <c r="E8" i="8"/>
  <c r="J65" i="8" s="1"/>
  <c r="L7" i="8"/>
  <c r="M7" i="8" s="1"/>
  <c r="H18" i="8" s="1"/>
  <c r="I7" i="8"/>
  <c r="H7" i="8"/>
  <c r="E7" i="8"/>
  <c r="J30" i="8" s="1"/>
  <c r="K30" i="8" s="1"/>
  <c r="H6" i="8"/>
  <c r="I6" i="8" s="1"/>
  <c r="E6" i="8"/>
  <c r="J53" i="8" s="1"/>
  <c r="L5" i="8"/>
  <c r="M5" i="8" s="1"/>
  <c r="I5" i="8"/>
  <c r="J5" i="8" s="1"/>
  <c r="H5" i="8"/>
  <c r="E5" i="8"/>
  <c r="J28" i="8" s="1"/>
  <c r="C1" i="8"/>
  <c r="D1" i="8" s="1"/>
  <c r="G13" i="8" s="1"/>
  <c r="I44" i="7"/>
  <c r="I43" i="7"/>
  <c r="I42" i="7"/>
  <c r="I41" i="7"/>
  <c r="I39" i="7"/>
  <c r="I38" i="7"/>
  <c r="I37" i="7"/>
  <c r="I36" i="7"/>
  <c r="I35" i="7"/>
  <c r="I33" i="7"/>
  <c r="I32" i="7"/>
  <c r="I31" i="7"/>
  <c r="I30" i="7"/>
  <c r="I29" i="7"/>
  <c r="I28" i="7"/>
  <c r="I27" i="7"/>
  <c r="I25" i="7"/>
  <c r="H45" i="7" s="1"/>
  <c r="C21" i="7"/>
  <c r="F19" i="7"/>
  <c r="F18" i="7"/>
  <c r="F17" i="7"/>
  <c r="R16" i="7"/>
  <c r="Q16" i="7"/>
  <c r="P16" i="7"/>
  <c r="O16" i="7"/>
  <c r="L16" i="7"/>
  <c r="J16" i="7"/>
  <c r="F16" i="7"/>
  <c r="F20" i="7" s="1"/>
  <c r="T15" i="7"/>
  <c r="F15" i="7"/>
  <c r="S14" i="7"/>
  <c r="S16" i="7" s="1"/>
  <c r="N14" i="7"/>
  <c r="N16" i="7" s="1"/>
  <c r="M14" i="7"/>
  <c r="M16" i="7" s="1"/>
  <c r="L14" i="7"/>
  <c r="K14" i="7"/>
  <c r="K16" i="7" s="1"/>
  <c r="J14" i="7"/>
  <c r="I14" i="7"/>
  <c r="I16" i="7" s="1"/>
  <c r="F14" i="7"/>
  <c r="T13" i="7"/>
  <c r="F13" i="7"/>
  <c r="T12" i="7"/>
  <c r="F12" i="7"/>
  <c r="T11" i="7"/>
  <c r="F11" i="7"/>
  <c r="T10" i="7"/>
  <c r="F10" i="7"/>
  <c r="T9" i="7"/>
  <c r="F9" i="7"/>
  <c r="T8" i="7"/>
  <c r="F8" i="7"/>
  <c r="T7" i="7"/>
  <c r="F7" i="7"/>
  <c r="T6" i="7"/>
  <c r="F6" i="7"/>
  <c r="T5" i="7"/>
  <c r="F5" i="7"/>
  <c r="T4" i="7"/>
  <c r="F4" i="7"/>
  <c r="K159" i="6"/>
  <c r="E145" i="6"/>
  <c r="D145" i="6"/>
  <c r="E144" i="6"/>
  <c r="D144" i="6"/>
  <c r="G143" i="6"/>
  <c r="E143" i="6"/>
  <c r="D143" i="6"/>
  <c r="H142" i="6"/>
  <c r="E142" i="6"/>
  <c r="D142" i="6"/>
  <c r="H141" i="6"/>
  <c r="E141" i="6"/>
  <c r="D141" i="6"/>
  <c r="H140" i="6"/>
  <c r="E140" i="6"/>
  <c r="D140" i="6"/>
  <c r="H139" i="6"/>
  <c r="E139" i="6"/>
  <c r="D139" i="6"/>
  <c r="H138" i="6"/>
  <c r="E138" i="6"/>
  <c r="D138" i="6"/>
  <c r="I137" i="6"/>
  <c r="H137" i="6"/>
  <c r="H143" i="6" s="1"/>
  <c r="E137" i="6"/>
  <c r="K163" i="6" s="1"/>
  <c r="D137" i="6"/>
  <c r="F135" i="6"/>
  <c r="K161" i="6" s="1"/>
  <c r="D135" i="6"/>
  <c r="F134" i="6"/>
  <c r="D134" i="6"/>
  <c r="I131" i="6"/>
  <c r="I130" i="6"/>
  <c r="I128" i="6"/>
  <c r="I126" i="6"/>
  <c r="I125" i="6"/>
  <c r="I124" i="6"/>
  <c r="I121" i="6"/>
  <c r="I120" i="6"/>
  <c r="I119" i="6"/>
  <c r="I118" i="6"/>
  <c r="I115" i="6"/>
  <c r="I114" i="6"/>
  <c r="I113" i="6"/>
  <c r="I112" i="6"/>
  <c r="I111" i="6"/>
  <c r="I110" i="6"/>
  <c r="I108" i="6"/>
  <c r="I106" i="6"/>
  <c r="I105" i="6"/>
  <c r="I104" i="6"/>
  <c r="I103" i="6"/>
  <c r="I101" i="6"/>
  <c r="I100" i="6"/>
  <c r="I99" i="6"/>
  <c r="I98" i="6"/>
  <c r="I96" i="6"/>
  <c r="I95" i="6"/>
  <c r="I93" i="6"/>
  <c r="I92" i="6"/>
  <c r="I91" i="6"/>
  <c r="I90" i="6"/>
  <c r="I89" i="6"/>
  <c r="I88" i="6"/>
  <c r="I87" i="6"/>
  <c r="I86"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6" i="6"/>
  <c r="I44" i="6"/>
  <c r="I42" i="6"/>
  <c r="I41" i="6"/>
  <c r="I39" i="6"/>
  <c r="I38" i="6"/>
  <c r="H132" i="6" s="1"/>
  <c r="F31" i="6"/>
  <c r="F30" i="6"/>
  <c r="F29" i="6"/>
  <c r="F28" i="6"/>
  <c r="F27" i="6"/>
  <c r="F26" i="6"/>
  <c r="F25" i="6"/>
  <c r="F24" i="6"/>
  <c r="F23" i="6"/>
  <c r="F22" i="6"/>
  <c r="F21" i="6"/>
  <c r="F20" i="6"/>
  <c r="F32" i="6" s="1"/>
  <c r="G13" i="6"/>
  <c r="E13" i="6"/>
  <c r="E12" i="6"/>
  <c r="G12" i="6" s="1"/>
  <c r="G11" i="6"/>
  <c r="C7" i="6"/>
  <c r="G7" i="6" s="1"/>
  <c r="C6" i="6"/>
  <c r="G6" i="6" s="1"/>
  <c r="G5" i="6"/>
  <c r="H123" i="5"/>
  <c r="I122" i="5"/>
  <c r="H122" i="5"/>
  <c r="G121" i="5"/>
  <c r="H120" i="5"/>
  <c r="H119" i="5"/>
  <c r="H118" i="5"/>
  <c r="H117" i="5"/>
  <c r="H116" i="5"/>
  <c r="H115" i="5"/>
  <c r="H114" i="5"/>
  <c r="H113" i="5"/>
  <c r="H112" i="5"/>
  <c r="E112" i="5"/>
  <c r="D112" i="5"/>
  <c r="H111" i="5"/>
  <c r="D111" i="5"/>
  <c r="H110" i="5"/>
  <c r="D110" i="5"/>
  <c r="I109" i="5"/>
  <c r="H109" i="5"/>
  <c r="H121" i="5" s="1"/>
  <c r="D109" i="5"/>
  <c r="F107" i="5"/>
  <c r="F106" i="5"/>
  <c r="H104"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E71" i="5" s="1"/>
  <c r="G16" i="5"/>
  <c r="E16" i="5"/>
  <c r="G15" i="5"/>
  <c r="E15" i="5"/>
  <c r="E14" i="5"/>
  <c r="G14" i="5" s="1"/>
  <c r="G13" i="5"/>
  <c r="E13" i="5"/>
  <c r="G12" i="5"/>
  <c r="E12" i="5"/>
  <c r="G11" i="5"/>
  <c r="E11" i="5"/>
  <c r="E10" i="5"/>
  <c r="G10" i="5" s="1"/>
  <c r="G8" i="5"/>
  <c r="G18" i="5" s="1"/>
  <c r="G6" i="5"/>
  <c r="G5" i="5"/>
  <c r="M4" i="5"/>
  <c r="D69" i="4"/>
  <c r="E68" i="4"/>
  <c r="D68" i="4"/>
  <c r="E67" i="4"/>
  <c r="D67" i="4"/>
  <c r="I66" i="4"/>
  <c r="H66" i="4"/>
  <c r="E66" i="4"/>
  <c r="D66" i="4"/>
  <c r="G65" i="4"/>
  <c r="E65" i="4"/>
  <c r="D65" i="4"/>
  <c r="H64" i="4"/>
  <c r="E64" i="4"/>
  <c r="D64" i="4"/>
  <c r="H63" i="4"/>
  <c r="E63" i="4"/>
  <c r="D63" i="4"/>
  <c r="H62" i="4"/>
  <c r="E62" i="4"/>
  <c r="D62" i="4"/>
  <c r="H61" i="4"/>
  <c r="E61" i="4"/>
  <c r="D61" i="4"/>
  <c r="I60" i="4"/>
  <c r="H60" i="4"/>
  <c r="H65" i="4" s="1"/>
  <c r="E60" i="4"/>
  <c r="D60" i="4"/>
  <c r="F58" i="4"/>
  <c r="F57" i="4"/>
  <c r="H55" i="4"/>
  <c r="I37" i="4"/>
  <c r="F29" i="4"/>
  <c r="F28" i="4"/>
  <c r="F27" i="4"/>
  <c r="F26" i="4"/>
  <c r="F25" i="4"/>
  <c r="F24" i="4"/>
  <c r="F23" i="4"/>
  <c r="F22" i="4"/>
  <c r="F21" i="4"/>
  <c r="F20" i="4"/>
  <c r="F19" i="4"/>
  <c r="F18" i="4"/>
  <c r="F30" i="4" s="1"/>
  <c r="G12" i="4"/>
  <c r="E10" i="4"/>
  <c r="G10" i="4" s="1"/>
  <c r="E9" i="4"/>
  <c r="G9" i="4" s="1"/>
  <c r="G6" i="4"/>
  <c r="G5" i="4"/>
  <c r="G13" i="4" s="1"/>
  <c r="C5" i="4"/>
  <c r="C2" i="4"/>
  <c r="D134" i="3"/>
  <c r="H132" i="3"/>
  <c r="E132" i="3"/>
  <c r="D132" i="3"/>
  <c r="C132" i="3"/>
  <c r="H131" i="3"/>
  <c r="E131" i="3"/>
  <c r="D131" i="3"/>
  <c r="E130" i="3"/>
  <c r="D130" i="3"/>
  <c r="E129" i="3"/>
  <c r="D129" i="3"/>
  <c r="I128" i="3"/>
  <c r="H128" i="3"/>
  <c r="E128" i="3"/>
  <c r="D128" i="3"/>
  <c r="F126" i="3"/>
  <c r="F125" i="3"/>
  <c r="F124" i="3"/>
  <c r="F123" i="3"/>
  <c r="D122" i="3"/>
  <c r="F122" i="3" s="1"/>
  <c r="I93" i="3"/>
  <c r="H120" i="3" s="1"/>
  <c r="I92" i="3"/>
  <c r="I9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81" i="3" s="1"/>
  <c r="G15" i="3"/>
  <c r="C14" i="3"/>
  <c r="G14" i="3" s="1"/>
  <c r="G16" i="3" s="1"/>
  <c r="G12" i="3"/>
  <c r="E12" i="3"/>
  <c r="E11" i="3"/>
  <c r="G11" i="3" s="1"/>
  <c r="G10" i="3"/>
  <c r="E10" i="3"/>
  <c r="G8" i="3"/>
  <c r="C6" i="3"/>
  <c r="G6" i="3" s="1"/>
  <c r="G5" i="3"/>
  <c r="E157" i="2"/>
  <c r="D157" i="2"/>
  <c r="E156" i="2"/>
  <c r="D156" i="2"/>
  <c r="E155" i="2"/>
  <c r="D155" i="2"/>
  <c r="E154" i="2"/>
  <c r="D154" i="2"/>
  <c r="E153" i="2"/>
  <c r="D153" i="2"/>
  <c r="I152" i="2"/>
  <c r="H152" i="2"/>
  <c r="E152" i="2"/>
  <c r="D152" i="2"/>
  <c r="F150" i="2"/>
  <c r="F149" i="2"/>
  <c r="I146" i="2"/>
  <c r="I144" i="2"/>
  <c r="I143" i="2"/>
  <c r="I141" i="2"/>
  <c r="I137" i="2"/>
  <c r="I135" i="2"/>
  <c r="I127" i="2"/>
  <c r="I124" i="2"/>
  <c r="I117" i="2"/>
  <c r="I114" i="2"/>
  <c r="I113" i="2"/>
  <c r="I102" i="2"/>
  <c r="I101" i="2"/>
  <c r="I96" i="2"/>
  <c r="I95" i="2"/>
  <c r="I94" i="2"/>
  <c r="I90" i="2"/>
  <c r="I83" i="2"/>
  <c r="I71" i="2"/>
  <c r="I66" i="2"/>
  <c r="I59" i="2"/>
  <c r="I50" i="2"/>
  <c r="H147" i="2" s="1"/>
  <c r="G29" i="2"/>
  <c r="G28" i="2"/>
  <c r="G27" i="2"/>
  <c r="G26" i="2"/>
  <c r="G25" i="2"/>
  <c r="G24" i="2"/>
  <c r="G23" i="2"/>
  <c r="G22" i="2"/>
  <c r="G21" i="2"/>
  <c r="G20" i="2"/>
  <c r="G19" i="2"/>
  <c r="G18" i="2"/>
  <c r="F30" i="2" s="1"/>
  <c r="G12" i="2"/>
  <c r="G10" i="2"/>
  <c r="E10" i="2"/>
  <c r="G7" i="2"/>
  <c r="G6" i="2"/>
  <c r="G5" i="2"/>
  <c r="G13" i="2" s="1"/>
  <c r="N34" i="10" l="1"/>
  <c r="N42" i="10"/>
  <c r="N57" i="10"/>
  <c r="K55" i="10"/>
  <c r="N49" i="10"/>
  <c r="K32" i="10"/>
  <c r="N36" i="10"/>
  <c r="N44" i="10"/>
  <c r="N51" i="10"/>
  <c r="N60" i="10"/>
  <c r="N47" i="10"/>
  <c r="N63" i="10"/>
  <c r="M33" i="10"/>
  <c r="M5" i="5"/>
  <c r="K61" i="8"/>
  <c r="H13" i="8"/>
  <c r="J9" i="8"/>
  <c r="K60" i="8"/>
  <c r="K67" i="8"/>
  <c r="K73" i="8"/>
  <c r="K99" i="8"/>
  <c r="N41" i="10"/>
  <c r="M41" i="10"/>
  <c r="K28" i="8"/>
  <c r="J7" i="8"/>
  <c r="K78" i="8"/>
  <c r="J84" i="8"/>
  <c r="K84" i="8" s="1"/>
  <c r="K66" i="8"/>
  <c r="K62" i="8"/>
  <c r="K57" i="8"/>
  <c r="K76" i="8"/>
  <c r="K75" i="8"/>
  <c r="K101" i="8"/>
  <c r="N43" i="10"/>
  <c r="N50" i="10"/>
  <c r="N58" i="10"/>
  <c r="K79" i="8"/>
  <c r="N32" i="10"/>
  <c r="M32" i="10"/>
  <c r="N40" i="10"/>
  <c r="N59" i="10"/>
  <c r="G15" i="6"/>
  <c r="J70" i="8"/>
  <c r="K70" i="8" s="1"/>
  <c r="K65" i="8"/>
  <c r="J90" i="8"/>
  <c r="K90" i="8" s="1"/>
  <c r="K85" i="8"/>
  <c r="K83" i="8"/>
  <c r="N24" i="10"/>
  <c r="M24" i="10"/>
  <c r="H17" i="8"/>
  <c r="K86" i="8"/>
  <c r="K93" i="8"/>
  <c r="K38" i="8"/>
  <c r="K82" i="8"/>
  <c r="K87" i="8"/>
  <c r="N52" i="10"/>
  <c r="J58" i="8"/>
  <c r="K58" i="8" s="1"/>
  <c r="J8" i="8"/>
  <c r="K41" i="8"/>
  <c r="K92" i="8"/>
  <c r="K88" i="8"/>
  <c r="K56" i="8"/>
  <c r="K89" i="8"/>
  <c r="N55" i="10"/>
  <c r="J6" i="8"/>
  <c r="H19" i="8"/>
  <c r="M9" i="8"/>
  <c r="H14" i="8" s="1"/>
  <c r="K48" i="8"/>
  <c r="K98" i="8"/>
  <c r="K31" i="8"/>
  <c r="K94" i="8"/>
  <c r="J52" i="8"/>
  <c r="K52" i="8" s="1"/>
  <c r="J96" i="8"/>
  <c r="K96" i="8" s="1"/>
  <c r="N48" i="10"/>
  <c r="N56" i="10"/>
  <c r="N64" i="10"/>
  <c r="J71" i="8"/>
  <c r="T14" i="7"/>
  <c r="T16" i="7" s="1"/>
  <c r="K47" i="8"/>
  <c r="K91" i="8"/>
  <c r="L7" i="9"/>
  <c r="M7" i="9" s="1"/>
  <c r="M43" i="10"/>
  <c r="J29" i="8"/>
  <c r="K29" i="8" s="1"/>
  <c r="J59" i="8"/>
  <c r="J64" i="8" s="1"/>
  <c r="K64" i="8" s="1"/>
  <c r="M34" i="10"/>
  <c r="M47" i="10"/>
  <c r="M49" i="10"/>
  <c r="M51" i="10"/>
  <c r="M55" i="10"/>
  <c r="M57" i="10"/>
  <c r="M59" i="10"/>
  <c r="M63" i="10"/>
  <c r="M36" i="10"/>
  <c r="J40" i="8"/>
  <c r="K40" i="8" s="1"/>
  <c r="J81" i="8"/>
  <c r="K81" i="8" s="1"/>
  <c r="J97" i="8"/>
  <c r="M42" i="10"/>
  <c r="L5" i="9"/>
  <c r="M5" i="9" s="1"/>
  <c r="M35" i="10"/>
  <c r="M40" i="10"/>
  <c r="M44" i="10"/>
  <c r="M48" i="10"/>
  <c r="M50" i="10"/>
  <c r="M52" i="10"/>
  <c r="M56" i="10"/>
  <c r="M58" i="10"/>
  <c r="M60" i="10"/>
  <c r="M64" i="10"/>
  <c r="L8" i="9"/>
  <c r="M8" i="9" s="1"/>
  <c r="J77" i="8" l="1"/>
  <c r="K77" i="8" s="1"/>
  <c r="K71" i="8"/>
  <c r="J32" i="8"/>
  <c r="K32" i="8" s="1"/>
  <c r="J102" i="8"/>
  <c r="K97" i="8"/>
  <c r="J42" i="8"/>
  <c r="K42" i="8" s="1"/>
  <c r="K102" i="8" l="1"/>
  <c r="J103" i="8"/>
  <c r="K103" i="8" s="1"/>
</calcChain>
</file>

<file path=xl/sharedStrings.xml><?xml version="1.0" encoding="utf-8"?>
<sst xmlns="http://schemas.openxmlformats.org/spreadsheetml/2006/main" count="2542" uniqueCount="522">
  <si>
    <t>Este documento se ha exportado de Numbers. Cada tabla se ha convertido en una hoja de cálculo de Excel. Los demás objetos de las hojas de Numbers se han colocado en distintas hojas de cálculo. Recuerda que el cálculo de fórmulas puede ser diferente en Excel.</t>
  </si>
  <si>
    <t>Nombre de hoja de Numbers</t>
  </si>
  <si>
    <t>Nombre de tabla de Numbers</t>
  </si>
  <si>
    <t>Nombre de hoja de cálculo de Excel</t>
  </si>
  <si>
    <t>Medellin</t>
  </si>
  <si>
    <t>Tabla 1</t>
  </si>
  <si>
    <t>Alcance 1</t>
  </si>
  <si>
    <t>Combustibles</t>
  </si>
  <si>
    <t>Combustible</t>
  </si>
  <si>
    <t>Cantidad</t>
  </si>
  <si>
    <t xml:space="preserve">Unidad </t>
  </si>
  <si>
    <t>Conversion</t>
  </si>
  <si>
    <t xml:space="preserve">Factor </t>
  </si>
  <si>
    <t>kg Co2 eq</t>
  </si>
  <si>
    <t>Gasolina E10 (Comercial)</t>
  </si>
  <si>
    <t>Galones</t>
  </si>
  <si>
    <t>Gas Natural Generico</t>
  </si>
  <si>
    <t>Metros Cúbicos</t>
  </si>
  <si>
    <t>Gasolina Motor</t>
  </si>
  <si>
    <t>Refrigerante</t>
  </si>
  <si>
    <t>Contenido</t>
  </si>
  <si>
    <t>Cantidad de refrigerante utilizada</t>
  </si>
  <si>
    <t>Co2</t>
  </si>
  <si>
    <t>extintores</t>
  </si>
  <si>
    <t># Extintores</t>
  </si>
  <si>
    <t>Peso extintor</t>
  </si>
  <si>
    <t xml:space="preserve">Peso neto </t>
  </si>
  <si>
    <t>hcfcn123</t>
  </si>
  <si>
    <t>HCFC 123</t>
  </si>
  <si>
    <t>Fertilizantes</t>
  </si>
  <si>
    <t>unidades</t>
  </si>
  <si>
    <t>cal</t>
  </si>
  <si>
    <t>Nitrógeno</t>
  </si>
  <si>
    <t>kg</t>
  </si>
  <si>
    <t>Nitrogeno</t>
  </si>
  <si>
    <t>Total Alcance 1</t>
  </si>
  <si>
    <t>Urea</t>
  </si>
  <si>
    <t>Alcance 2</t>
  </si>
  <si>
    <t>Energia Electrica</t>
  </si>
  <si>
    <t>Factura</t>
  </si>
  <si>
    <t>kw/h</t>
  </si>
  <si>
    <t>Mes</t>
  </si>
  <si>
    <t>Factor</t>
  </si>
  <si>
    <t>204010 Zona A
1176682 Zona B</t>
  </si>
  <si>
    <t>enero</t>
  </si>
  <si>
    <t>febrero</t>
  </si>
  <si>
    <t>marzo</t>
  </si>
  <si>
    <t>abril</t>
  </si>
  <si>
    <t>mayo</t>
  </si>
  <si>
    <t>junio</t>
  </si>
  <si>
    <t>julio</t>
  </si>
  <si>
    <t>agosto</t>
  </si>
  <si>
    <t>septiembre</t>
  </si>
  <si>
    <t>octubre</t>
  </si>
  <si>
    <t>noviembre</t>
  </si>
  <si>
    <t>diciembre</t>
  </si>
  <si>
    <t>Total kg Co2 eq</t>
  </si>
  <si>
    <t>Alcance 3</t>
  </si>
  <si>
    <t>Vuelos</t>
  </si>
  <si>
    <t>Origen</t>
  </si>
  <si>
    <t>Aeropuerto</t>
  </si>
  <si>
    <t>Destino</t>
  </si>
  <si>
    <t>Clase</t>
  </si>
  <si>
    <t>Conexión</t>
  </si>
  <si>
    <t># de personas</t>
  </si>
  <si>
    <t>Medellín</t>
  </si>
  <si>
    <t>Jose Maria Cordoba</t>
  </si>
  <si>
    <t>Bogotá</t>
  </si>
  <si>
    <t>El Dorado</t>
  </si>
  <si>
    <t>Económica</t>
  </si>
  <si>
    <t>IDA Y REGRESO</t>
  </si>
  <si>
    <t>Enrrique Olaya Herrera</t>
  </si>
  <si>
    <t>Apartadó</t>
  </si>
  <si>
    <t>Antonio Roldán</t>
  </si>
  <si>
    <t xml:space="preserve">Bogotá </t>
  </si>
  <si>
    <t>Bucaramanga</t>
  </si>
  <si>
    <t>Palonegro</t>
  </si>
  <si>
    <t>Cali</t>
  </si>
  <si>
    <t>Alfonso Bonilla Aragón</t>
  </si>
  <si>
    <t>IDA</t>
  </si>
  <si>
    <t>Barranquilla</t>
  </si>
  <si>
    <t>Ernesto Cortissoz</t>
  </si>
  <si>
    <t>Quibdo</t>
  </si>
  <si>
    <t>El Caraño</t>
  </si>
  <si>
    <t xml:space="preserve">IDA </t>
  </si>
  <si>
    <t>Madrid</t>
  </si>
  <si>
    <t>Adolfo Suarez Barajas</t>
  </si>
  <si>
    <t>Valencia</t>
  </si>
  <si>
    <t>Aeropuerto de valencia</t>
  </si>
  <si>
    <t>Chile</t>
  </si>
  <si>
    <t xml:space="preserve"> Araucanía</t>
  </si>
  <si>
    <t>Cucuta</t>
  </si>
  <si>
    <t>Camilo Daza</t>
  </si>
  <si>
    <t>México</t>
  </si>
  <si>
    <t xml:space="preserve">Benito Juárez </t>
  </si>
  <si>
    <t>Papel</t>
  </si>
  <si>
    <t xml:space="preserve">Tipo de papel  </t>
  </si>
  <si>
    <t xml:space="preserve">Tamaño </t>
  </si>
  <si>
    <t xml:space="preserve">Unidades </t>
  </si>
  <si>
    <t>Peso kg</t>
  </si>
  <si>
    <t>kg CO2 eq</t>
  </si>
  <si>
    <t>Bon Ecolgico 75</t>
  </si>
  <si>
    <t>Carta</t>
  </si>
  <si>
    <t>Resmas</t>
  </si>
  <si>
    <t>Oficio</t>
  </si>
  <si>
    <t>Residuos</t>
  </si>
  <si>
    <t>Aprobechables</t>
  </si>
  <si>
    <t>Toneladas</t>
  </si>
  <si>
    <t>kg CO2 eq evitado</t>
  </si>
  <si>
    <t>Generados</t>
  </si>
  <si>
    <t>Kg CO2 eq</t>
  </si>
  <si>
    <t>CARTON</t>
  </si>
  <si>
    <t>Residuo relleno sanitario</t>
  </si>
  <si>
    <t>ARCHIVO</t>
  </si>
  <si>
    <t>VIDRIO</t>
  </si>
  <si>
    <t>PLASTICO</t>
  </si>
  <si>
    <t>PET</t>
  </si>
  <si>
    <t>PERIÓDICO</t>
  </si>
  <si>
    <t>Villavicencio</t>
  </si>
  <si>
    <t>Diesel B10 - ACPM (Mezcla Comercial)</t>
  </si>
  <si>
    <t>R-410B</t>
  </si>
  <si>
    <t>CO2</t>
  </si>
  <si>
    <t>201801198964929</t>
  </si>
  <si>
    <t>Enero</t>
  </si>
  <si>
    <t>201901198932648</t>
  </si>
  <si>
    <t>201801214423698</t>
  </si>
  <si>
    <t>201801133159402</t>
  </si>
  <si>
    <t>20181107978964</t>
  </si>
  <si>
    <t>201802198964929</t>
  </si>
  <si>
    <t>Febrero</t>
  </si>
  <si>
    <t>201902198932648</t>
  </si>
  <si>
    <t>201802214423698</t>
  </si>
  <si>
    <t>201802133159402</t>
  </si>
  <si>
    <t>20182107978964</t>
  </si>
  <si>
    <t>201803198964929</t>
  </si>
  <si>
    <t>Marzo</t>
  </si>
  <si>
    <t>201903198932648</t>
  </si>
  <si>
    <t>201803214423698</t>
  </si>
  <si>
    <t>201803133159402</t>
  </si>
  <si>
    <t>20183107978964</t>
  </si>
  <si>
    <t>201804198964929</t>
  </si>
  <si>
    <t>Abril</t>
  </si>
  <si>
    <t>201904198932648</t>
  </si>
  <si>
    <t>201804214423698</t>
  </si>
  <si>
    <t>201804133159402</t>
  </si>
  <si>
    <t>20184107978964</t>
  </si>
  <si>
    <t>201805198964929</t>
  </si>
  <si>
    <t>Mayo</t>
  </si>
  <si>
    <t>201905198932648</t>
  </si>
  <si>
    <t>201805214423698</t>
  </si>
  <si>
    <t>201805133159402</t>
  </si>
  <si>
    <t>20185107978964</t>
  </si>
  <si>
    <t>201806198964929</t>
  </si>
  <si>
    <t>Junio</t>
  </si>
  <si>
    <t>201906198932648</t>
  </si>
  <si>
    <t>201806214423698</t>
  </si>
  <si>
    <t>201806133159402</t>
  </si>
  <si>
    <t>20186107978964</t>
  </si>
  <si>
    <t>201807198964929</t>
  </si>
  <si>
    <t>Julio</t>
  </si>
  <si>
    <t>201907198932648</t>
  </si>
  <si>
    <t>201807214423698</t>
  </si>
  <si>
    <t>201807133159402</t>
  </si>
  <si>
    <t>20187107978964</t>
  </si>
  <si>
    <t>201808198964929</t>
  </si>
  <si>
    <t>Agosto</t>
  </si>
  <si>
    <t>201908198932648</t>
  </si>
  <si>
    <t>201808214423698</t>
  </si>
  <si>
    <t>201808133159402</t>
  </si>
  <si>
    <t>20188107978964</t>
  </si>
  <si>
    <t>201809198964929</t>
  </si>
  <si>
    <t>Septiembre</t>
  </si>
  <si>
    <t>201909198932648</t>
  </si>
  <si>
    <t>201809214423698</t>
  </si>
  <si>
    <t>201809133159402</t>
  </si>
  <si>
    <t>20189107978964</t>
  </si>
  <si>
    <t>201810198964929</t>
  </si>
  <si>
    <t>Octubre</t>
  </si>
  <si>
    <t>201910198932648</t>
  </si>
  <si>
    <t>201810214423698</t>
  </si>
  <si>
    <t>201810133159402</t>
  </si>
  <si>
    <t>201810107978964</t>
  </si>
  <si>
    <t>201811198964929</t>
  </si>
  <si>
    <t>Noviembre</t>
  </si>
  <si>
    <t>201911198932648</t>
  </si>
  <si>
    <t>201811214423698</t>
  </si>
  <si>
    <t>201811133159402</t>
  </si>
  <si>
    <t>201811107978964</t>
  </si>
  <si>
    <t>201812198964929</t>
  </si>
  <si>
    <t>Diciembre</t>
  </si>
  <si>
    <t>201912198932648</t>
  </si>
  <si>
    <t>201812214423698</t>
  </si>
  <si>
    <t>201812133159402</t>
  </si>
  <si>
    <t>201812107978964</t>
  </si>
  <si>
    <t>Economica</t>
  </si>
  <si>
    <t>Ida y regreso</t>
  </si>
  <si>
    <t>Bogota</t>
  </si>
  <si>
    <t>Manizales</t>
  </si>
  <si>
    <t>Ida</t>
  </si>
  <si>
    <t>Pereira</t>
  </si>
  <si>
    <t>Quito</t>
  </si>
  <si>
    <t>Mexico</t>
  </si>
  <si>
    <t>Budapest</t>
  </si>
  <si>
    <t>San Juan Luis Muños Marin</t>
  </si>
  <si>
    <t>Trujillo</t>
  </si>
  <si>
    <t>Lima</t>
  </si>
  <si>
    <t>Curitiva</t>
  </si>
  <si>
    <t>Sao Paulo</t>
  </si>
  <si>
    <t>Monterrey</t>
  </si>
  <si>
    <t>Cartagena</t>
  </si>
  <si>
    <t>Berlin</t>
  </si>
  <si>
    <t xml:space="preserve">Ida </t>
  </si>
  <si>
    <t>Santiago</t>
  </si>
  <si>
    <t>Braisl</t>
  </si>
  <si>
    <t>Yopal</t>
  </si>
  <si>
    <t>Bond Ecológico 75</t>
  </si>
  <si>
    <t>Resma</t>
  </si>
  <si>
    <t>Bon Blanco 75 45cm*180</t>
  </si>
  <si>
    <t>Rollo</t>
  </si>
  <si>
    <t>Rollos</t>
  </si>
  <si>
    <t>Bon Blanco 75</t>
  </si>
  <si>
    <t>Pliego</t>
  </si>
  <si>
    <t>hoja</t>
  </si>
  <si>
    <t>Kraft 60g 45cm*180m</t>
  </si>
  <si>
    <t>Periodico Reciclado</t>
  </si>
  <si>
    <t>Hojas</t>
  </si>
  <si>
    <t>Plastico</t>
  </si>
  <si>
    <t>relleno sanitario</t>
  </si>
  <si>
    <t>Metal</t>
  </si>
  <si>
    <t>Vidrio</t>
  </si>
  <si>
    <t>Carton</t>
  </si>
  <si>
    <t>Celda de seguriad</t>
  </si>
  <si>
    <t>Incineracion</t>
  </si>
  <si>
    <t>Tunja</t>
  </si>
  <si>
    <t>Disel B10</t>
  </si>
  <si>
    <t>bogota</t>
  </si>
  <si>
    <t>buenos aires</t>
  </si>
  <si>
    <t>Atenas</t>
  </si>
  <si>
    <t>madrid</t>
  </si>
  <si>
    <t>mexico</t>
  </si>
  <si>
    <t>santiago</t>
  </si>
  <si>
    <t>asuncion</t>
  </si>
  <si>
    <t>quito</t>
  </si>
  <si>
    <t>moscow</t>
  </si>
  <si>
    <t>new york</t>
  </si>
  <si>
    <t>brasilia</t>
  </si>
  <si>
    <t>Toronto</t>
  </si>
  <si>
    <t>seul</t>
  </si>
  <si>
    <t>abu dabi</t>
  </si>
  <si>
    <t>tokyo</t>
  </si>
  <si>
    <t>Hohanesburgo</t>
  </si>
  <si>
    <t>carcas</t>
  </si>
  <si>
    <t>frankfort</t>
  </si>
  <si>
    <t>santiago de cuba</t>
  </si>
  <si>
    <t>deheli</t>
  </si>
  <si>
    <t>Bon Blanco</t>
  </si>
  <si>
    <t>PAPEL</t>
  </si>
  <si>
    <t xml:space="preserve">Biosanitarios (EPP Contaminados) </t>
  </si>
  <si>
    <t>Vidrio Contaminado</t>
  </si>
  <si>
    <t>PERIODICO</t>
  </si>
  <si>
    <t>Reactivos</t>
  </si>
  <si>
    <t xml:space="preserve">PLASTICO (BOLSA) </t>
  </si>
  <si>
    <t>Cortopunzantes</t>
  </si>
  <si>
    <t>Fármacos</t>
  </si>
  <si>
    <t>PLEGADIZA</t>
  </si>
  <si>
    <t>Combinado de incinerado</t>
  </si>
  <si>
    <t xml:space="preserve">VIDRIO </t>
  </si>
  <si>
    <t>Especiales (RAEE, tintas)</t>
  </si>
  <si>
    <t>ALUMINIO</t>
  </si>
  <si>
    <t>Reciclaje general</t>
  </si>
  <si>
    <t>R-410A</t>
  </si>
  <si>
    <t xml:space="preserve">CO2 </t>
  </si>
  <si>
    <t xml:space="preserve">Enero </t>
  </si>
  <si>
    <t xml:space="preserve">Noviembre </t>
  </si>
  <si>
    <t>BGA</t>
  </si>
  <si>
    <t>BOG</t>
  </si>
  <si>
    <t>ECONOMICA</t>
  </si>
  <si>
    <t>CLO</t>
  </si>
  <si>
    <t>MDE</t>
  </si>
  <si>
    <t>PEI</t>
  </si>
  <si>
    <t>VUP</t>
  </si>
  <si>
    <t>RCH</t>
  </si>
  <si>
    <t>NVA</t>
  </si>
  <si>
    <t>BAQ</t>
  </si>
  <si>
    <t>CTG</t>
  </si>
  <si>
    <t>VVC</t>
  </si>
  <si>
    <t>CUC</t>
  </si>
  <si>
    <t>MAD</t>
  </si>
  <si>
    <t>MEX</t>
  </si>
  <si>
    <t>EZE</t>
  </si>
  <si>
    <t>SCL</t>
  </si>
  <si>
    <t>GRU</t>
  </si>
  <si>
    <t>LIM</t>
  </si>
  <si>
    <t>GIG</t>
  </si>
  <si>
    <t>UIO</t>
  </si>
  <si>
    <t>GYE</t>
  </si>
  <si>
    <t>MIA</t>
  </si>
  <si>
    <t>PAPEL BOND 90 GR</t>
  </si>
  <si>
    <t>oficio</t>
  </si>
  <si>
    <t>PAPEL BOND 75 GR</t>
  </si>
  <si>
    <t>Campus Floridablanca</t>
  </si>
  <si>
    <t>Biosanitario / Autoclaveado</t>
  </si>
  <si>
    <t>Cortopunzante</t>
  </si>
  <si>
    <t>Campus Bucaramanga</t>
  </si>
  <si>
    <t>Tubos fluorescentes/ Encapsulamiento</t>
  </si>
  <si>
    <t>Todos los campus</t>
  </si>
  <si>
    <t>Balastro/Desemsamble y encapsulamiento</t>
  </si>
  <si>
    <t>Anatomopatológico</t>
  </si>
  <si>
    <t>Filtros de aceite</t>
  </si>
  <si>
    <t>Material impregnado</t>
  </si>
  <si>
    <t>Químico Autorizado</t>
  </si>
  <si>
    <t>Farmacéutico</t>
  </si>
  <si>
    <t>Medicamentos vencidos</t>
  </si>
  <si>
    <t>Líquido fijador/Encapsulamiento</t>
  </si>
  <si>
    <t>Mercuriales</t>
  </si>
  <si>
    <t>Total Mix MSW</t>
  </si>
  <si>
    <t>Residuo Animal</t>
  </si>
  <si>
    <t>Vidrios contaminados</t>
  </si>
  <si>
    <t>Gas natural guajira</t>
  </si>
  <si>
    <t>m3</t>
  </si>
  <si>
    <t>ACPM</t>
  </si>
  <si>
    <t>Galon</t>
  </si>
  <si>
    <t>Gasolina Comercial</t>
  </si>
  <si>
    <t>ENERO</t>
  </si>
  <si>
    <t>FEBRERO</t>
  </si>
  <si>
    <t>MARZO</t>
  </si>
  <si>
    <t>ABRIL</t>
  </si>
  <si>
    <t>MAYO</t>
  </si>
  <si>
    <t>JUNIO</t>
  </si>
  <si>
    <t>JULIO</t>
  </si>
  <si>
    <t>AGOSTO</t>
  </si>
  <si>
    <t>SEPTIEMBRE</t>
  </si>
  <si>
    <t>OCTUBRE</t>
  </si>
  <si>
    <t>NOVIEMBRE</t>
  </si>
  <si>
    <t>DICIEMBRE</t>
  </si>
  <si>
    <t>BERLIN</t>
  </si>
  <si>
    <t>BOGOTA</t>
  </si>
  <si>
    <t>BARCELONA</t>
  </si>
  <si>
    <t>BARRANQUILLA</t>
  </si>
  <si>
    <t>APARTADÓ</t>
  </si>
  <si>
    <t>ARAUCA</t>
  </si>
  <si>
    <t>ARMENIA</t>
  </si>
  <si>
    <t>BILBAO</t>
  </si>
  <si>
    <t>BOLONIA - ITALIA</t>
  </si>
  <si>
    <t>BUCARAMANGA</t>
  </si>
  <si>
    <t>BUENOS AIRES</t>
  </si>
  <si>
    <t>CALI</t>
  </si>
  <si>
    <t>CARTAGENA</t>
  </si>
  <si>
    <t>CIUDAD DE MEXICO</t>
  </si>
  <si>
    <t>CORDOBA ARGENTINA</t>
  </si>
  <si>
    <t>CUBA</t>
  </si>
  <si>
    <t>CUCUTA</t>
  </si>
  <si>
    <t>ESTADOS UNIDOS</t>
  </si>
  <si>
    <t>FLORENCIA</t>
  </si>
  <si>
    <t>GRECIA</t>
  </si>
  <si>
    <t>GUADALAJARA</t>
  </si>
  <si>
    <t>GUAYAQUIL</t>
  </si>
  <si>
    <t>IBAGUE</t>
  </si>
  <si>
    <t>ITALIA</t>
  </si>
  <si>
    <t>JALISCO</t>
  </si>
  <si>
    <t>LA CORUÑA - ESPAÑA</t>
  </si>
  <si>
    <t>LIMA</t>
  </si>
  <si>
    <t>MADRID</t>
  </si>
  <si>
    <t>MANIZALES</t>
  </si>
  <si>
    <t>MEDELLIN</t>
  </si>
  <si>
    <t>MIAMI</t>
  </si>
  <si>
    <t>MONTERIA</t>
  </si>
  <si>
    <t>NAPOLES</t>
  </si>
  <si>
    <t>NEIVA</t>
  </si>
  <si>
    <t>PAISES BAJOS</t>
  </si>
  <si>
    <t>PALERMO - ITALIA</t>
  </si>
  <si>
    <t>PALMAS DE GRAN CANARIA</t>
  </si>
  <si>
    <t>PARIS</t>
  </si>
  <si>
    <t>PASTO</t>
  </si>
  <si>
    <t>PEREIRA</t>
  </si>
  <si>
    <t>POPAYAN</t>
  </si>
  <si>
    <t>PUTUMAYO</t>
  </si>
  <si>
    <t>QUITO</t>
  </si>
  <si>
    <t>RIOACHA</t>
  </si>
  <si>
    <t>RIO EGRO ARGENTINA</t>
  </si>
  <si>
    <t>SAN ANDRES</t>
  </si>
  <si>
    <t>SAN JOSE DE COSTA RICA</t>
  </si>
  <si>
    <t>SANTA CRUZ DE LA SIERRA</t>
  </si>
  <si>
    <t>SANTA MARTA</t>
  </si>
  <si>
    <t>SANTIAGO DE CHILE</t>
  </si>
  <si>
    <t>SEVILLA</t>
  </si>
  <si>
    <t>TRUJILLO - PERÚ</t>
  </si>
  <si>
    <t>TUMACO</t>
  </si>
  <si>
    <t>VALENCIA</t>
  </si>
  <si>
    <t>VALLEDUPAR</t>
  </si>
  <si>
    <t>VERACRUZ</t>
  </si>
  <si>
    <t>VILLAVICENCIO</t>
  </si>
  <si>
    <t>YOPAL</t>
  </si>
  <si>
    <t>BRASILIA</t>
  </si>
  <si>
    <t>CHIHUAHUA</t>
  </si>
  <si>
    <t>DENVER</t>
  </si>
  <si>
    <t>ESPAÑA</t>
  </si>
  <si>
    <t>INDIANAPOLIS</t>
  </si>
  <si>
    <t>LA HABANA</t>
  </si>
  <si>
    <t>LA PAZ</t>
  </si>
  <si>
    <t>MONTEVIDEO</t>
  </si>
  <si>
    <t>NEBRASKA</t>
  </si>
  <si>
    <t>NUEVA YORK</t>
  </si>
  <si>
    <t>ROMA</t>
  </si>
  <si>
    <t>SALVADOR BAHIA</t>
  </si>
  <si>
    <t>SAO PAULO</t>
  </si>
  <si>
    <t>TORONTO</t>
  </si>
  <si>
    <t>WASHINGTON</t>
  </si>
  <si>
    <t>ZARAGOZA</t>
  </si>
  <si>
    <t>ZURICH</t>
  </si>
  <si>
    <t>peso kg</t>
  </si>
  <si>
    <t>Papel Bond 75 gr</t>
  </si>
  <si>
    <t>Archivo</t>
  </si>
  <si>
    <t>Pasta</t>
  </si>
  <si>
    <t xml:space="preserve">Carton </t>
  </si>
  <si>
    <t>Azetas</t>
  </si>
  <si>
    <t>Plegadiza</t>
  </si>
  <si>
    <t>soplado</t>
  </si>
  <si>
    <t>Goma</t>
  </si>
  <si>
    <t>Plastificada</t>
  </si>
  <si>
    <t>Periodico</t>
  </si>
  <si>
    <t>Tina</t>
  </si>
  <si>
    <t>Aluminio</t>
  </si>
  <si>
    <t>Total MSW</t>
  </si>
  <si>
    <t>Chatarra</t>
  </si>
  <si>
    <t>DUAD</t>
  </si>
  <si>
    <t>0519821-8</t>
  </si>
  <si>
    <t>0519822-0</t>
  </si>
  <si>
    <t>0519823-2</t>
  </si>
  <si>
    <t>0519824-4</t>
  </si>
  <si>
    <t>0519825-6</t>
  </si>
  <si>
    <t>0519826-8</t>
  </si>
  <si>
    <t>0519827-0</t>
  </si>
  <si>
    <t>0519828-2</t>
  </si>
  <si>
    <t>0519829-4</t>
  </si>
  <si>
    <t xml:space="preserve"> 0519830-3</t>
  </si>
  <si>
    <t>0519831-5</t>
  </si>
  <si>
    <t>Total</t>
  </si>
  <si>
    <t>CÚCUTA</t>
  </si>
  <si>
    <t>DUITAMA</t>
  </si>
  <si>
    <t>FACATATIVÁ</t>
  </si>
  <si>
    <t>IBAGUÉ</t>
  </si>
  <si>
    <t>MONTERÍA</t>
  </si>
  <si>
    <t>OCAÑA</t>
  </si>
  <si>
    <t>SINCELEJO</t>
  </si>
  <si>
    <t xml:space="preserve">BOGOTA </t>
  </si>
  <si>
    <t>MERMOSILLO</t>
  </si>
  <si>
    <t>Huella 2018</t>
  </si>
  <si>
    <t>Huella de carbono 2017</t>
  </si>
  <si>
    <t>ton</t>
  </si>
  <si>
    <t>Grafica 6</t>
  </si>
  <si>
    <t>Sede</t>
  </si>
  <si>
    <t>Alcance</t>
  </si>
  <si>
    <t>Indicador</t>
  </si>
  <si>
    <t>kg CO2 individual</t>
  </si>
  <si>
    <t>Ton CO2 equivalente</t>
  </si>
  <si>
    <t>Sedes</t>
  </si>
  <si>
    <t>kg CO2 equi</t>
  </si>
  <si>
    <t>Ton CO2 equi</t>
  </si>
  <si>
    <t xml:space="preserve">% Al Total </t>
  </si>
  <si>
    <t>Alcances</t>
  </si>
  <si>
    <t>Refrigerantes</t>
  </si>
  <si>
    <t>Total Emisiones directas</t>
  </si>
  <si>
    <t>Extintores</t>
  </si>
  <si>
    <t>Energia</t>
  </si>
  <si>
    <t>Total Emisiones indirectas</t>
  </si>
  <si>
    <t>vuelos</t>
  </si>
  <si>
    <t>residuos reciclados</t>
  </si>
  <si>
    <t>Grafico 4</t>
  </si>
  <si>
    <t>Residuos generados</t>
  </si>
  <si>
    <t>Grafico 5</t>
  </si>
  <si>
    <t xml:space="preserve">Alcance 1 </t>
  </si>
  <si>
    <t>Tabla 4</t>
  </si>
  <si>
    <t>Emisiones de Gases Efecto Invernadores 2018</t>
  </si>
  <si>
    <t>Indicadores</t>
  </si>
  <si>
    <t>Ton CO2</t>
  </si>
  <si>
    <t>% Al total</t>
  </si>
  <si>
    <t xml:space="preserve">Alcance 1: Emisiones Directas </t>
  </si>
  <si>
    <t>Alcance 2: Emisiones Indirectas Consumo Energetico</t>
  </si>
  <si>
    <t>Total Alcance 2</t>
  </si>
  <si>
    <t>Alcance 3: Otras Emisiones Indirectas</t>
  </si>
  <si>
    <t>Total Alcance 3</t>
  </si>
  <si>
    <t>% Al Total</t>
  </si>
  <si>
    <t>Huella 2017</t>
  </si>
  <si>
    <t>Ton</t>
  </si>
  <si>
    <t>Aindicador</t>
  </si>
  <si>
    <t>Combustibles fuentes finjas</t>
  </si>
  <si>
    <t>medellin</t>
  </si>
  <si>
    <t>Combustibles fuentes moviles</t>
  </si>
  <si>
    <t>villavicencio</t>
  </si>
  <si>
    <t>Gases refrigerantes</t>
  </si>
  <si>
    <t>tunja</t>
  </si>
  <si>
    <t>bucaramanga</t>
  </si>
  <si>
    <t>Emisiones evitadas reciclaje</t>
  </si>
  <si>
    <t>residuos</t>
  </si>
  <si>
    <t>Comparacion</t>
  </si>
  <si>
    <t xml:space="preserve">TON </t>
  </si>
  <si>
    <t>TON</t>
  </si>
  <si>
    <t>disminulle el uso de papel al implementar mas medios audivisuales, lo que genera un incremento en el consumo energetico</t>
  </si>
  <si>
    <r>
      <rPr>
        <b/>
        <sz val="12"/>
        <color indexed="8"/>
        <rFont val="Arial"/>
      </rPr>
      <t>huella 201</t>
    </r>
    <r>
      <rPr>
        <sz val="12"/>
        <color indexed="8"/>
        <rFont val="Arial"/>
      </rPr>
      <t>7</t>
    </r>
  </si>
  <si>
    <t>huella 2018</t>
  </si>
  <si>
    <t>Diferencia</t>
  </si>
  <si>
    <t xml:space="preserve">Datos de Diferencia </t>
  </si>
  <si>
    <t>Emisiones de Gases Efecto Invernadores 2017</t>
  </si>
  <si>
    <t xml:space="preserve">Extintores </t>
  </si>
  <si>
    <t>Trasporte Terciario</t>
  </si>
  <si>
    <t>Combustibles Fuentes Fijas</t>
  </si>
  <si>
    <t>Combustibles Fuentes Moviles</t>
  </si>
  <si>
    <t>Residuos Generados</t>
  </si>
  <si>
    <t>Conbustibles</t>
  </si>
  <si>
    <t>Fugas de refigerantes</t>
  </si>
  <si>
    <t xml:space="preserve">% reducion </t>
  </si>
  <si>
    <t xml:space="preserve">Trasporte Terciario </t>
  </si>
  <si>
    <t>Insumos de impresión</t>
  </si>
  <si>
    <t>Reciclaje</t>
  </si>
  <si>
    <t>Disposicion de Residuos</t>
  </si>
  <si>
    <t xml:space="preserve">Medellin </t>
  </si>
  <si>
    <t>% de diferencia</t>
  </si>
  <si>
    <t>% de incremento</t>
  </si>
  <si>
    <t xml:space="preserve">Aumento o Diferencia </t>
  </si>
  <si>
    <t>Vilavicencio</t>
  </si>
  <si>
    <t xml:space="preserve">Aumento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</si>
</sst>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 &quot;;&quot;-&quot;#,##0&quot; &quot;"/>
    <numFmt numFmtId="165" formatCode="0.0"/>
  </numFmts>
  <fonts count="13" x14ac:knownFonts="1">
    <font>
      <sz val="12"/>
      <color indexed="8"/>
      <name val="Calibri"/>
    </font>
    <font>
      <sz val="14"/>
      <color indexed="8"/>
      <name val="Calibri"/>
    </font>
    <font>
      <u/>
      <sz val="12"/>
      <color indexed="11"/>
      <name val="Calibri"/>
    </font>
    <font>
      <b/>
      <sz val="12"/>
      <color indexed="8"/>
      <name val="Helvetica"/>
    </font>
    <font>
      <sz val="9"/>
      <color indexed="8"/>
      <name val="Calibri"/>
    </font>
    <font>
      <u/>
      <sz val="12"/>
      <color indexed="23"/>
      <name val="Calibri"/>
    </font>
    <font>
      <b/>
      <sz val="11"/>
      <color indexed="29"/>
      <name val="Arial"/>
    </font>
    <font>
      <sz val="11"/>
      <color indexed="8"/>
      <name val="Calibri"/>
    </font>
    <font>
      <sz val="12"/>
      <color indexed="8"/>
      <name val="Arial"/>
    </font>
    <font>
      <sz val="10"/>
      <color indexed="8"/>
      <name val="Calibri"/>
    </font>
    <font>
      <b/>
      <sz val="10"/>
      <color indexed="8"/>
      <name val="Arial"/>
    </font>
    <font>
      <sz val="10"/>
      <color indexed="8"/>
      <name val="Arial"/>
    </font>
    <font>
      <b/>
      <sz val="12"/>
      <color indexed="8"/>
      <name val="Arial"/>
    </font>
  </fonts>
  <fills count="2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5"/>
        <bgColor auto="1"/>
      </patternFill>
    </fill>
    <fill>
      <patternFill patternType="solid">
        <fgColor indexed="26"/>
        <bgColor auto="1"/>
      </patternFill>
    </fill>
    <fill>
      <patternFill patternType="solid">
        <fgColor indexed="27"/>
        <bgColor auto="1"/>
      </patternFill>
    </fill>
    <fill>
      <patternFill patternType="solid">
        <fgColor indexed="28"/>
        <bgColor auto="1"/>
      </patternFill>
    </fill>
    <fill>
      <patternFill patternType="solid">
        <fgColor indexed="30"/>
        <bgColor auto="1"/>
      </patternFill>
    </fill>
    <fill>
      <patternFill patternType="solid">
        <fgColor indexed="31"/>
        <bgColor auto="1"/>
      </patternFill>
    </fill>
    <fill>
      <patternFill patternType="solid">
        <fgColor indexed="32"/>
        <bgColor auto="1"/>
      </patternFill>
    </fill>
    <fill>
      <patternFill patternType="solid">
        <fgColor indexed="33"/>
        <bgColor auto="1"/>
      </patternFill>
    </fill>
    <fill>
      <patternFill patternType="solid">
        <fgColor indexed="34"/>
        <bgColor auto="1"/>
      </patternFill>
    </fill>
    <fill>
      <patternFill patternType="solid">
        <fgColor indexed="35"/>
        <bgColor auto="1"/>
      </patternFill>
    </fill>
  </fills>
  <borders count="67">
    <border>
      <left/>
      <right/>
      <top/>
      <bottom/>
      <diagonal/>
    </border>
    <border>
      <left style="thin">
        <color indexed="12"/>
      </left>
      <right style="thin">
        <color indexed="12"/>
      </right>
      <top style="thin">
        <color indexed="12"/>
      </top>
      <bottom style="thin">
        <color indexed="12"/>
      </bottom>
      <diagonal/>
    </border>
    <border>
      <left style="thin">
        <color indexed="12"/>
      </left>
      <right style="thin">
        <color indexed="12"/>
      </right>
      <top style="thin">
        <color indexed="12"/>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2"/>
      </right>
      <top style="thin">
        <color indexed="12"/>
      </top>
      <bottom style="thin">
        <color indexed="12"/>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12"/>
      </left>
      <right style="thin">
        <color indexed="8"/>
      </right>
      <top style="thin">
        <color indexed="12"/>
      </top>
      <bottom style="thin">
        <color indexed="12"/>
      </bottom>
      <diagonal/>
    </border>
    <border>
      <left style="thin">
        <color indexed="12"/>
      </left>
      <right style="thin">
        <color indexed="12"/>
      </right>
      <top style="thin">
        <color indexed="8"/>
      </top>
      <bottom style="thin">
        <color indexed="8"/>
      </bottom>
      <diagonal/>
    </border>
    <border>
      <left style="thin">
        <color indexed="8"/>
      </left>
      <right style="thin">
        <color indexed="12"/>
      </right>
      <top style="thin">
        <color indexed="8"/>
      </top>
      <bottom style="thin">
        <color indexed="8"/>
      </bottom>
      <diagonal/>
    </border>
    <border>
      <left style="thin">
        <color indexed="12"/>
      </left>
      <right style="thin">
        <color indexed="8"/>
      </right>
      <top style="thin">
        <color indexed="8"/>
      </top>
      <bottom style="thin">
        <color indexed="8"/>
      </bottom>
      <diagonal/>
    </border>
    <border>
      <left style="thin">
        <color indexed="12"/>
      </left>
      <right style="thin">
        <color indexed="12"/>
      </right>
      <top style="thin">
        <color indexed="8"/>
      </top>
      <bottom style="thin">
        <color indexed="12"/>
      </bottom>
      <diagonal/>
    </border>
    <border>
      <left style="thin">
        <color indexed="12"/>
      </left>
      <right style="thin">
        <color indexed="8"/>
      </right>
      <top style="thin">
        <color indexed="8"/>
      </top>
      <bottom/>
      <diagonal/>
    </border>
    <border>
      <left style="thin">
        <color indexed="12"/>
      </left>
      <right style="thin">
        <color indexed="8"/>
      </right>
      <top/>
      <bottom/>
      <diagonal/>
    </border>
    <border>
      <left style="thin">
        <color indexed="12"/>
      </left>
      <right style="thin">
        <color indexed="8"/>
      </right>
      <top/>
      <bottom style="thin">
        <color indexed="8"/>
      </bottom>
      <diagonal/>
    </border>
    <border>
      <left style="thin">
        <color indexed="8"/>
      </left>
      <right style="thin">
        <color indexed="8"/>
      </right>
      <top style="thin">
        <color indexed="8"/>
      </top>
      <bottom style="thin">
        <color indexed="12"/>
      </bottom>
      <diagonal/>
    </border>
    <border>
      <left style="thin">
        <color indexed="8"/>
      </left>
      <right style="thin">
        <color indexed="8"/>
      </right>
      <top style="thin">
        <color indexed="12"/>
      </top>
      <bottom style="thin">
        <color indexed="12"/>
      </bottom>
      <diagonal/>
    </border>
    <border>
      <left style="thin">
        <color indexed="8"/>
      </left>
      <right style="thin">
        <color indexed="8"/>
      </right>
      <top style="thin">
        <color indexed="12"/>
      </top>
      <bottom style="thin">
        <color indexed="8"/>
      </bottom>
      <diagonal/>
    </border>
    <border>
      <left style="thin">
        <color indexed="12"/>
      </left>
      <right style="thin">
        <color indexed="8"/>
      </right>
      <top style="thin">
        <color indexed="8"/>
      </top>
      <bottom style="thin">
        <color indexed="12"/>
      </bottom>
      <diagonal/>
    </border>
    <border>
      <left style="thin">
        <color indexed="8"/>
      </left>
      <right style="thin">
        <color indexed="12"/>
      </right>
      <top style="thin">
        <color indexed="8"/>
      </top>
      <bottom style="thin">
        <color indexed="12"/>
      </bottom>
      <diagonal/>
    </border>
    <border>
      <left style="thin">
        <color indexed="12"/>
      </left>
      <right style="thin">
        <color indexed="12"/>
      </right>
      <top/>
      <bottom style="thin">
        <color indexed="12"/>
      </bottom>
      <diagonal/>
    </border>
    <border>
      <left style="thin">
        <color indexed="12"/>
      </left>
      <right style="thin">
        <color indexed="12"/>
      </right>
      <top style="thin">
        <color indexed="12"/>
      </top>
      <bottom/>
      <diagonal/>
    </border>
    <border>
      <left style="thin">
        <color indexed="12"/>
      </left>
      <right/>
      <top style="thin">
        <color indexed="12"/>
      </top>
      <bottom style="thin">
        <color indexed="12"/>
      </bottom>
      <diagonal/>
    </border>
    <border>
      <left/>
      <right style="thin">
        <color indexed="12"/>
      </right>
      <top/>
      <bottom/>
      <diagonal/>
    </border>
    <border>
      <left style="thin">
        <color indexed="12"/>
      </left>
      <right/>
      <top style="thin">
        <color indexed="12"/>
      </top>
      <bottom/>
      <diagonal/>
    </border>
    <border>
      <left/>
      <right style="thin">
        <color indexed="8"/>
      </right>
      <top style="thin">
        <color indexed="12"/>
      </top>
      <bottom/>
      <diagonal/>
    </border>
    <border>
      <left style="thin">
        <color indexed="12"/>
      </left>
      <right/>
      <top/>
      <bottom style="thin">
        <color indexed="8"/>
      </bottom>
      <diagonal/>
    </border>
    <border>
      <left/>
      <right style="thin">
        <color indexed="8"/>
      </right>
      <top/>
      <bottom style="thin">
        <color indexed="8"/>
      </bottom>
      <diagonal/>
    </border>
    <border>
      <left style="thin">
        <color indexed="12"/>
      </left>
      <right style="thin">
        <color indexed="12"/>
      </right>
      <top style="thin">
        <color indexed="12"/>
      </top>
      <bottom style="medium">
        <color indexed="8"/>
      </bottom>
      <diagonal/>
    </border>
    <border>
      <left style="thin">
        <color indexed="8"/>
      </left>
      <right style="medium">
        <color indexed="8"/>
      </right>
      <top style="thin">
        <color indexed="12"/>
      </top>
      <bottom style="thin">
        <color indexed="12"/>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12"/>
      </right>
      <top style="thin">
        <color indexed="12"/>
      </top>
      <bottom style="thin">
        <color indexed="12"/>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indexed="8"/>
      </left>
      <right style="thin">
        <color indexed="12"/>
      </right>
      <top style="medium">
        <color indexed="8"/>
      </top>
      <bottom style="thin">
        <color indexed="12"/>
      </bottom>
      <diagonal/>
    </border>
    <border>
      <left style="thin">
        <color indexed="12"/>
      </left>
      <right style="thin">
        <color indexed="12"/>
      </right>
      <top style="medium">
        <color indexed="8"/>
      </top>
      <bottom style="thin">
        <color indexed="12"/>
      </bottom>
      <diagonal/>
    </border>
    <border>
      <left style="thin">
        <color indexed="12"/>
      </left>
      <right style="thin">
        <color indexed="12"/>
      </right>
      <top style="medium">
        <color indexed="8"/>
      </top>
      <bottom style="thin">
        <color indexed="8"/>
      </bottom>
      <diagonal/>
    </border>
    <border>
      <left style="thin">
        <color indexed="8"/>
      </left>
      <right style="thin">
        <color indexed="12"/>
      </right>
      <top style="thin">
        <color indexed="12"/>
      </top>
      <bottom style="thin">
        <color indexed="8"/>
      </bottom>
      <diagonal/>
    </border>
    <border>
      <left style="thin">
        <color indexed="12"/>
      </left>
      <right style="thin">
        <color indexed="8"/>
      </right>
      <top style="thin">
        <color indexed="12"/>
      </top>
      <bottom style="thin">
        <color indexed="8"/>
      </bottom>
      <diagonal/>
    </border>
    <border>
      <left style="thin">
        <color indexed="12"/>
      </left>
      <right style="thin">
        <color indexed="8"/>
      </right>
      <top/>
      <bottom style="thin">
        <color indexed="12"/>
      </bottom>
      <diagonal/>
    </border>
    <border>
      <left/>
      <right/>
      <top style="thin">
        <color indexed="12"/>
      </top>
      <bottom/>
      <diagonal/>
    </border>
    <border>
      <left/>
      <right style="thin">
        <color indexed="12"/>
      </right>
      <top style="thin">
        <color indexed="12"/>
      </top>
      <bottom style="thin">
        <color indexed="12"/>
      </bottom>
      <diagonal/>
    </border>
    <border>
      <left style="thin">
        <color indexed="12"/>
      </left>
      <right style="thin">
        <color indexed="12"/>
      </right>
      <top/>
      <bottom style="medium">
        <color indexed="8"/>
      </bottom>
      <diagonal/>
    </border>
    <border>
      <left style="medium">
        <color indexed="8"/>
      </left>
      <right style="medium">
        <color indexed="8"/>
      </right>
      <top style="thin">
        <color indexed="12"/>
      </top>
      <bottom style="thin">
        <color indexed="12"/>
      </bottom>
      <diagonal/>
    </border>
    <border>
      <left style="medium">
        <color indexed="8"/>
      </left>
      <right style="thin">
        <color indexed="8"/>
      </right>
      <top style="thin">
        <color indexed="12"/>
      </top>
      <bottom style="thin">
        <color indexed="12"/>
      </bottom>
      <diagonal/>
    </border>
    <border>
      <left style="medium">
        <color indexed="8"/>
      </left>
      <right style="thin">
        <color indexed="12"/>
      </right>
      <top style="thin">
        <color indexed="8"/>
      </top>
      <bottom style="thin">
        <color indexed="8"/>
      </bottom>
      <diagonal/>
    </border>
    <border>
      <left style="thin">
        <color indexed="12"/>
      </left>
      <right style="medium">
        <color indexed="8"/>
      </right>
      <top style="thin">
        <color indexed="8"/>
      </top>
      <bottom style="thin">
        <color indexed="8"/>
      </bottom>
      <diagonal/>
    </border>
    <border>
      <left style="medium">
        <color indexed="8"/>
      </left>
      <right style="thin">
        <color indexed="8"/>
      </right>
      <top style="thin">
        <color indexed="8"/>
      </top>
      <bottom style="thin">
        <color indexed="12"/>
      </bottom>
      <diagonal/>
    </border>
    <border>
      <left style="medium">
        <color indexed="8"/>
      </left>
      <right style="thin">
        <color indexed="8"/>
      </right>
      <top style="thin">
        <color indexed="12"/>
      </top>
      <bottom style="thin">
        <color indexed="8"/>
      </bottom>
      <diagonal/>
    </border>
    <border>
      <left style="thin">
        <color indexed="8"/>
      </left>
      <right style="medium">
        <color indexed="8"/>
      </right>
      <top style="thin">
        <color indexed="8"/>
      </top>
      <bottom style="thin">
        <color indexed="12"/>
      </bottom>
      <diagonal/>
    </border>
    <border>
      <left style="thin">
        <color indexed="8"/>
      </left>
      <right style="medium">
        <color indexed="8"/>
      </right>
      <top style="thin">
        <color indexed="12"/>
      </top>
      <bottom style="thin">
        <color indexed="8"/>
      </bottom>
      <diagonal/>
    </border>
    <border>
      <left style="medium">
        <color indexed="8"/>
      </left>
      <right style="thin">
        <color indexed="8"/>
      </right>
      <top style="thin">
        <color indexed="12"/>
      </top>
      <bottom style="medium">
        <color indexed="8"/>
      </bottom>
      <diagonal/>
    </border>
    <border>
      <left style="thin">
        <color indexed="8"/>
      </left>
      <right style="thin">
        <color indexed="12"/>
      </right>
      <top style="thin">
        <color indexed="8"/>
      </top>
      <bottom style="medium">
        <color indexed="8"/>
      </bottom>
      <diagonal/>
    </border>
    <border>
      <left style="thin">
        <color indexed="12"/>
      </left>
      <right style="thin">
        <color indexed="8"/>
      </right>
      <top style="thin">
        <color indexed="8"/>
      </top>
      <bottom style="medium">
        <color indexed="8"/>
      </bottom>
      <diagonal/>
    </border>
    <border>
      <left style="thin">
        <color indexed="12"/>
      </left>
      <right style="medium">
        <color indexed="8"/>
      </right>
      <top style="thin">
        <color indexed="12"/>
      </top>
      <bottom style="thin">
        <color indexed="12"/>
      </bottom>
      <diagonal/>
    </border>
  </borders>
  <cellStyleXfs count="1">
    <xf numFmtId="0" fontId="0" fillId="0" borderId="0" applyNumberFormat="0" applyFill="0" applyBorder="0" applyProtection="0"/>
  </cellStyleXfs>
  <cellXfs count="459">
    <xf numFmtId="0" fontId="0" fillId="0" borderId="0" xfId="0" applyFont="1" applyAlignment="1"/>
    <xf numFmtId="0" fontId="1" fillId="0" borderId="0" xfId="0" applyFont="1" applyAlignment="1">
      <alignment horizontal="left"/>
    </xf>
    <xf numFmtId="0" fontId="0" fillId="2" borderId="0" xfId="0" applyFont="1" applyFill="1" applyAlignment="1">
      <alignment horizontal="left"/>
    </xf>
    <xf numFmtId="0" fontId="0" fillId="3" borderId="0" xfId="0" applyFont="1" applyFill="1" applyAlignment="1">
      <alignment horizontal="left"/>
    </xf>
    <xf numFmtId="0" fontId="2" fillId="3" borderId="0" xfId="0" applyFont="1" applyFill="1" applyAlignment="1">
      <alignment horizontal="left"/>
    </xf>
    <xf numFmtId="0" fontId="0" fillId="0" borderId="0" xfId="0" applyNumberFormat="1" applyFont="1" applyAlignment="1"/>
    <xf numFmtId="0" fontId="0" fillId="0" borderId="1" xfId="0" applyFont="1" applyBorder="1" applyAlignment="1"/>
    <xf numFmtId="0" fontId="0" fillId="0" borderId="2" xfId="0" applyFont="1" applyBorder="1" applyAlignment="1"/>
    <xf numFmtId="0" fontId="0" fillId="0" borderId="4" xfId="0" applyFont="1" applyBorder="1" applyAlignment="1"/>
    <xf numFmtId="49" fontId="3" fillId="6" borderId="3" xfId="0" applyNumberFormat="1" applyFont="1" applyFill="1" applyBorder="1" applyAlignment="1"/>
    <xf numFmtId="49" fontId="0" fillId="0" borderId="3" xfId="0" applyNumberFormat="1" applyFont="1" applyBorder="1" applyAlignment="1"/>
    <xf numFmtId="0" fontId="0" fillId="0" borderId="3" xfId="0" applyNumberFormat="1" applyFont="1" applyBorder="1" applyAlignment="1"/>
    <xf numFmtId="0" fontId="0" fillId="0" borderId="3" xfId="0" applyFont="1" applyBorder="1" applyAlignment="1"/>
    <xf numFmtId="49" fontId="3" fillId="5" borderId="3" xfId="0" applyNumberFormat="1" applyFont="1" applyFill="1" applyBorder="1" applyAlignment="1">
      <alignment horizontal="center" vertical="center"/>
    </xf>
    <xf numFmtId="0" fontId="0" fillId="0" borderId="11" xfId="0" applyFont="1" applyBorder="1" applyAlignment="1"/>
    <xf numFmtId="0" fontId="0" fillId="0" borderId="12" xfId="0" applyFont="1" applyBorder="1" applyAlignment="1"/>
    <xf numFmtId="49" fontId="3" fillId="5" borderId="3" xfId="0" applyNumberFormat="1" applyFont="1" applyFill="1" applyBorder="1" applyAlignment="1">
      <alignment horizontal="center"/>
    </xf>
    <xf numFmtId="0" fontId="0" fillId="0" borderId="15" xfId="0" applyFont="1" applyBorder="1" applyAlignment="1"/>
    <xf numFmtId="0" fontId="4" fillId="0" borderId="1" xfId="0" applyFont="1" applyBorder="1" applyAlignment="1"/>
    <xf numFmtId="49" fontId="3" fillId="9" borderId="3" xfId="0" applyNumberFormat="1" applyFont="1" applyFill="1" applyBorder="1" applyAlignment="1">
      <alignment horizontal="center"/>
    </xf>
    <xf numFmtId="49" fontId="3" fillId="9" borderId="3" xfId="0" applyNumberFormat="1" applyFont="1" applyFill="1" applyBorder="1" applyAlignment="1"/>
    <xf numFmtId="49" fontId="0" fillId="0" borderId="3" xfId="0" applyNumberFormat="1" applyFont="1" applyBorder="1" applyAlignment="1">
      <alignment horizontal="left"/>
    </xf>
    <xf numFmtId="49" fontId="0" fillId="0" borderId="3" xfId="0" applyNumberFormat="1" applyFont="1" applyBorder="1" applyAlignment="1">
      <alignment horizontal="left" wrapText="1"/>
    </xf>
    <xf numFmtId="0" fontId="0" fillId="0" borderId="3" xfId="0" applyFont="1" applyBorder="1" applyAlignment="1">
      <alignment horizontal="left"/>
    </xf>
    <xf numFmtId="0" fontId="0" fillId="10" borderId="3" xfId="0" applyNumberFormat="1" applyFont="1" applyFill="1" applyBorder="1" applyAlignment="1">
      <alignment vertical="center"/>
    </xf>
    <xf numFmtId="49" fontId="3" fillId="13" borderId="3" xfId="0" applyNumberFormat="1" applyFont="1" applyFill="1" applyBorder="1" applyAlignment="1">
      <alignment horizontal="center"/>
    </xf>
    <xf numFmtId="0" fontId="0" fillId="0" borderId="3" xfId="0" applyNumberFormat="1" applyFont="1" applyBorder="1" applyAlignment="1">
      <alignment horizontal="center"/>
    </xf>
    <xf numFmtId="0" fontId="5" fillId="0" borderId="1" xfId="0" applyFont="1" applyBorder="1" applyAlignment="1"/>
    <xf numFmtId="49" fontId="0" fillId="13" borderId="3" xfId="0" applyNumberFormat="1" applyFont="1" applyFill="1" applyBorder="1" applyAlignment="1"/>
    <xf numFmtId="49" fontId="0" fillId="13" borderId="3" xfId="0" applyNumberFormat="1" applyFont="1" applyFill="1" applyBorder="1" applyAlignment="1">
      <alignment vertical="center"/>
    </xf>
    <xf numFmtId="0" fontId="0" fillId="0" borderId="0" xfId="0" applyNumberFormat="1" applyFont="1" applyAlignment="1"/>
    <xf numFmtId="0" fontId="0" fillId="0" borderId="13" xfId="0" applyNumberFormat="1" applyFont="1" applyBorder="1" applyAlignment="1"/>
    <xf numFmtId="0" fontId="0" fillId="0" borderId="14" xfId="0" applyNumberFormat="1" applyFont="1" applyBorder="1" applyAlignment="1"/>
    <xf numFmtId="0" fontId="0" fillId="0" borderId="22" xfId="0" applyFont="1" applyBorder="1" applyAlignment="1"/>
    <xf numFmtId="0" fontId="0" fillId="0" borderId="19" xfId="0" applyFont="1" applyBorder="1" applyAlignment="1"/>
    <xf numFmtId="0" fontId="0" fillId="0" borderId="23" xfId="0" applyFont="1" applyBorder="1" applyAlignment="1"/>
    <xf numFmtId="49" fontId="0" fillId="10" borderId="3" xfId="0" applyNumberFormat="1" applyFont="1" applyFill="1" applyBorder="1" applyAlignment="1">
      <alignment vertical="center" wrapText="1"/>
    </xf>
    <xf numFmtId="0" fontId="0" fillId="10" borderId="3" xfId="0" applyNumberFormat="1" applyFont="1" applyFill="1" applyBorder="1" applyAlignment="1">
      <alignment horizontal="right" vertical="center"/>
    </xf>
    <xf numFmtId="0" fontId="0" fillId="0" borderId="24" xfId="0" applyFont="1" applyBorder="1" applyAlignment="1"/>
    <xf numFmtId="0" fontId="0" fillId="0" borderId="0" xfId="0" applyNumberFormat="1" applyFont="1" applyAlignment="1"/>
    <xf numFmtId="0" fontId="0" fillId="0" borderId="2" xfId="0" applyNumberFormat="1" applyFont="1" applyBorder="1" applyAlignment="1"/>
    <xf numFmtId="0" fontId="0" fillId="0" borderId="3" xfId="0" applyNumberFormat="1" applyFont="1" applyBorder="1" applyAlignment="1">
      <alignment horizontal="right"/>
    </xf>
    <xf numFmtId="49" fontId="0" fillId="10" borderId="3" xfId="0" applyNumberFormat="1" applyFont="1" applyFill="1" applyBorder="1" applyAlignment="1">
      <alignment vertical="center"/>
    </xf>
    <xf numFmtId="0" fontId="0" fillId="10" borderId="3" xfId="0" applyNumberFormat="1" applyFont="1" applyFill="1" applyBorder="1" applyAlignment="1">
      <alignment vertical="center" wrapText="1"/>
    </xf>
    <xf numFmtId="0" fontId="0" fillId="0" borderId="0" xfId="0" applyNumberFormat="1" applyFont="1" applyAlignment="1"/>
    <xf numFmtId="2" fontId="0" fillId="0" borderId="1" xfId="0" applyNumberFormat="1" applyFont="1" applyBorder="1" applyAlignment="1"/>
    <xf numFmtId="0" fontId="0" fillId="0" borderId="1" xfId="0" applyNumberFormat="1" applyFont="1" applyBorder="1" applyAlignment="1"/>
    <xf numFmtId="2" fontId="0" fillId="0" borderId="3" xfId="0" applyNumberFormat="1" applyFont="1" applyBorder="1" applyAlignment="1"/>
    <xf numFmtId="0" fontId="0" fillId="0" borderId="3" xfId="0" applyNumberFormat="1" applyFont="1" applyBorder="1" applyAlignment="1">
      <alignment horizontal="left"/>
    </xf>
    <xf numFmtId="164" fontId="0" fillId="0" borderId="3" xfId="0" applyNumberFormat="1" applyFont="1" applyBorder="1" applyAlignment="1"/>
    <xf numFmtId="49" fontId="3" fillId="13" borderId="3" xfId="0" applyNumberFormat="1" applyFont="1" applyFill="1" applyBorder="1" applyAlignment="1"/>
    <xf numFmtId="49" fontId="3" fillId="13" borderId="3" xfId="0" applyNumberFormat="1" applyFont="1" applyFill="1" applyBorder="1" applyAlignment="1">
      <alignment vertical="center"/>
    </xf>
    <xf numFmtId="0" fontId="0" fillId="0" borderId="0" xfId="0" applyNumberFormat="1" applyFont="1" applyAlignment="1"/>
    <xf numFmtId="49" fontId="3" fillId="15" borderId="3" xfId="0" applyNumberFormat="1" applyFont="1" applyFill="1" applyBorder="1" applyAlignment="1"/>
    <xf numFmtId="0" fontId="0" fillId="0" borderId="25" xfId="0" applyFont="1" applyBorder="1" applyAlignment="1"/>
    <xf numFmtId="0" fontId="0" fillId="0" borderId="26" xfId="0" applyFont="1" applyBorder="1" applyAlignment="1"/>
    <xf numFmtId="0" fontId="0" fillId="0" borderId="27" xfId="0" applyFont="1" applyBorder="1" applyAlignment="1"/>
    <xf numFmtId="49" fontId="3" fillId="14" borderId="3" xfId="0" applyNumberFormat="1" applyFont="1" applyFill="1" applyBorder="1" applyAlignment="1">
      <alignment horizontal="center" vertical="center"/>
    </xf>
    <xf numFmtId="0" fontId="6" fillId="0" borderId="3" xfId="0" applyNumberFormat="1" applyFont="1" applyBorder="1" applyAlignment="1"/>
    <xf numFmtId="0" fontId="0" fillId="0" borderId="1" xfId="0" applyFont="1" applyBorder="1" applyAlignment="1">
      <alignment horizontal="left"/>
    </xf>
    <xf numFmtId="0" fontId="0" fillId="0" borderId="0" xfId="0" applyNumberFormat="1" applyFont="1" applyAlignment="1"/>
    <xf numFmtId="0" fontId="0" fillId="0" borderId="20" xfId="0" applyFont="1" applyBorder="1" applyAlignment="1"/>
    <xf numFmtId="49" fontId="3" fillId="18" borderId="3" xfId="0" applyNumberFormat="1" applyFont="1" applyFill="1" applyBorder="1" applyAlignment="1"/>
    <xf numFmtId="49" fontId="0" fillId="18" borderId="3" xfId="0" applyNumberFormat="1" applyFont="1" applyFill="1" applyBorder="1" applyAlignment="1"/>
    <xf numFmtId="49" fontId="0" fillId="9" borderId="3" xfId="0" applyNumberFormat="1" applyFont="1" applyFill="1" applyBorder="1" applyAlignment="1"/>
    <xf numFmtId="49" fontId="7" fillId="0" borderId="19" xfId="0" applyNumberFormat="1" applyFont="1" applyBorder="1" applyAlignment="1"/>
    <xf numFmtId="0" fontId="0" fillId="9" borderId="3" xfId="0" applyNumberFormat="1" applyFont="1" applyFill="1" applyBorder="1" applyAlignment="1"/>
    <xf numFmtId="49" fontId="7" fillId="0" borderId="20" xfId="0" applyNumberFormat="1" applyFont="1" applyBorder="1" applyAlignment="1"/>
    <xf numFmtId="49" fontId="0" fillId="19" borderId="3" xfId="0" applyNumberFormat="1" applyFont="1" applyFill="1" applyBorder="1" applyAlignment="1"/>
    <xf numFmtId="0" fontId="0" fillId="19" borderId="3" xfId="0" applyNumberFormat="1" applyFont="1" applyFill="1" applyBorder="1" applyAlignment="1"/>
    <xf numFmtId="0" fontId="0" fillId="20" borderId="3" xfId="0" applyNumberFormat="1" applyFont="1" applyFill="1" applyBorder="1" applyAlignment="1"/>
    <xf numFmtId="49" fontId="7" fillId="0" borderId="21" xfId="0" applyNumberFormat="1" applyFont="1" applyBorder="1" applyAlignment="1"/>
    <xf numFmtId="0" fontId="0" fillId="0" borderId="15" xfId="0" applyNumberFormat="1" applyFont="1" applyBorder="1" applyAlignment="1"/>
    <xf numFmtId="0" fontId="0" fillId="0" borderId="0" xfId="0" applyNumberFormat="1" applyFont="1" applyAlignment="1"/>
    <xf numFmtId="2" fontId="3" fillId="21" borderId="3" xfId="0" applyNumberFormat="1" applyFont="1" applyFill="1" applyBorder="1" applyAlignment="1">
      <alignment horizontal="right"/>
    </xf>
    <xf numFmtId="49" fontId="0" fillId="21" borderId="3" xfId="0" applyNumberFormat="1" applyFont="1" applyFill="1" applyBorder="1" applyAlignment="1">
      <alignment horizontal="right"/>
    </xf>
    <xf numFmtId="0" fontId="0" fillId="0" borderId="32" xfId="0" applyFont="1" applyBorder="1" applyAlignment="1"/>
    <xf numFmtId="49" fontId="3" fillId="22" borderId="3" xfId="0" applyNumberFormat="1" applyFont="1" applyFill="1" applyBorder="1" applyAlignment="1"/>
    <xf numFmtId="0" fontId="3" fillId="0" borderId="33" xfId="0" applyFont="1" applyBorder="1" applyAlignment="1"/>
    <xf numFmtId="49" fontId="3" fillId="22" borderId="34" xfId="0" applyNumberFormat="1" applyFont="1" applyFill="1" applyBorder="1" applyAlignment="1"/>
    <xf numFmtId="49" fontId="3" fillId="22" borderId="35" xfId="0" applyNumberFormat="1" applyFont="1" applyFill="1" applyBorder="1" applyAlignment="1"/>
    <xf numFmtId="49" fontId="3" fillId="22" borderId="36" xfId="0" applyNumberFormat="1" applyFont="1" applyFill="1" applyBorder="1" applyAlignment="1"/>
    <xf numFmtId="0" fontId="0" fillId="0" borderId="37" xfId="0" applyFont="1" applyBorder="1" applyAlignment="1"/>
    <xf numFmtId="49" fontId="0" fillId="6" borderId="3" xfId="0" applyNumberFormat="1" applyFont="1" applyFill="1" applyBorder="1" applyAlignment="1"/>
    <xf numFmtId="0" fontId="0" fillId="6" borderId="3" xfId="0" applyNumberFormat="1" applyFont="1" applyFill="1" applyBorder="1" applyAlignment="1"/>
    <xf numFmtId="2" fontId="0" fillId="6" borderId="3" xfId="0" applyNumberFormat="1" applyFont="1" applyFill="1" applyBorder="1" applyAlignment="1"/>
    <xf numFmtId="0" fontId="0" fillId="0" borderId="33" xfId="0" applyFont="1" applyBorder="1" applyAlignment="1"/>
    <xf numFmtId="49" fontId="0" fillId="19" borderId="38" xfId="0" applyNumberFormat="1" applyFont="1" applyFill="1" applyBorder="1" applyAlignment="1"/>
    <xf numFmtId="1" fontId="8" fillId="0" borderId="39" xfId="0" applyNumberFormat="1" applyFont="1" applyBorder="1" applyAlignment="1"/>
    <xf numFmtId="0" fontId="0" fillId="18" borderId="38" xfId="0" applyNumberFormat="1" applyFont="1" applyFill="1" applyBorder="1" applyAlignment="1"/>
    <xf numFmtId="2" fontId="0" fillId="18" borderId="3" xfId="0" applyNumberFormat="1" applyFont="1" applyFill="1" applyBorder="1" applyAlignment="1"/>
    <xf numFmtId="2" fontId="0" fillId="18" borderId="39" xfId="0" applyNumberFormat="1" applyFont="1" applyFill="1" applyBorder="1" applyAlignment="1"/>
    <xf numFmtId="1" fontId="0" fillId="6" borderId="3" xfId="0" applyNumberFormat="1" applyFont="1" applyFill="1" applyBorder="1" applyAlignment="1"/>
    <xf numFmtId="0" fontId="0" fillId="19" borderId="38" xfId="0" applyNumberFormat="1" applyFont="1" applyFill="1" applyBorder="1" applyAlignment="1"/>
    <xf numFmtId="2" fontId="0" fillId="0" borderId="39" xfId="0" applyNumberFormat="1" applyFont="1" applyBorder="1" applyAlignment="1"/>
    <xf numFmtId="0" fontId="0" fillId="0" borderId="38" xfId="0" applyNumberFormat="1" applyFont="1" applyBorder="1" applyAlignment="1"/>
    <xf numFmtId="0" fontId="0" fillId="9" borderId="3" xfId="0" applyNumberFormat="1" applyFont="1" applyFill="1" applyBorder="1" applyAlignment="1">
      <alignment horizontal="center" vertical="center"/>
    </xf>
    <xf numFmtId="2" fontId="0" fillId="9" borderId="3" xfId="0" applyNumberFormat="1" applyFont="1" applyFill="1" applyBorder="1" applyAlignment="1"/>
    <xf numFmtId="2" fontId="0" fillId="0" borderId="43" xfId="0" applyNumberFormat="1" applyFont="1" applyBorder="1" applyAlignment="1"/>
    <xf numFmtId="2" fontId="0" fillId="13" borderId="3" xfId="0" applyNumberFormat="1" applyFont="1" applyFill="1" applyBorder="1" applyAlignment="1"/>
    <xf numFmtId="49" fontId="0" fillId="19" borderId="44" xfId="0" applyNumberFormat="1" applyFont="1" applyFill="1" applyBorder="1" applyAlignment="1"/>
    <xf numFmtId="2" fontId="0" fillId="0" borderId="45" xfId="0" applyNumberFormat="1" applyFont="1" applyBorder="1" applyAlignment="1"/>
    <xf numFmtId="1" fontId="8" fillId="0" borderId="43" xfId="0" applyNumberFormat="1" applyFont="1" applyBorder="1" applyAlignment="1"/>
    <xf numFmtId="0" fontId="0" fillId="0" borderId="46" xfId="0" applyFont="1" applyBorder="1" applyAlignment="1"/>
    <xf numFmtId="0" fontId="0" fillId="0" borderId="47" xfId="0" applyFont="1" applyBorder="1" applyAlignment="1"/>
    <xf numFmtId="0" fontId="0" fillId="0" borderId="48" xfId="0" applyFont="1" applyBorder="1" applyAlignment="1"/>
    <xf numFmtId="0" fontId="0" fillId="13" borderId="3" xfId="0" applyNumberFormat="1" applyFont="1" applyFill="1" applyBorder="1" applyAlignment="1"/>
    <xf numFmtId="2" fontId="0" fillId="0" borderId="15" xfId="0" applyNumberFormat="1" applyFont="1" applyBorder="1" applyAlignment="1"/>
    <xf numFmtId="49" fontId="10" fillId="0" borderId="3" xfId="0" applyNumberFormat="1" applyFont="1" applyBorder="1" applyAlignment="1"/>
    <xf numFmtId="165" fontId="0" fillId="13" borderId="3" xfId="0" applyNumberFormat="1" applyFont="1" applyFill="1" applyBorder="1" applyAlignment="1"/>
    <xf numFmtId="2" fontId="11" fillId="0" borderId="3" xfId="0" applyNumberFormat="1" applyFont="1" applyBorder="1" applyAlignment="1"/>
    <xf numFmtId="2" fontId="11" fillId="18" borderId="3" xfId="0" applyNumberFormat="1" applyFont="1" applyFill="1" applyBorder="1" applyAlignment="1"/>
    <xf numFmtId="2" fontId="10" fillId="0" borderId="3" xfId="0" applyNumberFormat="1" applyFont="1" applyBorder="1" applyAlignment="1"/>
    <xf numFmtId="2" fontId="10" fillId="18" borderId="3" xfId="0" applyNumberFormat="1" applyFont="1" applyFill="1" applyBorder="1" applyAlignment="1"/>
    <xf numFmtId="0" fontId="0" fillId="18" borderId="3" xfId="0" applyNumberFormat="1" applyFont="1" applyFill="1" applyBorder="1" applyAlignment="1"/>
    <xf numFmtId="49" fontId="12" fillId="0" borderId="3" xfId="0" applyNumberFormat="1" applyFont="1" applyBorder="1" applyAlignment="1"/>
    <xf numFmtId="49" fontId="12" fillId="10" borderId="3" xfId="0" applyNumberFormat="1" applyFont="1" applyFill="1" applyBorder="1" applyAlignment="1">
      <alignment horizontal="center" vertical="center"/>
    </xf>
    <xf numFmtId="49" fontId="8" fillId="0" borderId="3" xfId="0" applyNumberFormat="1" applyFont="1" applyBorder="1" applyAlignment="1"/>
    <xf numFmtId="1" fontId="8" fillId="0" borderId="3" xfId="0" applyNumberFormat="1" applyFont="1" applyBorder="1" applyAlignment="1"/>
    <xf numFmtId="2" fontId="8" fillId="18" borderId="3" xfId="0" applyNumberFormat="1" applyFont="1" applyFill="1" applyBorder="1" applyAlignment="1"/>
    <xf numFmtId="2" fontId="0" fillId="0" borderId="20" xfId="0" applyNumberFormat="1" applyFont="1" applyBorder="1" applyAlignment="1"/>
    <xf numFmtId="0" fontId="0" fillId="13" borderId="3" xfId="0" applyNumberFormat="1" applyFont="1" applyFill="1" applyBorder="1" applyAlignment="1">
      <alignment vertical="center"/>
    </xf>
    <xf numFmtId="165" fontId="8" fillId="0" borderId="3" xfId="0" applyNumberFormat="1" applyFont="1" applyBorder="1" applyAlignment="1"/>
    <xf numFmtId="2" fontId="12" fillId="0" borderId="3" xfId="0" applyNumberFormat="1" applyFont="1" applyBorder="1" applyAlignment="1"/>
    <xf numFmtId="2" fontId="12" fillId="18" borderId="3" xfId="0" applyNumberFormat="1" applyFont="1" applyFill="1" applyBorder="1" applyAlignment="1"/>
    <xf numFmtId="1" fontId="8" fillId="18" borderId="3" xfId="0" applyNumberFormat="1" applyFont="1" applyFill="1" applyBorder="1" applyAlignment="1"/>
    <xf numFmtId="49" fontId="8" fillId="18" borderId="3" xfId="0" applyNumberFormat="1" applyFont="1" applyFill="1" applyBorder="1" applyAlignment="1"/>
    <xf numFmtId="1" fontId="12" fillId="0" borderId="3" xfId="0" applyNumberFormat="1" applyFont="1" applyBorder="1" applyAlignment="1"/>
    <xf numFmtId="2" fontId="8" fillId="0" borderId="3" xfId="0" applyNumberFormat="1" applyFont="1" applyBorder="1" applyAlignment="1"/>
    <xf numFmtId="165" fontId="8" fillId="18" borderId="3" xfId="0" applyNumberFormat="1" applyFont="1" applyFill="1" applyBorder="1" applyAlignment="1"/>
    <xf numFmtId="165" fontId="12" fillId="0" borderId="3" xfId="0" applyNumberFormat="1" applyFont="1" applyBorder="1" applyAlignment="1"/>
    <xf numFmtId="1" fontId="12" fillId="18" borderId="3" xfId="0" applyNumberFormat="1" applyFont="1" applyFill="1" applyBorder="1" applyAlignment="1"/>
    <xf numFmtId="165" fontId="0" fillId="0" borderId="3" xfId="0" applyNumberFormat="1" applyFont="1" applyBorder="1" applyAlignment="1"/>
    <xf numFmtId="1" fontId="0" fillId="0" borderId="3" xfId="0" applyNumberFormat="1" applyFont="1" applyBorder="1" applyAlignment="1"/>
    <xf numFmtId="0" fontId="0" fillId="0" borderId="0" xfId="0" applyNumberFormat="1" applyFont="1" applyAlignment="1"/>
    <xf numFmtId="0" fontId="3" fillId="21" borderId="3" xfId="0" applyNumberFormat="1" applyFont="1" applyFill="1" applyBorder="1" applyAlignment="1"/>
    <xf numFmtId="49" fontId="0" fillId="23" borderId="3" xfId="0" applyNumberFormat="1" applyFont="1" applyFill="1" applyBorder="1" applyAlignment="1"/>
    <xf numFmtId="0" fontId="0" fillId="23" borderId="3" xfId="0" applyNumberFormat="1" applyFont="1" applyFill="1" applyBorder="1" applyAlignment="1"/>
    <xf numFmtId="0" fontId="0" fillId="9" borderId="3" xfId="0" applyNumberFormat="1" applyFont="1" applyFill="1" applyBorder="1" applyAlignment="1">
      <alignment horizontal="center"/>
    </xf>
    <xf numFmtId="0" fontId="0" fillId="0" borderId="0" xfId="0" applyNumberFormat="1" applyFont="1" applyAlignment="1"/>
    <xf numFmtId="0" fontId="0" fillId="10" borderId="11" xfId="0" applyFont="1" applyFill="1" applyBorder="1" applyAlignment="1"/>
    <xf numFmtId="49" fontId="0" fillId="10" borderId="3" xfId="0" applyNumberFormat="1" applyFont="1" applyFill="1" applyBorder="1" applyAlignment="1"/>
    <xf numFmtId="2" fontId="0" fillId="10" borderId="4" xfId="0" applyNumberFormat="1" applyFont="1" applyFill="1" applyBorder="1" applyAlignment="1"/>
    <xf numFmtId="0" fontId="0" fillId="10" borderId="26" xfId="0" applyFont="1" applyFill="1" applyBorder="1" applyAlignment="1"/>
    <xf numFmtId="49" fontId="0" fillId="18" borderId="52" xfId="0" applyNumberFormat="1" applyFont="1" applyFill="1" applyBorder="1" applyAlignment="1"/>
    <xf numFmtId="0" fontId="0" fillId="10" borderId="53" xfId="0" applyFont="1" applyFill="1" applyBorder="1" applyAlignment="1"/>
    <xf numFmtId="0" fontId="0" fillId="10" borderId="1" xfId="0" applyFont="1" applyFill="1" applyBorder="1" applyAlignment="1"/>
    <xf numFmtId="0" fontId="0" fillId="10" borderId="50" xfId="0" applyFont="1" applyFill="1" applyBorder="1" applyAlignment="1"/>
    <xf numFmtId="0" fontId="0" fillId="10" borderId="49" xfId="0" applyFont="1" applyFill="1" applyBorder="1" applyAlignment="1"/>
    <xf numFmtId="0" fontId="0" fillId="10" borderId="54" xfId="0" applyFont="1" applyFill="1" applyBorder="1" applyAlignment="1"/>
    <xf numFmtId="0" fontId="0" fillId="10" borderId="32" xfId="0" applyFont="1" applyFill="1" applyBorder="1" applyAlignment="1"/>
    <xf numFmtId="0" fontId="0" fillId="10" borderId="2" xfId="0" applyFont="1" applyFill="1" applyBorder="1" applyAlignment="1"/>
    <xf numFmtId="49" fontId="12" fillId="22" borderId="3" xfId="0" applyNumberFormat="1" applyFont="1" applyFill="1" applyBorder="1" applyAlignment="1"/>
    <xf numFmtId="0" fontId="0" fillId="10" borderId="33" xfId="0" applyFont="1" applyFill="1" applyBorder="1" applyAlignment="1"/>
    <xf numFmtId="0" fontId="0" fillId="10" borderId="55" xfId="0" applyFont="1" applyFill="1" applyBorder="1" applyAlignment="1"/>
    <xf numFmtId="0" fontId="0" fillId="10" borderId="56" xfId="0" applyFont="1" applyFill="1" applyBorder="1" applyAlignment="1"/>
    <xf numFmtId="0" fontId="0" fillId="10" borderId="4" xfId="0" applyFont="1" applyFill="1" applyBorder="1" applyAlignment="1"/>
    <xf numFmtId="0" fontId="0" fillId="10" borderId="3" xfId="0" applyNumberFormat="1" applyFont="1" applyFill="1" applyBorder="1" applyAlignment="1"/>
    <xf numFmtId="0" fontId="10" fillId="10" borderId="3" xfId="0" applyNumberFormat="1" applyFont="1" applyFill="1" applyBorder="1" applyAlignment="1"/>
    <xf numFmtId="49" fontId="10" fillId="10" borderId="3" xfId="0" applyNumberFormat="1" applyFont="1" applyFill="1" applyBorder="1" applyAlignment="1">
      <alignment horizontal="right"/>
    </xf>
    <xf numFmtId="49" fontId="12" fillId="10" borderId="38" xfId="0" applyNumberFormat="1" applyFont="1" applyFill="1" applyBorder="1" applyAlignment="1"/>
    <xf numFmtId="49" fontId="12" fillId="10" borderId="3" xfId="0" applyNumberFormat="1" applyFont="1" applyFill="1" applyBorder="1" applyAlignment="1"/>
    <xf numFmtId="49" fontId="12" fillId="10" borderId="39" xfId="0" applyNumberFormat="1" applyFont="1" applyFill="1" applyBorder="1" applyAlignment="1"/>
    <xf numFmtId="49" fontId="10" fillId="10" borderId="3" xfId="0" applyNumberFormat="1" applyFont="1" applyFill="1" applyBorder="1" applyAlignment="1"/>
    <xf numFmtId="0" fontId="0" fillId="10" borderId="3" xfId="0" applyFont="1" applyFill="1" applyBorder="1" applyAlignment="1"/>
    <xf numFmtId="2" fontId="0" fillId="10" borderId="3" xfId="0" applyNumberFormat="1" applyFont="1" applyFill="1" applyBorder="1" applyAlignment="1"/>
    <xf numFmtId="2" fontId="0" fillId="10" borderId="39" xfId="0" applyNumberFormat="1" applyFont="1" applyFill="1" applyBorder="1" applyAlignment="1"/>
    <xf numFmtId="2" fontId="8" fillId="10" borderId="3" xfId="0" applyNumberFormat="1" applyFont="1" applyFill="1" applyBorder="1" applyAlignment="1">
      <alignment horizontal="right"/>
    </xf>
    <xf numFmtId="165" fontId="8" fillId="10" borderId="39" xfId="0" applyNumberFormat="1" applyFont="1" applyFill="1" applyBorder="1" applyAlignment="1">
      <alignment horizontal="right"/>
    </xf>
    <xf numFmtId="0" fontId="8" fillId="9" borderId="3" xfId="0" applyNumberFormat="1" applyFont="1" applyFill="1" applyBorder="1" applyAlignment="1">
      <alignment horizontal="center" vertical="center"/>
    </xf>
    <xf numFmtId="1" fontId="0" fillId="9" borderId="3" xfId="0" applyNumberFormat="1" applyFont="1" applyFill="1" applyBorder="1" applyAlignment="1"/>
    <xf numFmtId="1" fontId="0" fillId="13" borderId="3" xfId="0" applyNumberFormat="1" applyFont="1" applyFill="1" applyBorder="1" applyAlignment="1"/>
    <xf numFmtId="2" fontId="8" fillId="18" borderId="3" xfId="0" applyNumberFormat="1" applyFont="1" applyFill="1" applyBorder="1" applyAlignment="1">
      <alignment horizontal="right"/>
    </xf>
    <xf numFmtId="165" fontId="8" fillId="18" borderId="39" xfId="0" applyNumberFormat="1" applyFont="1" applyFill="1" applyBorder="1" applyAlignment="1">
      <alignment horizontal="right"/>
    </xf>
    <xf numFmtId="0" fontId="0" fillId="10" borderId="37" xfId="0" applyFont="1" applyFill="1" applyBorder="1" applyAlignment="1"/>
    <xf numFmtId="0" fontId="0" fillId="10" borderId="15" xfId="0" applyFont="1" applyFill="1" applyBorder="1" applyAlignment="1"/>
    <xf numFmtId="0" fontId="12" fillId="10" borderId="3" xfId="0" applyFont="1" applyFill="1" applyBorder="1" applyAlignment="1"/>
    <xf numFmtId="2" fontId="12" fillId="10" borderId="3" xfId="0" applyNumberFormat="1" applyFont="1" applyFill="1" applyBorder="1" applyAlignment="1"/>
    <xf numFmtId="2" fontId="12" fillId="10" borderId="39" xfId="0" applyNumberFormat="1" applyFont="1" applyFill="1" applyBorder="1" applyAlignment="1"/>
    <xf numFmtId="49" fontId="12" fillId="10" borderId="3" xfId="0" applyNumberFormat="1" applyFont="1" applyFill="1" applyBorder="1" applyAlignment="1">
      <alignment horizontal="left"/>
    </xf>
    <xf numFmtId="0" fontId="12" fillId="10" borderId="3" xfId="0" applyFont="1" applyFill="1" applyBorder="1" applyAlignment="1">
      <alignment horizontal="left"/>
    </xf>
    <xf numFmtId="2" fontId="12" fillId="10" borderId="3" xfId="0" applyNumberFormat="1" applyFont="1" applyFill="1" applyBorder="1" applyAlignment="1">
      <alignment horizontal="right"/>
    </xf>
    <xf numFmtId="165" fontId="12" fillId="10" borderId="39" xfId="0" applyNumberFormat="1" applyFont="1" applyFill="1" applyBorder="1" applyAlignment="1">
      <alignment horizontal="right"/>
    </xf>
    <xf numFmtId="49" fontId="12" fillId="10" borderId="34" xfId="0" applyNumberFormat="1" applyFont="1" applyFill="1" applyBorder="1" applyAlignment="1">
      <alignment horizontal="center"/>
    </xf>
    <xf numFmtId="0" fontId="12" fillId="10" borderId="35" xfId="0" applyNumberFormat="1" applyFont="1" applyFill="1" applyBorder="1" applyAlignment="1"/>
    <xf numFmtId="49" fontId="12" fillId="10" borderId="36" xfId="0" applyNumberFormat="1" applyFont="1" applyFill="1" applyBorder="1" applyAlignment="1"/>
    <xf numFmtId="49" fontId="12" fillId="18" borderId="38" xfId="0" applyNumberFormat="1" applyFont="1" applyFill="1" applyBorder="1" applyAlignment="1"/>
    <xf numFmtId="165" fontId="8" fillId="18" borderId="3" xfId="0" applyNumberFormat="1" applyFont="1" applyFill="1" applyBorder="1" applyAlignment="1">
      <alignment horizontal="right"/>
    </xf>
    <xf numFmtId="165" fontId="0" fillId="10" borderId="3" xfId="0" applyNumberFormat="1" applyFont="1" applyFill="1" applyBorder="1" applyAlignment="1"/>
    <xf numFmtId="165" fontId="0" fillId="10" borderId="39" xfId="0" applyNumberFormat="1" applyFont="1" applyFill="1" applyBorder="1" applyAlignment="1"/>
    <xf numFmtId="165" fontId="8" fillId="10" borderId="3" xfId="0" applyNumberFormat="1" applyFont="1" applyFill="1" applyBorder="1" applyAlignment="1">
      <alignment horizontal="right"/>
    </xf>
    <xf numFmtId="49" fontId="12" fillId="10" borderId="38" xfId="0" applyNumberFormat="1" applyFont="1" applyFill="1" applyBorder="1" applyAlignment="1">
      <alignment vertical="center"/>
    </xf>
    <xf numFmtId="165" fontId="8" fillId="10" borderId="3" xfId="0" applyNumberFormat="1" applyFont="1" applyFill="1" applyBorder="1" applyAlignment="1">
      <alignment horizontal="right" vertical="center"/>
    </xf>
    <xf numFmtId="165" fontId="0" fillId="10" borderId="3" xfId="0" applyNumberFormat="1" applyFont="1" applyFill="1" applyBorder="1" applyAlignment="1">
      <alignment vertical="center"/>
    </xf>
    <xf numFmtId="49" fontId="12" fillId="10" borderId="44" xfId="0" applyNumberFormat="1" applyFont="1" applyFill="1" applyBorder="1" applyAlignment="1"/>
    <xf numFmtId="165" fontId="8" fillId="10" borderId="45" xfId="0" applyNumberFormat="1" applyFont="1" applyFill="1" applyBorder="1" applyAlignment="1">
      <alignment horizontal="right"/>
    </xf>
    <xf numFmtId="165" fontId="0" fillId="10" borderId="45" xfId="0" applyNumberFormat="1" applyFont="1" applyFill="1" applyBorder="1" applyAlignment="1"/>
    <xf numFmtId="2" fontId="12" fillId="10" borderId="45" xfId="0" applyNumberFormat="1" applyFont="1" applyFill="1" applyBorder="1" applyAlignment="1">
      <alignment horizontal="right"/>
    </xf>
    <xf numFmtId="2" fontId="12" fillId="10" borderId="43" xfId="0" applyNumberFormat="1" applyFont="1" applyFill="1" applyBorder="1" applyAlignment="1">
      <alignment horizontal="right"/>
    </xf>
    <xf numFmtId="0" fontId="8" fillId="10" borderId="3" xfId="0" applyNumberFormat="1" applyFont="1" applyFill="1" applyBorder="1" applyAlignment="1">
      <alignment horizontal="right"/>
    </xf>
    <xf numFmtId="1" fontId="8" fillId="10" borderId="39" xfId="0" applyNumberFormat="1" applyFont="1" applyFill="1" applyBorder="1" applyAlignment="1">
      <alignment horizontal="right"/>
    </xf>
    <xf numFmtId="0" fontId="0" fillId="10" borderId="47" xfId="0" applyFont="1" applyFill="1" applyBorder="1" applyAlignment="1"/>
    <xf numFmtId="0" fontId="0" fillId="10" borderId="66" xfId="0" applyFont="1" applyFill="1" applyBorder="1" applyAlignment="1"/>
    <xf numFmtId="165" fontId="12" fillId="10" borderId="43" xfId="0" applyNumberFormat="1" applyFont="1" applyFill="1" applyBorder="1" applyAlignment="1">
      <alignment horizontal="right"/>
    </xf>
    <xf numFmtId="0" fontId="0" fillId="10" borderId="48" xfId="0" applyFont="1" applyFill="1" applyBorder="1" applyAlignment="1"/>
    <xf numFmtId="0" fontId="0" fillId="10" borderId="20" xfId="0" applyFont="1" applyFill="1" applyBorder="1" applyAlignment="1"/>
    <xf numFmtId="0" fontId="12" fillId="10" borderId="3" xfId="0" applyNumberFormat="1" applyFont="1" applyFill="1" applyBorder="1" applyAlignment="1">
      <alignment horizontal="center" vertical="center"/>
    </xf>
    <xf numFmtId="0" fontId="12" fillId="10" borderId="3" xfId="0" applyNumberFormat="1" applyFont="1" applyFill="1" applyBorder="1" applyAlignment="1"/>
    <xf numFmtId="1" fontId="0" fillId="10" borderId="3" xfId="0" applyNumberFormat="1" applyFont="1" applyFill="1" applyBorder="1" applyAlignment="1"/>
    <xf numFmtId="1" fontId="0" fillId="10" borderId="15" xfId="0" applyNumberFormat="1" applyFont="1" applyFill="1" applyBorder="1" applyAlignment="1"/>
    <xf numFmtId="0" fontId="0" fillId="10" borderId="12" xfId="0" applyFont="1" applyFill="1" applyBorder="1" applyAlignment="1"/>
    <xf numFmtId="49" fontId="12" fillId="10" borderId="3" xfId="0" applyNumberFormat="1" applyFont="1" applyFill="1" applyBorder="1" applyAlignment="1">
      <alignment horizontal="center"/>
    </xf>
    <xf numFmtId="0" fontId="12" fillId="10" borderId="3" xfId="0" applyNumberFormat="1" applyFont="1" applyFill="1" applyBorder="1" applyAlignment="1">
      <alignment horizontal="center"/>
    </xf>
    <xf numFmtId="0" fontId="8" fillId="9" borderId="3" xfId="0" applyNumberFormat="1" applyFont="1" applyFill="1" applyBorder="1" applyAlignment="1">
      <alignment horizontal="center"/>
    </xf>
    <xf numFmtId="0" fontId="8" fillId="13" borderId="3" xfId="0" applyNumberFormat="1" applyFont="1" applyFill="1" applyBorder="1" applyAlignment="1">
      <alignment horizontal="center" vertical="center"/>
    </xf>
    <xf numFmtId="0" fontId="0" fillId="0" borderId="0" xfId="0" applyFont="1" applyAlignment="1">
      <alignment horizontal="left" wrapText="1"/>
    </xf>
    <xf numFmtId="0" fontId="0" fillId="0" borderId="0" xfId="0" applyFont="1" applyAlignment="1"/>
    <xf numFmtId="49" fontId="3" fillId="8" borderId="5" xfId="0" applyNumberFormat="1" applyFont="1" applyFill="1" applyBorder="1" applyAlignment="1">
      <alignment horizontal="center" vertical="center"/>
    </xf>
    <xf numFmtId="0" fontId="3" fillId="8" borderId="6" xfId="0" applyFont="1" applyFill="1" applyBorder="1" applyAlignment="1">
      <alignment horizontal="center" vertical="center"/>
    </xf>
    <xf numFmtId="0" fontId="3" fillId="8" borderId="7" xfId="0" applyFont="1" applyFill="1" applyBorder="1" applyAlignment="1">
      <alignment horizontal="center" vertical="center"/>
    </xf>
    <xf numFmtId="0" fontId="0" fillId="0" borderId="13" xfId="0" applyNumberFormat="1" applyFont="1" applyBorder="1" applyAlignment="1">
      <alignment horizontal="center"/>
    </xf>
    <xf numFmtId="0" fontId="0" fillId="0" borderId="14" xfId="0" applyFont="1" applyBorder="1" applyAlignment="1">
      <alignment horizontal="center"/>
    </xf>
    <xf numFmtId="49" fontId="0" fillId="0" borderId="13" xfId="0" applyNumberFormat="1" applyFont="1" applyBorder="1" applyAlignment="1">
      <alignment horizontal="center"/>
    </xf>
    <xf numFmtId="0" fontId="0" fillId="0" borderId="12" xfId="0" applyFont="1" applyBorder="1" applyAlignment="1">
      <alignment horizontal="center"/>
    </xf>
    <xf numFmtId="49" fontId="0" fillId="11" borderId="8" xfId="0" applyNumberFormat="1" applyFont="1" applyFill="1" applyBorder="1" applyAlignment="1">
      <alignment horizontal="center"/>
    </xf>
    <xf numFmtId="0" fontId="0" fillId="11" borderId="9" xfId="0" applyFont="1" applyFill="1" applyBorder="1" applyAlignment="1">
      <alignment horizontal="center"/>
    </xf>
    <xf numFmtId="0" fontId="0" fillId="11" borderId="10" xfId="0" applyFont="1" applyFill="1" applyBorder="1" applyAlignment="1">
      <alignment horizontal="center"/>
    </xf>
    <xf numFmtId="49" fontId="3" fillId="12" borderId="16" xfId="0" applyNumberFormat="1" applyFont="1" applyFill="1" applyBorder="1" applyAlignment="1">
      <alignment horizontal="center" vertical="center"/>
    </xf>
    <xf numFmtId="0" fontId="3" fillId="12" borderId="17" xfId="0" applyFont="1" applyFill="1" applyBorder="1" applyAlignment="1">
      <alignment horizontal="center" vertical="center"/>
    </xf>
    <xf numFmtId="0" fontId="3" fillId="12" borderId="18" xfId="0" applyFont="1" applyFill="1" applyBorder="1" applyAlignment="1">
      <alignment horizontal="center" vertical="center"/>
    </xf>
    <xf numFmtId="49" fontId="0" fillId="0" borderId="3" xfId="0" applyNumberFormat="1" applyFont="1" applyBorder="1" applyAlignment="1">
      <alignment horizontal="center"/>
    </xf>
    <xf numFmtId="0" fontId="0" fillId="0" borderId="3" xfId="0" applyFont="1" applyBorder="1" applyAlignment="1">
      <alignment horizontal="center"/>
    </xf>
    <xf numFmtId="0" fontId="0" fillId="0" borderId="3" xfId="0" applyNumberFormat="1" applyFont="1" applyBorder="1" applyAlignment="1">
      <alignment horizontal="center"/>
    </xf>
    <xf numFmtId="49" fontId="3" fillId="9" borderId="3" xfId="0" applyNumberFormat="1" applyFont="1" applyFill="1" applyBorder="1" applyAlignment="1">
      <alignment horizontal="center"/>
    </xf>
    <xf numFmtId="0" fontId="3" fillId="9" borderId="3" xfId="0" applyFont="1" applyFill="1" applyBorder="1" applyAlignment="1">
      <alignment horizontal="center"/>
    </xf>
    <xf numFmtId="49" fontId="3" fillId="12" borderId="3" xfId="0" applyNumberFormat="1" applyFont="1" applyFill="1" applyBorder="1" applyAlignment="1">
      <alignment horizontal="center" vertical="center"/>
    </xf>
    <xf numFmtId="0" fontId="3" fillId="12" borderId="3" xfId="0" applyFont="1" applyFill="1" applyBorder="1" applyAlignment="1">
      <alignment horizontal="center" vertical="center"/>
    </xf>
    <xf numFmtId="49" fontId="0" fillId="10" borderId="3" xfId="0" applyNumberFormat="1" applyFont="1" applyFill="1" applyBorder="1" applyAlignment="1">
      <alignment horizontal="center" vertical="center" wrapText="1"/>
    </xf>
    <xf numFmtId="0" fontId="0" fillId="10" borderId="3" xfId="0" applyFont="1" applyFill="1" applyBorder="1" applyAlignment="1">
      <alignment horizontal="center" vertical="center" wrapText="1"/>
    </xf>
    <xf numFmtId="0" fontId="0" fillId="10" borderId="3" xfId="0" applyNumberFormat="1" applyFont="1" applyFill="1" applyBorder="1" applyAlignment="1">
      <alignment horizontal="center" vertical="center"/>
    </xf>
    <xf numFmtId="0" fontId="0" fillId="10" borderId="3" xfId="0" applyFont="1" applyFill="1" applyBorder="1" applyAlignment="1">
      <alignment horizontal="center" vertical="center"/>
    </xf>
    <xf numFmtId="49" fontId="3" fillId="13" borderId="3" xfId="0" applyNumberFormat="1" applyFont="1" applyFill="1" applyBorder="1" applyAlignment="1">
      <alignment horizontal="center"/>
    </xf>
    <xf numFmtId="0" fontId="3" fillId="13" borderId="3" xfId="0" applyFont="1" applyFill="1" applyBorder="1" applyAlignment="1">
      <alignment horizontal="center"/>
    </xf>
    <xf numFmtId="0" fontId="0" fillId="10" borderId="19" xfId="0" applyNumberFormat="1"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49" fontId="3" fillId="7" borderId="3" xfId="0" applyNumberFormat="1" applyFont="1" applyFill="1" applyBorder="1" applyAlignment="1">
      <alignment horizontal="center"/>
    </xf>
    <xf numFmtId="0" fontId="3" fillId="7" borderId="3" xfId="0" applyFont="1" applyFill="1" applyBorder="1" applyAlignment="1">
      <alignment horizontal="center"/>
    </xf>
    <xf numFmtId="49" fontId="3" fillId="5" borderId="5" xfId="0" applyNumberFormat="1" applyFont="1" applyFill="1" applyBorder="1" applyAlignment="1">
      <alignment horizontal="center"/>
    </xf>
    <xf numFmtId="0" fontId="3" fillId="5" borderId="7" xfId="0" applyFont="1" applyFill="1" applyBorder="1" applyAlignment="1">
      <alignment horizontal="center"/>
    </xf>
    <xf numFmtId="49" fontId="3" fillId="6" borderId="8" xfId="0" applyNumberFormat="1" applyFont="1" applyFill="1" applyBorder="1" applyAlignment="1">
      <alignment horizontal="center"/>
    </xf>
    <xf numFmtId="0" fontId="3" fillId="6" borderId="10" xfId="0" applyFont="1" applyFill="1" applyBorder="1" applyAlignment="1">
      <alignment horizontal="center"/>
    </xf>
    <xf numFmtId="0" fontId="3" fillId="6" borderId="9" xfId="0" applyFont="1" applyFill="1" applyBorder="1" applyAlignment="1">
      <alignment horizontal="center"/>
    </xf>
    <xf numFmtId="0" fontId="0" fillId="0" borderId="4" xfId="0" applyFont="1" applyBorder="1" applyAlignment="1"/>
    <xf numFmtId="0" fontId="0" fillId="0" borderId="1" xfId="0" applyFont="1" applyBorder="1" applyAlignment="1"/>
    <xf numFmtId="49" fontId="3" fillId="5" borderId="3" xfId="0" applyNumberFormat="1" applyFont="1" applyFill="1" applyBorder="1" applyAlignment="1">
      <alignment horizontal="center"/>
    </xf>
    <xf numFmtId="0" fontId="3" fillId="5" borderId="3" xfId="0" applyFont="1" applyFill="1" applyBorder="1" applyAlignment="1">
      <alignment horizontal="center"/>
    </xf>
    <xf numFmtId="49" fontId="3" fillId="4" borderId="3" xfId="0" applyNumberFormat="1" applyFont="1" applyFill="1" applyBorder="1" applyAlignment="1">
      <alignment horizontal="center"/>
    </xf>
    <xf numFmtId="0" fontId="3" fillId="4" borderId="3" xfId="0" applyFont="1" applyFill="1" applyBorder="1" applyAlignment="1">
      <alignment horizontal="center"/>
    </xf>
    <xf numFmtId="49" fontId="3" fillId="5" borderId="5" xfId="0" applyNumberFormat="1" applyFont="1" applyFill="1" applyBorder="1" applyAlignment="1">
      <alignment horizontal="center" vertical="center"/>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49" fontId="3" fillId="5" borderId="3" xfId="0" applyNumberFormat="1" applyFont="1" applyFill="1" applyBorder="1" applyAlignment="1">
      <alignment horizontal="center" vertical="center"/>
    </xf>
    <xf numFmtId="0" fontId="3" fillId="5" borderId="3" xfId="0" applyFont="1" applyFill="1" applyBorder="1" applyAlignment="1">
      <alignment horizontal="center" vertical="center"/>
    </xf>
    <xf numFmtId="49" fontId="3" fillId="7" borderId="8" xfId="0" applyNumberFormat="1"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49" fontId="3" fillId="8" borderId="5" xfId="0" applyNumberFormat="1"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7" xfId="0" applyFont="1" applyFill="1" applyBorder="1" applyAlignment="1">
      <alignment horizontal="center" vertical="center" wrapText="1"/>
    </xf>
    <xf numFmtId="49" fontId="3" fillId="12" borderId="5" xfId="0" applyNumberFormat="1" applyFont="1" applyFill="1" applyBorder="1" applyAlignment="1">
      <alignment horizontal="center" vertical="center"/>
    </xf>
    <xf numFmtId="0" fontId="3" fillId="12" borderId="6" xfId="0" applyFont="1" applyFill="1" applyBorder="1" applyAlignment="1">
      <alignment horizontal="center" vertical="center"/>
    </xf>
    <xf numFmtId="0" fontId="3" fillId="12" borderId="7" xfId="0" applyFont="1" applyFill="1" applyBorder="1" applyAlignment="1">
      <alignment horizontal="center" vertical="center"/>
    </xf>
    <xf numFmtId="49" fontId="3" fillId="6" borderId="3" xfId="0" applyNumberFormat="1" applyFont="1" applyFill="1" applyBorder="1" applyAlignment="1">
      <alignment horizontal="center"/>
    </xf>
    <xf numFmtId="0" fontId="3" fillId="6" borderId="3" xfId="0" applyFont="1" applyFill="1" applyBorder="1" applyAlignment="1">
      <alignment horizontal="center"/>
    </xf>
    <xf numFmtId="0" fontId="0" fillId="0" borderId="8" xfId="0" applyNumberFormat="1"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10" borderId="19" xfId="0" applyNumberFormat="1" applyFont="1" applyFill="1" applyBorder="1" applyAlignment="1">
      <alignment horizontal="right" vertical="center"/>
    </xf>
    <xf numFmtId="0" fontId="0" fillId="10" borderId="20" xfId="0" applyFont="1" applyFill="1" applyBorder="1" applyAlignment="1">
      <alignment horizontal="right" vertical="center"/>
    </xf>
    <xf numFmtId="0" fontId="0" fillId="10" borderId="21" xfId="0" applyFont="1" applyFill="1" applyBorder="1" applyAlignment="1">
      <alignment horizontal="right" vertical="center"/>
    </xf>
    <xf numFmtId="0" fontId="0" fillId="10" borderId="19" xfId="0" applyNumberFormat="1" applyFont="1" applyFill="1" applyBorder="1" applyAlignment="1">
      <alignment horizontal="right" vertical="center" wrapText="1"/>
    </xf>
    <xf numFmtId="0" fontId="0" fillId="10" borderId="20" xfId="0" applyFont="1" applyFill="1" applyBorder="1" applyAlignment="1">
      <alignment horizontal="right" vertical="center" wrapText="1"/>
    </xf>
    <xf numFmtId="0" fontId="0" fillId="10" borderId="21" xfId="0" applyFont="1" applyFill="1" applyBorder="1" applyAlignment="1">
      <alignment horizontal="right" vertical="center" wrapText="1"/>
    </xf>
    <xf numFmtId="49" fontId="0" fillId="10" borderId="3" xfId="0" applyNumberFormat="1" applyFont="1" applyFill="1" applyBorder="1" applyAlignment="1">
      <alignment horizontal="left" vertical="center" wrapText="1"/>
    </xf>
    <xf numFmtId="0" fontId="0" fillId="10" borderId="3" xfId="0" applyFont="1" applyFill="1" applyBorder="1" applyAlignment="1">
      <alignment horizontal="left" vertical="center" wrapText="1"/>
    </xf>
    <xf numFmtId="0" fontId="0" fillId="10" borderId="19" xfId="0" applyNumberFormat="1" applyFont="1" applyFill="1" applyBorder="1" applyAlignment="1">
      <alignment vertical="center"/>
    </xf>
    <xf numFmtId="0" fontId="0" fillId="10" borderId="20" xfId="0" applyFont="1" applyFill="1" applyBorder="1" applyAlignment="1">
      <alignment vertical="center"/>
    </xf>
    <xf numFmtId="0" fontId="0" fillId="10" borderId="21" xfId="0" applyFont="1" applyFill="1" applyBorder="1" applyAlignment="1">
      <alignment vertical="center"/>
    </xf>
    <xf numFmtId="49" fontId="3" fillId="13" borderId="8" xfId="0" applyNumberFormat="1" applyFont="1" applyFill="1" applyBorder="1" applyAlignment="1">
      <alignment horizontal="center"/>
    </xf>
    <xf numFmtId="0" fontId="3" fillId="13" borderId="10" xfId="0" applyFont="1" applyFill="1" applyBorder="1" applyAlignment="1">
      <alignment horizontal="center"/>
    </xf>
    <xf numFmtId="49" fontId="3" fillId="16" borderId="8" xfId="0" applyNumberFormat="1" applyFont="1" applyFill="1" applyBorder="1" applyAlignment="1">
      <alignment horizontal="center"/>
    </xf>
    <xf numFmtId="0" fontId="3" fillId="16" borderId="9" xfId="0" applyFont="1" applyFill="1" applyBorder="1" applyAlignment="1">
      <alignment horizontal="center"/>
    </xf>
    <xf numFmtId="0" fontId="3" fillId="16" borderId="10" xfId="0" applyFont="1" applyFill="1" applyBorder="1" applyAlignment="1">
      <alignment horizontal="center"/>
    </xf>
    <xf numFmtId="49" fontId="3" fillId="4" borderId="8" xfId="0" applyNumberFormat="1" applyFont="1" applyFill="1" applyBorder="1" applyAlignment="1">
      <alignment horizontal="center"/>
    </xf>
    <xf numFmtId="0" fontId="3" fillId="4" borderId="9" xfId="0" applyFont="1" applyFill="1" applyBorder="1" applyAlignment="1">
      <alignment horizontal="center"/>
    </xf>
    <xf numFmtId="0" fontId="3" fillId="4" borderId="10" xfId="0" applyFont="1" applyFill="1" applyBorder="1" applyAlignment="1">
      <alignment horizontal="center"/>
    </xf>
    <xf numFmtId="49" fontId="3" fillId="14" borderId="5" xfId="0" applyNumberFormat="1" applyFont="1" applyFill="1" applyBorder="1" applyAlignment="1">
      <alignment horizontal="center" vertical="center"/>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49" fontId="3" fillId="15" borderId="8" xfId="0" applyNumberFormat="1" applyFont="1" applyFill="1" applyBorder="1" applyAlignment="1">
      <alignment horizontal="center"/>
    </xf>
    <xf numFmtId="0" fontId="3" fillId="15" borderId="9" xfId="0" applyFont="1" applyFill="1" applyBorder="1" applyAlignment="1">
      <alignment horizontal="center"/>
    </xf>
    <xf numFmtId="0" fontId="3" fillId="15" borderId="10" xfId="0" applyFont="1" applyFill="1" applyBorder="1" applyAlignment="1">
      <alignment horizontal="center"/>
    </xf>
    <xf numFmtId="0" fontId="0" fillId="0" borderId="8" xfId="0" applyFont="1" applyBorder="1" applyAlignment="1">
      <alignment horizontal="center"/>
    </xf>
    <xf numFmtId="49" fontId="3" fillId="14" borderId="8" xfId="0" applyNumberFormat="1" applyFont="1" applyFill="1" applyBorder="1" applyAlignment="1">
      <alignment horizontal="center"/>
    </xf>
    <xf numFmtId="0" fontId="3" fillId="14" borderId="9" xfId="0" applyFont="1" applyFill="1" applyBorder="1" applyAlignment="1">
      <alignment horizontal="center"/>
    </xf>
    <xf numFmtId="0" fontId="3" fillId="14" borderId="10" xfId="0" applyFont="1" applyFill="1" applyBorder="1" applyAlignment="1">
      <alignment horizontal="center"/>
    </xf>
    <xf numFmtId="49" fontId="3" fillId="17" borderId="16" xfId="0" applyNumberFormat="1" applyFont="1" applyFill="1" applyBorder="1" applyAlignment="1">
      <alignment horizontal="center" vertical="center"/>
    </xf>
    <xf numFmtId="0" fontId="3" fillId="17" borderId="17" xfId="0" applyFont="1" applyFill="1" applyBorder="1" applyAlignment="1">
      <alignment horizontal="center" vertical="center"/>
    </xf>
    <xf numFmtId="0" fontId="3" fillId="17" borderId="18" xfId="0" applyFont="1" applyFill="1" applyBorder="1" applyAlignment="1">
      <alignment horizontal="center" vertical="center"/>
    </xf>
    <xf numFmtId="49" fontId="3" fillId="17" borderId="5" xfId="0" applyNumberFormat="1" applyFont="1" applyFill="1" applyBorder="1" applyAlignment="1">
      <alignment horizontal="center" vertical="center"/>
    </xf>
    <xf numFmtId="0" fontId="3" fillId="17" borderId="6" xfId="0" applyFont="1" applyFill="1" applyBorder="1" applyAlignment="1">
      <alignment horizontal="center" vertical="center"/>
    </xf>
    <xf numFmtId="0" fontId="3" fillId="17" borderId="7" xfId="0" applyFont="1" applyFill="1" applyBorder="1" applyAlignment="1">
      <alignment horizontal="center" vertical="center"/>
    </xf>
    <xf numFmtId="49" fontId="12" fillId="10" borderId="3" xfId="0" applyNumberFormat="1" applyFont="1" applyFill="1" applyBorder="1" applyAlignment="1">
      <alignment horizontal="center" vertical="center"/>
    </xf>
    <xf numFmtId="0" fontId="12" fillId="10" borderId="3" xfId="0" applyFont="1" applyFill="1" applyBorder="1" applyAlignment="1">
      <alignment horizontal="center" vertical="center"/>
    </xf>
    <xf numFmtId="49" fontId="12" fillId="0" borderId="13" xfId="0" applyNumberFormat="1" applyFont="1" applyBorder="1" applyAlignment="1">
      <alignment horizontal="center"/>
    </xf>
    <xf numFmtId="0" fontId="12" fillId="0" borderId="12" xfId="0" applyFont="1" applyBorder="1" applyAlignment="1">
      <alignment horizontal="center"/>
    </xf>
    <xf numFmtId="0" fontId="12" fillId="0" borderId="14" xfId="0" applyFont="1" applyBorder="1" applyAlignment="1">
      <alignment horizontal="center"/>
    </xf>
    <xf numFmtId="49" fontId="0" fillId="0" borderId="32" xfId="0" applyNumberFormat="1" applyFont="1" applyBorder="1" applyAlignment="1">
      <alignment horizontal="center"/>
    </xf>
    <xf numFmtId="0" fontId="0" fillId="0" borderId="32" xfId="0" applyFont="1" applyBorder="1" applyAlignment="1">
      <alignment horizontal="center"/>
    </xf>
    <xf numFmtId="49" fontId="12" fillId="0" borderId="3" xfId="0" applyNumberFormat="1" applyFont="1" applyBorder="1" applyAlignment="1">
      <alignment horizontal="center"/>
    </xf>
    <xf numFmtId="0" fontId="12" fillId="0" borderId="3" xfId="0" applyFont="1" applyBorder="1" applyAlignment="1">
      <alignment horizontal="center"/>
    </xf>
    <xf numFmtId="2" fontId="11" fillId="10" borderId="19" xfId="0" applyNumberFormat="1" applyFont="1" applyFill="1" applyBorder="1" applyAlignment="1">
      <alignment horizontal="right" vertical="center"/>
    </xf>
    <xf numFmtId="0" fontId="11" fillId="10" borderId="20" xfId="0" applyFont="1" applyFill="1" applyBorder="1" applyAlignment="1">
      <alignment horizontal="right" vertical="center"/>
    </xf>
    <xf numFmtId="0" fontId="11" fillId="10" borderId="21" xfId="0" applyFont="1" applyFill="1" applyBorder="1" applyAlignment="1">
      <alignment horizontal="right" vertical="center"/>
    </xf>
    <xf numFmtId="49" fontId="11" fillId="18" borderId="3" xfId="0" applyNumberFormat="1" applyFont="1" applyFill="1" applyBorder="1" applyAlignment="1">
      <alignment horizontal="center"/>
    </xf>
    <xf numFmtId="0" fontId="11" fillId="18" borderId="3" xfId="0" applyFont="1" applyFill="1" applyBorder="1" applyAlignment="1">
      <alignment horizontal="center"/>
    </xf>
    <xf numFmtId="49" fontId="11" fillId="0" borderId="3" xfId="0" applyNumberFormat="1" applyFont="1" applyBorder="1" applyAlignment="1">
      <alignment horizontal="center"/>
    </xf>
    <xf numFmtId="0" fontId="11" fillId="0" borderId="3" xfId="0" applyFont="1" applyBorder="1" applyAlignment="1">
      <alignment horizontal="center"/>
    </xf>
    <xf numFmtId="49" fontId="11" fillId="0" borderId="13" xfId="0" applyNumberFormat="1" applyFont="1" applyBorder="1" applyAlignment="1">
      <alignment horizontal="center"/>
    </xf>
    <xf numFmtId="0" fontId="11" fillId="0" borderId="14" xfId="0" applyFont="1" applyBorder="1" applyAlignment="1">
      <alignment horizontal="center"/>
    </xf>
    <xf numFmtId="49" fontId="10" fillId="0" borderId="13" xfId="0" applyNumberFormat="1" applyFont="1" applyBorder="1" applyAlignment="1">
      <alignment horizontal="center"/>
    </xf>
    <xf numFmtId="0" fontId="10" fillId="0" borderId="14" xfId="0" applyFont="1" applyBorder="1" applyAlignment="1">
      <alignment horizontal="center"/>
    </xf>
    <xf numFmtId="49" fontId="11" fillId="10" borderId="23" xfId="0" applyNumberFormat="1" applyFont="1" applyFill="1" applyBorder="1" applyAlignment="1">
      <alignment horizontal="center" vertical="center"/>
    </xf>
    <xf numFmtId="0" fontId="11" fillId="10" borderId="22" xfId="0" applyFont="1" applyFill="1" applyBorder="1" applyAlignment="1">
      <alignment horizontal="center" vertical="center"/>
    </xf>
    <xf numFmtId="0" fontId="11" fillId="10" borderId="4" xfId="0" applyFont="1" applyFill="1" applyBorder="1" applyAlignment="1">
      <alignment horizontal="center" vertical="center"/>
    </xf>
    <xf numFmtId="0" fontId="11" fillId="10" borderId="11" xfId="0" applyFont="1" applyFill="1" applyBorder="1" applyAlignment="1">
      <alignment horizontal="center" vertical="center"/>
    </xf>
    <xf numFmtId="0" fontId="11" fillId="10" borderId="49" xfId="0" applyFont="1" applyFill="1" applyBorder="1" applyAlignment="1">
      <alignment horizontal="center" vertical="center"/>
    </xf>
    <xf numFmtId="0" fontId="11" fillId="10" borderId="50" xfId="0" applyFont="1" applyFill="1" applyBorder="1" applyAlignment="1">
      <alignment horizontal="center" vertical="center"/>
    </xf>
    <xf numFmtId="49" fontId="10" fillId="10" borderId="23" xfId="0" applyNumberFormat="1" applyFont="1" applyFill="1" applyBorder="1" applyAlignment="1">
      <alignment horizontal="center" vertical="center"/>
    </xf>
    <xf numFmtId="0" fontId="10" fillId="10" borderId="22" xfId="0" applyFont="1" applyFill="1" applyBorder="1" applyAlignment="1">
      <alignment horizontal="center" vertical="center"/>
    </xf>
    <xf numFmtId="0" fontId="10" fillId="10" borderId="49" xfId="0" applyFont="1" applyFill="1" applyBorder="1" applyAlignment="1">
      <alignment horizontal="center" vertical="center"/>
    </xf>
    <xf numFmtId="0" fontId="10" fillId="10" borderId="50" xfId="0" applyFont="1" applyFill="1" applyBorder="1" applyAlignment="1">
      <alignment horizontal="center" vertical="center"/>
    </xf>
    <xf numFmtId="49" fontId="10" fillId="10" borderId="3" xfId="0" applyNumberFormat="1" applyFont="1" applyFill="1" applyBorder="1" applyAlignment="1">
      <alignment horizontal="center" vertical="center" wrapText="1"/>
    </xf>
    <xf numFmtId="0" fontId="10" fillId="10" borderId="3" xfId="0" applyFont="1" applyFill="1" applyBorder="1" applyAlignment="1">
      <alignment horizontal="center" vertical="center" wrapText="1"/>
    </xf>
    <xf numFmtId="49" fontId="10" fillId="0" borderId="3" xfId="0" applyNumberFormat="1" applyFont="1" applyBorder="1" applyAlignment="1">
      <alignment horizontal="center"/>
    </xf>
    <xf numFmtId="0" fontId="10" fillId="0" borderId="3" xfId="0" applyFont="1" applyBorder="1" applyAlignment="1">
      <alignment horizontal="center"/>
    </xf>
    <xf numFmtId="49" fontId="11" fillId="0" borderId="8" xfId="0" applyNumberFormat="1" applyFont="1" applyBorder="1" applyAlignment="1">
      <alignment horizontal="center"/>
    </xf>
    <xf numFmtId="0" fontId="11" fillId="0" borderId="10" xfId="0" applyFont="1" applyBorder="1" applyAlignment="1">
      <alignment horizontal="center"/>
    </xf>
    <xf numFmtId="49" fontId="10" fillId="10" borderId="19" xfId="0" applyNumberFormat="1" applyFont="1" applyFill="1" applyBorder="1" applyAlignment="1">
      <alignment horizontal="center" vertical="center" wrapText="1"/>
    </xf>
    <xf numFmtId="0" fontId="10" fillId="10" borderId="20" xfId="0" applyFont="1" applyFill="1" applyBorder="1" applyAlignment="1">
      <alignment horizontal="center" vertical="center" wrapText="1"/>
    </xf>
    <xf numFmtId="0" fontId="10" fillId="10" borderId="21" xfId="0" applyFont="1" applyFill="1" applyBorder="1" applyAlignment="1">
      <alignment horizontal="center" vertical="center" wrapText="1"/>
    </xf>
    <xf numFmtId="49" fontId="0" fillId="23" borderId="5" xfId="0" applyNumberFormat="1" applyFont="1" applyFill="1" applyBorder="1" applyAlignment="1">
      <alignment horizontal="center" vertical="center"/>
    </xf>
    <xf numFmtId="0" fontId="0" fillId="23" borderId="6" xfId="0" applyFont="1" applyFill="1" applyBorder="1" applyAlignment="1">
      <alignment horizontal="center" vertical="center"/>
    </xf>
    <xf numFmtId="0" fontId="0" fillId="23" borderId="7" xfId="0" applyFont="1" applyFill="1" applyBorder="1" applyAlignment="1">
      <alignment horizontal="center" vertical="center"/>
    </xf>
    <xf numFmtId="0" fontId="0" fillId="6" borderId="5" xfId="0" applyNumberFormat="1" applyFont="1" applyFill="1" applyBorder="1" applyAlignment="1">
      <alignment horizontal="center" vertical="center"/>
    </xf>
    <xf numFmtId="0" fontId="0" fillId="6" borderId="6" xfId="0" applyFont="1" applyFill="1" applyBorder="1" applyAlignment="1">
      <alignment horizontal="center" vertical="center"/>
    </xf>
    <xf numFmtId="0" fontId="0" fillId="6" borderId="7" xfId="0" applyFont="1" applyFill="1" applyBorder="1" applyAlignment="1">
      <alignment horizontal="center" vertical="center"/>
    </xf>
    <xf numFmtId="0" fontId="0" fillId="13" borderId="3" xfId="0" applyNumberFormat="1" applyFont="1" applyFill="1" applyBorder="1" applyAlignment="1">
      <alignment horizontal="center" vertical="center"/>
    </xf>
    <xf numFmtId="0" fontId="0" fillId="13" borderId="3" xfId="0" applyFont="1" applyFill="1" applyBorder="1" applyAlignment="1">
      <alignment horizontal="center" vertical="center"/>
    </xf>
    <xf numFmtId="49" fontId="3" fillId="21" borderId="28" xfId="0" applyNumberFormat="1" applyFont="1" applyFill="1" applyBorder="1" applyAlignment="1">
      <alignment horizontal="center" vertical="center"/>
    </xf>
    <xf numFmtId="0" fontId="3" fillId="21" borderId="29" xfId="0" applyFont="1" applyFill="1" applyBorder="1" applyAlignment="1">
      <alignment horizontal="center" vertical="center"/>
    </xf>
    <xf numFmtId="0" fontId="3" fillId="21" borderId="30" xfId="0" applyFont="1" applyFill="1" applyBorder="1" applyAlignment="1">
      <alignment horizontal="center" vertical="center"/>
    </xf>
    <xf numFmtId="0" fontId="3" fillId="21" borderId="31" xfId="0" applyFont="1" applyFill="1" applyBorder="1" applyAlignment="1">
      <alignment horizontal="center" vertical="center"/>
    </xf>
    <xf numFmtId="49" fontId="0" fillId="23" borderId="16" xfId="0" applyNumberFormat="1" applyFont="1" applyFill="1" applyBorder="1" applyAlignment="1">
      <alignment horizontal="center" vertical="center"/>
    </xf>
    <xf numFmtId="0" fontId="0" fillId="23" borderId="17" xfId="0" applyFont="1" applyFill="1" applyBorder="1" applyAlignment="1">
      <alignment horizontal="center" vertical="center"/>
    </xf>
    <xf numFmtId="49" fontId="0" fillId="22" borderId="40" xfId="0" applyNumberFormat="1" applyFont="1" applyFill="1" applyBorder="1" applyAlignment="1">
      <alignment horizontal="center"/>
    </xf>
    <xf numFmtId="0" fontId="0" fillId="22" borderId="10" xfId="0" applyFont="1" applyFill="1" applyBorder="1" applyAlignment="1">
      <alignment horizontal="center"/>
    </xf>
    <xf numFmtId="49" fontId="0" fillId="22" borderId="41" xfId="0" applyNumberFormat="1" applyFont="1" applyFill="1" applyBorder="1" applyAlignment="1">
      <alignment horizontal="center"/>
    </xf>
    <xf numFmtId="0" fontId="0" fillId="22" borderId="42" xfId="0" applyFont="1" applyFill="1" applyBorder="1" applyAlignment="1">
      <alignment horizontal="center"/>
    </xf>
    <xf numFmtId="2" fontId="0" fillId="18" borderId="5" xfId="0" applyNumberFormat="1" applyFont="1" applyFill="1" applyBorder="1" applyAlignment="1">
      <alignment horizontal="center" vertical="center"/>
    </xf>
    <xf numFmtId="2" fontId="0" fillId="18" borderId="7" xfId="0" applyNumberFormat="1" applyFont="1" applyFill="1" applyBorder="1" applyAlignment="1">
      <alignment horizontal="center" vertical="center"/>
    </xf>
    <xf numFmtId="2" fontId="11" fillId="18" borderId="5" xfId="0" applyNumberFormat="1" applyFont="1" applyFill="1" applyBorder="1" applyAlignment="1">
      <alignment horizontal="right" vertical="center"/>
    </xf>
    <xf numFmtId="2" fontId="11" fillId="18" borderId="6" xfId="0" applyNumberFormat="1" applyFont="1" applyFill="1" applyBorder="1" applyAlignment="1">
      <alignment horizontal="right" vertical="center"/>
    </xf>
    <xf numFmtId="2" fontId="11" fillId="18" borderId="7" xfId="0" applyNumberFormat="1" applyFont="1" applyFill="1" applyBorder="1" applyAlignment="1">
      <alignment horizontal="right" vertical="center"/>
    </xf>
    <xf numFmtId="0" fontId="10" fillId="10" borderId="19" xfId="0" applyNumberFormat="1" applyFont="1" applyFill="1" applyBorder="1" applyAlignment="1">
      <alignment horizontal="right" vertical="center"/>
    </xf>
    <xf numFmtId="0" fontId="10" fillId="10" borderId="21" xfId="0" applyFont="1" applyFill="1" applyBorder="1" applyAlignment="1">
      <alignment horizontal="right" vertical="center"/>
    </xf>
    <xf numFmtId="2" fontId="10" fillId="18" borderId="5" xfId="0" applyNumberFormat="1" applyFont="1" applyFill="1" applyBorder="1" applyAlignment="1">
      <alignment horizontal="right" vertical="center"/>
    </xf>
    <xf numFmtId="0" fontId="10" fillId="18" borderId="7" xfId="0" applyFont="1" applyFill="1" applyBorder="1" applyAlignment="1">
      <alignment horizontal="right" vertical="center"/>
    </xf>
    <xf numFmtId="49" fontId="9" fillId="0" borderId="3" xfId="0" applyNumberFormat="1" applyFont="1" applyBorder="1" applyAlignment="1">
      <alignment horizontal="center"/>
    </xf>
    <xf numFmtId="0" fontId="9" fillId="0" borderId="3" xfId="0" applyFont="1" applyBorder="1" applyAlignment="1">
      <alignment horizontal="center"/>
    </xf>
    <xf numFmtId="0" fontId="0" fillId="23" borderId="51" xfId="0" applyFont="1" applyFill="1" applyBorder="1" applyAlignment="1">
      <alignment horizontal="center" vertical="center"/>
    </xf>
    <xf numFmtId="0" fontId="0" fillId="13" borderId="5" xfId="0" applyNumberFormat="1" applyFont="1" applyFill="1" applyBorder="1" applyAlignment="1">
      <alignment horizontal="center" vertical="center"/>
    </xf>
    <xf numFmtId="0" fontId="0" fillId="13" borderId="6" xfId="0" applyFont="1" applyFill="1" applyBorder="1" applyAlignment="1">
      <alignment horizontal="center" vertical="center"/>
    </xf>
    <xf numFmtId="0" fontId="0" fillId="13" borderId="7" xfId="0" applyFont="1" applyFill="1" applyBorder="1" applyAlignment="1">
      <alignment horizontal="center" vertical="center"/>
    </xf>
    <xf numFmtId="49" fontId="3" fillId="21" borderId="3" xfId="0" applyNumberFormat="1" applyFont="1" applyFill="1" applyBorder="1" applyAlignment="1">
      <alignment horizontal="center" vertical="center"/>
    </xf>
    <xf numFmtId="0" fontId="3" fillId="21" borderId="3" xfId="0" applyFont="1" applyFill="1" applyBorder="1" applyAlignment="1">
      <alignment horizontal="center" vertical="center"/>
    </xf>
    <xf numFmtId="49" fontId="10" fillId="10" borderId="3" xfId="0" applyNumberFormat="1" applyFont="1" applyFill="1" applyBorder="1" applyAlignment="1">
      <alignment horizontal="center"/>
    </xf>
    <xf numFmtId="0" fontId="10" fillId="10" borderId="3" xfId="0" applyFont="1" applyFill="1" applyBorder="1" applyAlignment="1">
      <alignment horizontal="center"/>
    </xf>
    <xf numFmtId="49" fontId="10" fillId="10" borderId="3" xfId="0" applyNumberFormat="1" applyFont="1" applyFill="1" applyBorder="1" applyAlignment="1">
      <alignment horizontal="left" vertical="center"/>
    </xf>
    <xf numFmtId="0" fontId="10" fillId="10" borderId="3" xfId="0" applyFont="1" applyFill="1" applyBorder="1" applyAlignment="1">
      <alignment horizontal="left" vertical="center"/>
    </xf>
    <xf numFmtId="0" fontId="11" fillId="10" borderId="3" xfId="0" applyNumberFormat="1" applyFont="1" applyFill="1" applyBorder="1" applyAlignment="1">
      <alignment horizontal="right" vertical="center"/>
    </xf>
    <xf numFmtId="0" fontId="11" fillId="10" borderId="3" xfId="0" applyFont="1" applyFill="1" applyBorder="1" applyAlignment="1">
      <alignment horizontal="right" vertical="center"/>
    </xf>
    <xf numFmtId="49" fontId="8" fillId="18" borderId="8" xfId="0" applyNumberFormat="1" applyFont="1" applyFill="1" applyBorder="1" applyAlignment="1">
      <alignment horizontal="left"/>
    </xf>
    <xf numFmtId="0" fontId="8" fillId="18" borderId="10" xfId="0" applyFont="1" applyFill="1" applyBorder="1" applyAlignment="1">
      <alignment horizontal="left"/>
    </xf>
    <xf numFmtId="49" fontId="12" fillId="10" borderId="38" xfId="0" applyNumberFormat="1" applyFont="1" applyFill="1" applyBorder="1" applyAlignment="1">
      <alignment horizontal="center" vertical="center" wrapText="1"/>
    </xf>
    <xf numFmtId="0" fontId="12" fillId="10" borderId="38" xfId="0" applyFont="1" applyFill="1" applyBorder="1" applyAlignment="1">
      <alignment horizontal="center" vertical="center" wrapText="1"/>
    </xf>
    <xf numFmtId="0" fontId="12" fillId="10" borderId="44" xfId="0" applyFont="1" applyFill="1" applyBorder="1" applyAlignment="1">
      <alignment horizontal="center" vertical="center" wrapText="1"/>
    </xf>
    <xf numFmtId="49" fontId="8" fillId="10" borderId="3" xfId="0" applyNumberFormat="1" applyFont="1" applyFill="1" applyBorder="1" applyAlignment="1">
      <alignment horizontal="left"/>
    </xf>
    <xf numFmtId="0" fontId="8" fillId="10" borderId="3" xfId="0" applyFont="1" applyFill="1" applyBorder="1" applyAlignment="1">
      <alignment horizontal="left"/>
    </xf>
    <xf numFmtId="49" fontId="12" fillId="10" borderId="57" xfId="0" applyNumberFormat="1" applyFont="1" applyFill="1" applyBorder="1" applyAlignment="1">
      <alignment horizontal="center"/>
    </xf>
    <xf numFmtId="0" fontId="12" fillId="10" borderId="12" xfId="0" applyFont="1" applyFill="1" applyBorder="1" applyAlignment="1">
      <alignment horizontal="center"/>
    </xf>
    <xf numFmtId="0" fontId="12" fillId="10" borderId="58" xfId="0" applyFont="1" applyFill="1" applyBorder="1" applyAlignment="1">
      <alignment horizontal="center"/>
    </xf>
    <xf numFmtId="49" fontId="8" fillId="10" borderId="13" xfId="0" applyNumberFormat="1" applyFont="1" applyFill="1" applyBorder="1" applyAlignment="1">
      <alignment horizontal="left"/>
    </xf>
    <xf numFmtId="0" fontId="8" fillId="10" borderId="14" xfId="0" applyFont="1" applyFill="1" applyBorder="1" applyAlignment="1">
      <alignment horizontal="left"/>
    </xf>
    <xf numFmtId="49" fontId="12" fillId="10" borderId="64" xfId="0" applyNumberFormat="1" applyFont="1" applyFill="1" applyBorder="1" applyAlignment="1">
      <alignment horizontal="left"/>
    </xf>
    <xf numFmtId="0" fontId="12" fillId="10" borderId="65" xfId="0" applyFont="1" applyFill="1" applyBorder="1" applyAlignment="1">
      <alignment horizontal="left"/>
    </xf>
    <xf numFmtId="0" fontId="12" fillId="10" borderId="34" xfId="0" applyNumberFormat="1" applyFont="1" applyFill="1" applyBorder="1" applyAlignment="1">
      <alignment horizontal="center"/>
    </xf>
    <xf numFmtId="0" fontId="12" fillId="10" borderId="35" xfId="0" applyFont="1" applyFill="1" applyBorder="1" applyAlignment="1">
      <alignment horizontal="center"/>
    </xf>
    <xf numFmtId="0" fontId="12" fillId="10" borderId="36" xfId="0" applyFont="1" applyFill="1" applyBorder="1" applyAlignment="1">
      <alignment horizontal="center"/>
    </xf>
    <xf numFmtId="49" fontId="12" fillId="10" borderId="13" xfId="0" applyNumberFormat="1" applyFont="1" applyFill="1" applyBorder="1" applyAlignment="1">
      <alignment horizontal="center"/>
    </xf>
    <xf numFmtId="0" fontId="12" fillId="10" borderId="14" xfId="0" applyFont="1" applyFill="1" applyBorder="1" applyAlignment="1">
      <alignment horizontal="center"/>
    </xf>
    <xf numFmtId="49" fontId="12" fillId="10" borderId="59" xfId="0" applyNumberFormat="1" applyFont="1" applyFill="1" applyBorder="1" applyAlignment="1">
      <alignment horizontal="center" vertical="center" wrapText="1"/>
    </xf>
    <xf numFmtId="0" fontId="12" fillId="10" borderId="56" xfId="0" applyFont="1" applyFill="1" applyBorder="1" applyAlignment="1">
      <alignment horizontal="center" vertical="center" wrapText="1"/>
    </xf>
    <xf numFmtId="0" fontId="12" fillId="10" borderId="60" xfId="0" applyFont="1" applyFill="1" applyBorder="1" applyAlignment="1">
      <alignment horizontal="center" vertical="center" wrapText="1"/>
    </xf>
    <xf numFmtId="49" fontId="8" fillId="10" borderId="23" xfId="0" applyNumberFormat="1" applyFont="1" applyFill="1" applyBorder="1" applyAlignment="1">
      <alignment horizontal="left" vertical="center"/>
    </xf>
    <xf numFmtId="0" fontId="8" fillId="10" borderId="22" xfId="0" applyFont="1" applyFill="1" applyBorder="1" applyAlignment="1">
      <alignment horizontal="left" vertical="center"/>
    </xf>
    <xf numFmtId="0" fontId="8" fillId="10" borderId="4" xfId="0" applyFont="1" applyFill="1" applyBorder="1" applyAlignment="1">
      <alignment horizontal="left" vertical="center"/>
    </xf>
    <xf numFmtId="0" fontId="8" fillId="10" borderId="11" xfId="0" applyFont="1" applyFill="1" applyBorder="1" applyAlignment="1">
      <alignment horizontal="left" vertical="center"/>
    </xf>
    <xf numFmtId="0" fontId="8" fillId="10" borderId="49" xfId="0" applyFont="1" applyFill="1" applyBorder="1" applyAlignment="1">
      <alignment horizontal="left" vertical="center"/>
    </xf>
    <xf numFmtId="0" fontId="8" fillId="10" borderId="50" xfId="0" applyFont="1" applyFill="1" applyBorder="1" applyAlignment="1">
      <alignment horizontal="left" vertical="center"/>
    </xf>
    <xf numFmtId="2" fontId="8" fillId="10" borderId="19" xfId="0" applyNumberFormat="1" applyFont="1" applyFill="1" applyBorder="1" applyAlignment="1">
      <alignment horizontal="right" vertical="center"/>
    </xf>
    <xf numFmtId="2" fontId="8" fillId="10" borderId="20" xfId="0" applyNumberFormat="1" applyFont="1" applyFill="1" applyBorder="1" applyAlignment="1">
      <alignment horizontal="right" vertical="center"/>
    </xf>
    <xf numFmtId="2" fontId="8" fillId="10" borderId="21" xfId="0" applyNumberFormat="1" applyFont="1" applyFill="1" applyBorder="1" applyAlignment="1">
      <alignment horizontal="right" vertical="center"/>
    </xf>
    <xf numFmtId="165" fontId="8" fillId="10" borderId="61" xfId="0" applyNumberFormat="1" applyFont="1" applyFill="1" applyBorder="1" applyAlignment="1">
      <alignment horizontal="right" vertical="center"/>
    </xf>
    <xf numFmtId="165" fontId="8" fillId="10" borderId="33" xfId="0" applyNumberFormat="1" applyFont="1" applyFill="1" applyBorder="1" applyAlignment="1">
      <alignment horizontal="right" vertical="center"/>
    </xf>
    <xf numFmtId="165" fontId="8" fillId="10" borderId="62" xfId="0" applyNumberFormat="1" applyFont="1" applyFill="1" applyBorder="1" applyAlignment="1">
      <alignment horizontal="right" vertical="center"/>
    </xf>
    <xf numFmtId="49" fontId="12" fillId="10" borderId="23" xfId="0" applyNumberFormat="1" applyFont="1" applyFill="1" applyBorder="1" applyAlignment="1">
      <alignment horizontal="left" vertical="center" wrapText="1"/>
    </xf>
    <xf numFmtId="0" fontId="12" fillId="10" borderId="22" xfId="0" applyFont="1" applyFill="1" applyBorder="1" applyAlignment="1">
      <alignment horizontal="left" vertical="center" wrapText="1"/>
    </xf>
    <xf numFmtId="0" fontId="12" fillId="10" borderId="49" xfId="0" applyFont="1" applyFill="1" applyBorder="1" applyAlignment="1">
      <alignment horizontal="left" vertical="center" wrapText="1"/>
    </xf>
    <xf numFmtId="0" fontId="12" fillId="10" borderId="50" xfId="0" applyFont="1" applyFill="1" applyBorder="1" applyAlignment="1">
      <alignment horizontal="left" vertical="center" wrapText="1"/>
    </xf>
    <xf numFmtId="2" fontId="12" fillId="10" borderId="19" xfId="0" applyNumberFormat="1" applyFont="1" applyFill="1" applyBorder="1" applyAlignment="1">
      <alignment horizontal="right" vertical="center"/>
    </xf>
    <xf numFmtId="2" fontId="12" fillId="10" borderId="21" xfId="0" applyNumberFormat="1" applyFont="1" applyFill="1" applyBorder="1" applyAlignment="1">
      <alignment horizontal="right" vertical="center"/>
    </xf>
    <xf numFmtId="165" fontId="12" fillId="10" borderId="61" xfId="0" applyNumberFormat="1" applyFont="1" applyFill="1" applyBorder="1" applyAlignment="1">
      <alignment horizontal="right" vertical="center"/>
    </xf>
    <xf numFmtId="165" fontId="12" fillId="10" borderId="62" xfId="0" applyNumberFormat="1" applyFont="1" applyFill="1" applyBorder="1" applyAlignment="1">
      <alignment horizontal="right" vertical="center"/>
    </xf>
    <xf numFmtId="0" fontId="12" fillId="10" borderId="63" xfId="0" applyFont="1" applyFill="1" applyBorder="1" applyAlignment="1">
      <alignment horizontal="center" vertical="center" wrapText="1"/>
    </xf>
    <xf numFmtId="2" fontId="8" fillId="10" borderId="61" xfId="0" applyNumberFormat="1" applyFont="1" applyFill="1" applyBorder="1" applyAlignment="1">
      <alignment horizontal="right" vertical="center"/>
    </xf>
    <xf numFmtId="2" fontId="8" fillId="10" borderId="33" xfId="0" applyNumberFormat="1" applyFont="1" applyFill="1" applyBorder="1" applyAlignment="1">
      <alignment horizontal="right" vertical="center"/>
    </xf>
    <xf numFmtId="2" fontId="8" fillId="10" borderId="62" xfId="0" applyNumberFormat="1" applyFont="1" applyFill="1" applyBorder="1" applyAlignment="1">
      <alignment horizontal="right" vertical="center"/>
    </xf>
    <xf numFmtId="0" fontId="8" fillId="10" borderId="3" xfId="0" applyNumberFormat="1" applyFont="1" applyFill="1" applyBorder="1" applyAlignment="1">
      <alignment horizontal="center"/>
    </xf>
    <xf numFmtId="0" fontId="8" fillId="10" borderId="3" xfId="0" applyFont="1" applyFill="1" applyBorder="1" applyAlignment="1">
      <alignment horizontal="center"/>
    </xf>
    <xf numFmtId="2" fontId="8" fillId="10" borderId="13" xfId="0" applyNumberFormat="1" applyFont="1" applyFill="1" applyBorder="1" applyAlignment="1">
      <alignment horizontal="center"/>
    </xf>
    <xf numFmtId="2" fontId="8" fillId="10" borderId="14" xfId="0" applyNumberFormat="1" applyFont="1" applyFill="1" applyBorder="1" applyAlignment="1">
      <alignment horizontal="center"/>
    </xf>
    <xf numFmtId="0" fontId="8" fillId="6" borderId="5" xfId="0" applyNumberFormat="1" applyFont="1" applyFill="1" applyBorder="1" applyAlignment="1">
      <alignment horizontal="center" vertical="center"/>
    </xf>
    <xf numFmtId="0" fontId="8" fillId="6" borderId="6" xfId="0" applyFont="1" applyFill="1" applyBorder="1" applyAlignment="1">
      <alignment horizontal="center" vertical="center"/>
    </xf>
    <xf numFmtId="0" fontId="8" fillId="6" borderId="7" xfId="0" applyFont="1" applyFill="1" applyBorder="1" applyAlignment="1">
      <alignment horizontal="center" vertical="center"/>
    </xf>
    <xf numFmtId="2" fontId="12" fillId="10" borderId="61" xfId="0" applyNumberFormat="1" applyFont="1" applyFill="1" applyBorder="1" applyAlignment="1">
      <alignment horizontal="right" vertical="center"/>
    </xf>
    <xf numFmtId="2" fontId="12" fillId="10" borderId="62" xfId="0" applyNumberFormat="1" applyFont="1" applyFill="1" applyBorder="1" applyAlignment="1">
      <alignment horizontal="right" vertical="center"/>
    </xf>
    <xf numFmtId="0" fontId="8" fillId="13" borderId="5" xfId="0" applyNumberFormat="1" applyFont="1" applyFill="1" applyBorder="1" applyAlignment="1">
      <alignment horizontal="center" vertical="center"/>
    </xf>
    <xf numFmtId="0" fontId="8" fillId="13" borderId="6" xfId="0" applyFont="1" applyFill="1" applyBorder="1" applyAlignment="1">
      <alignment horizontal="center" vertical="center"/>
    </xf>
    <xf numFmtId="0" fontId="8" fillId="13" borderId="7" xfId="0" applyFont="1" applyFill="1" applyBorder="1" applyAlignment="1">
      <alignment horizontal="center" vertical="center"/>
    </xf>
    <xf numFmtId="49" fontId="8" fillId="23" borderId="5" xfId="0" applyNumberFormat="1" applyFont="1" applyFill="1" applyBorder="1" applyAlignment="1">
      <alignment horizontal="center" vertical="center"/>
    </xf>
    <xf numFmtId="0" fontId="8" fillId="23" borderId="6" xfId="0" applyFont="1" applyFill="1" applyBorder="1" applyAlignment="1">
      <alignment horizontal="center" vertical="center"/>
    </xf>
    <xf numFmtId="0" fontId="8" fillId="23" borderId="7" xfId="0" applyFont="1" applyFill="1" applyBorder="1" applyAlignment="1">
      <alignment horizontal="center" vertical="center"/>
    </xf>
    <xf numFmtId="49" fontId="8" fillId="23" borderId="3" xfId="0" applyNumberFormat="1" applyFont="1" applyFill="1" applyBorder="1" applyAlignment="1">
      <alignment horizontal="center" vertical="center"/>
    </xf>
    <xf numFmtId="0" fontId="8" fillId="23" borderId="3" xfId="0" applyFont="1" applyFill="1" applyBorder="1" applyAlignment="1">
      <alignment horizontal="center" vertical="center"/>
    </xf>
    <xf numFmtId="49" fontId="12" fillId="21" borderId="8" xfId="0" applyNumberFormat="1" applyFont="1" applyFill="1" applyBorder="1" applyAlignment="1">
      <alignment horizontal="center"/>
    </xf>
    <xf numFmtId="0" fontId="12" fillId="21" borderId="9" xfId="0" applyFont="1" applyFill="1" applyBorder="1" applyAlignment="1">
      <alignment horizontal="center"/>
    </xf>
    <xf numFmtId="0" fontId="12" fillId="21" borderId="10" xfId="0" applyFont="1" applyFill="1" applyBorder="1" applyAlignment="1">
      <alignment horizontal="center"/>
    </xf>
  </cellXfs>
  <cellStyles count="1">
    <cellStyle name="Normal" xfId="0" builtinId="0"/>
  </cellStyles>
  <dxfs count="2">
    <dxf>
      <font>
        <color rgb="FFFF0000"/>
      </font>
    </dxf>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015E88B1"/>
      <rgbColor rgb="01EEF3F4"/>
      <rgbColor rgb="FF0000FF"/>
      <rgbColor rgb="FFAAAAAA"/>
      <rgbColor rgb="FF5B9BD5"/>
      <rgbColor rgb="FF9CC2E5"/>
      <rgbColor rgb="FFDEEAF6"/>
      <rgbColor rgb="FFBF9000"/>
      <rgbColor rgb="FFFFD965"/>
      <rgbColor rgb="FFFFF2CB"/>
      <rgbColor rgb="FFFFFFFF"/>
      <rgbColor rgb="FF548135"/>
      <rgbColor rgb="FFA9CD90"/>
      <rgbColor rgb="FFE2EEDA"/>
      <rgbColor rgb="FF0563C1"/>
      <rgbColor rgb="FFFF0000"/>
      <rgbColor rgb="FF9BC2E6"/>
      <rgbColor rgb="FFDDEBF7"/>
      <rgbColor rgb="FFBF8F00"/>
      <rgbColor rgb="FFA9D08E"/>
      <rgbColor rgb="FF333333"/>
      <rgbColor rgb="FFFFFF00"/>
      <rgbColor rgb="FFE7E6E6"/>
      <rgbColor rgb="FFFFC000"/>
      <rgbColor rgb="FFECECEC"/>
      <rgbColor rgb="FFADACAC"/>
      <rgbColor rgb="FFCFCFCF"/>
      <rgbColor rgb="FFD8D8D8"/>
      <rgbColor rgb="FF3F3F3F"/>
      <rgbColor rgb="FF595959"/>
      <rgbColor rgb="FFA5A5A5"/>
      <rgbColor rgb="FF00B050"/>
      <rgbColor rgb="FFF2F2F2"/>
      <rgbColor rgb="FFE2EFD9"/>
      <rgbColor rgb="FF385623"/>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26888200000000001"/>
          <c:y val="0.24513299999999999"/>
          <c:w val="0.46223700000000001"/>
          <c:h val="0.40891100000000002"/>
        </c:manualLayout>
      </c:layout>
      <c:pieChart>
        <c:varyColors val="0"/>
        <c:ser>
          <c:idx val="0"/>
          <c:order val="0"/>
          <c:tx>
            <c:v/>
          </c:tx>
          <c:spPr>
            <a:solidFill>
              <a:schemeClr val="accent1"/>
            </a:solidFill>
            <a:ln w="12700" cap="flat">
              <a:noFill/>
              <a:miter lim="400000"/>
            </a:ln>
            <a:effectLst>
              <a:outerShdw blurRad="63500" dist="19050" dir="5400000" algn="tl">
                <a:srgbClr val="000000">
                  <a:alpha val="63000"/>
                </a:srgbClr>
              </a:outerShdw>
            </a:effectLst>
          </c:spPr>
          <c:dPt>
            <c:idx val="0"/>
            <c:bubble3D val="0"/>
          </c:dPt>
          <c:dPt>
            <c:idx val="1"/>
            <c:bubble3D val="0"/>
            <c:spPr>
              <a:solidFill>
                <a:srgbClr val="FFFF00"/>
              </a:solidFill>
              <a:ln w="12700" cap="flat">
                <a:noFill/>
                <a:miter lim="400000"/>
              </a:ln>
              <a:effectLst>
                <a:outerShdw blurRad="63500" dist="19050" dir="5400000" algn="tl">
                  <a:srgbClr val="000000">
                    <a:alpha val="63000"/>
                  </a:srgbClr>
                </a:outerShdw>
              </a:effectLst>
            </c:spPr>
          </c:dPt>
          <c:dPt>
            <c:idx val="2"/>
            <c:bubble3D val="0"/>
            <c:spPr>
              <a:solidFill>
                <a:srgbClr val="00B050"/>
              </a:solidFill>
              <a:ln w="12700" cap="flat">
                <a:noFill/>
                <a:miter lim="400000"/>
              </a:ln>
              <a:effectLst>
                <a:outerShdw blurRad="63500" dist="19050" dir="5400000" algn="tl">
                  <a:srgbClr val="000000">
                    <a:alpha val="63000"/>
                  </a:srgbClr>
                </a:outerShdw>
              </a:effectLst>
            </c:spPr>
          </c:dPt>
          <c:dLbls>
            <c:dLbl>
              <c:idx val="0"/>
              <c:numFmt formatCode="0%" sourceLinked="0"/>
              <c:spPr/>
              <c:txPr>
                <a:bodyPr/>
                <a:lstStyle/>
                <a:p>
                  <a:pPr>
                    <a:defRPr sz="1200" b="1" i="0" u="none" strike="noStrike">
                      <a:solidFill>
                        <a:srgbClr val="404040"/>
                      </a:solidFill>
                      <a:latin typeface="Arial"/>
                    </a:defRPr>
                  </a:pPr>
                  <a:endParaRPr lang="es-CO"/>
                </a:p>
              </c:txPr>
              <c:dLblPos val="outEnd"/>
              <c:showLegendKey val="0"/>
              <c:showVal val="0"/>
              <c:showCatName val="0"/>
              <c:showSerName val="0"/>
              <c:showPercent val="1"/>
              <c:showBubbleSize val="0"/>
            </c:dLbl>
            <c:dLbl>
              <c:idx val="1"/>
              <c:numFmt formatCode="0%" sourceLinked="0"/>
              <c:spPr/>
              <c:txPr>
                <a:bodyPr/>
                <a:lstStyle/>
                <a:p>
                  <a:pPr>
                    <a:defRPr sz="1200" b="1" i="0" u="none" strike="noStrike">
                      <a:solidFill>
                        <a:srgbClr val="404040"/>
                      </a:solidFill>
                      <a:latin typeface="Arial"/>
                    </a:defRPr>
                  </a:pPr>
                  <a:endParaRPr lang="es-CO"/>
                </a:p>
              </c:txPr>
              <c:dLblPos val="outEnd"/>
              <c:showLegendKey val="0"/>
              <c:showVal val="0"/>
              <c:showCatName val="0"/>
              <c:showSerName val="0"/>
              <c:showPercent val="1"/>
              <c:showBubbleSize val="0"/>
            </c:dLbl>
            <c:dLbl>
              <c:idx val="2"/>
              <c:numFmt formatCode="0%" sourceLinked="0"/>
              <c:spPr/>
              <c:txPr>
                <a:bodyPr/>
                <a:lstStyle/>
                <a:p>
                  <a:pPr>
                    <a:defRPr sz="1200" b="1" i="0" u="none" strike="noStrike">
                      <a:solidFill>
                        <a:srgbClr val="404040"/>
                      </a:solidFill>
                      <a:latin typeface="Arial"/>
                    </a:defRPr>
                  </a:pPr>
                  <a:endParaRPr lang="es-CO"/>
                </a:p>
              </c:txPr>
              <c:dLblPos val="outEnd"/>
              <c:showLegendKey val="0"/>
              <c:showVal val="0"/>
              <c:showCatName val="0"/>
              <c:showSerName val="0"/>
              <c:showPercent val="1"/>
              <c:showBubbleSize val="0"/>
            </c:dLbl>
            <c:numFmt formatCode="0%" sourceLinked="0"/>
            <c:spPr>
              <a:noFill/>
              <a:ln>
                <a:noFill/>
              </a:ln>
              <a:effectLst/>
            </c:spPr>
            <c:txPr>
              <a:bodyPr/>
              <a:lstStyle/>
              <a:p>
                <a:pPr>
                  <a:defRPr sz="1200" b="1" i="0" u="none" strike="noStrike">
                    <a:solidFill>
                      <a:srgbClr val="404040"/>
                    </a:solidFill>
                    <a:latin typeface="Arial"/>
                  </a:defRPr>
                </a:pPr>
                <a:endParaRPr lang="es-CO"/>
              </a:p>
            </c:txPr>
            <c:dLblPos val="outEnd"/>
            <c:showLegendKey val="0"/>
            <c:showVal val="0"/>
            <c:showCatName val="0"/>
            <c:showSerName val="0"/>
            <c:showPercent val="1"/>
            <c:showBubbleSize val="0"/>
            <c:showLeaderLines val="1"/>
            <c:leaderLines>
              <c:spPr>
                <a:ln w="9525" cap="flat">
                  <a:solidFill>
                    <a:srgbClr val="A6A6A6"/>
                  </a:solidFill>
                  <a:prstDash val="solid"/>
                  <a:round/>
                </a:ln>
                <a:effectLst/>
              </c:spPr>
            </c:leaderLines>
            <c:extLst>
              <c:ext xmlns:c15="http://schemas.microsoft.com/office/drawing/2012/chart" uri="{CE6537A1-D6FC-4f65-9D91-7224C49458BB}"/>
            </c:extLst>
          </c:dLbls>
          <c:cat>
            <c:strRef>
              <c:f>'Huella 2018'!$G$17:$G$19</c:f>
              <c:strCache>
                <c:ptCount val="3"/>
                <c:pt idx="0">
                  <c:v>Alcance 1 </c:v>
                </c:pt>
                <c:pt idx="1">
                  <c:v>Alcance 2</c:v>
                </c:pt>
                <c:pt idx="2">
                  <c:v>Alcance 3</c:v>
                </c:pt>
              </c:strCache>
            </c:strRef>
          </c:cat>
          <c:val>
            <c:numRef>
              <c:f>'Huella 2018'!$H$17:$H$19</c:f>
              <c:numCache>
                <c:formatCode>0.00</c:formatCode>
                <c:ptCount val="3"/>
                <c:pt idx="0">
                  <c:v>22.565785837359648</c:v>
                </c:pt>
                <c:pt idx="1">
                  <c:v>31.86105211289367</c:v>
                </c:pt>
                <c:pt idx="2">
                  <c:v>45.573162049746692</c:v>
                </c:pt>
              </c:numCache>
            </c:numRef>
          </c:val>
        </c:ser>
        <c:dLbls>
          <c:showLegendKey val="0"/>
          <c:showVal val="0"/>
          <c:showCatName val="0"/>
          <c:showSerName val="0"/>
          <c:showPercent val="0"/>
          <c:showBubbleSize val="0"/>
          <c:showLeaderLines val="1"/>
        </c:dLbls>
        <c:firstSliceAng val="0"/>
      </c:pieChart>
      <c:spPr>
        <a:noFill/>
        <a:ln w="12700" cap="flat">
          <a:noFill/>
          <a:miter lim="400000"/>
        </a:ln>
        <a:effectLst/>
      </c:spPr>
    </c:plotArea>
    <c:legend>
      <c:legendPos val="b"/>
      <c:layout>
        <c:manualLayout>
          <c:xMode val="edge"/>
          <c:yMode val="edge"/>
          <c:x val="0.18698300000000001"/>
          <c:y val="0.748282"/>
          <c:w val="0.62603399999999998"/>
          <c:h val="0.251718"/>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Arial"/>
              </a:defRPr>
            </a:pPr>
            <a:r>
              <a:rPr lang="es-CO" sz="1400" b="0" i="0" u="none" strike="noStrike">
                <a:solidFill>
                  <a:srgbClr val="595959"/>
                </a:solidFill>
                <a:latin typeface="Arial"/>
              </a:rPr>
              <a:t>Medellin</a:t>
            </a:r>
          </a:p>
        </c:rich>
      </c:tx>
      <c:layout>
        <c:manualLayout>
          <c:xMode val="edge"/>
          <c:yMode val="edge"/>
          <c:x val="0.40684999999999999"/>
          <c:y val="0"/>
          <c:w val="9.7821500000000006E-2"/>
          <c:h val="9.5849500000000004E-2"/>
        </c:manualLayout>
      </c:layout>
      <c:overlay val="1"/>
      <c:spPr>
        <a:noFill/>
        <a:effectLst/>
      </c:spPr>
    </c:title>
    <c:autoTitleDeleted val="0"/>
    <c:plotArea>
      <c:layout>
        <c:manualLayout>
          <c:layoutTarget val="inner"/>
          <c:xMode val="edge"/>
          <c:yMode val="edge"/>
          <c:x val="9.6774799999999994E-2"/>
          <c:y val="9.5849500000000004E-2"/>
          <c:w val="0.80895399999999995"/>
          <c:h val="0.84141299999999997"/>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Comparacion!$J$24:$J$29</c:f>
              <c:strCache>
                <c:ptCount val="6"/>
                <c:pt idx="0">
                  <c:v>Combustibles</c:v>
                </c:pt>
                <c:pt idx="1">
                  <c:v>Refrigerantes</c:v>
                </c:pt>
                <c:pt idx="2">
                  <c:v>Energia</c:v>
                </c:pt>
                <c:pt idx="3">
                  <c:v>vuelos</c:v>
                </c:pt>
                <c:pt idx="4">
                  <c:v>Papel</c:v>
                </c:pt>
                <c:pt idx="5">
                  <c:v>residuos reciclados</c:v>
                </c:pt>
              </c:strCache>
            </c:strRef>
          </c:cat>
          <c:val>
            <c:numRef>
              <c:f>Comparacion!$K$24:$K$29</c:f>
              <c:numCache>
                <c:formatCode>General</c:formatCode>
                <c:ptCount val="6"/>
                <c:pt idx="0" formatCode="0">
                  <c:v>29860</c:v>
                </c:pt>
                <c:pt idx="1">
                  <c:v>4280</c:v>
                </c:pt>
                <c:pt idx="2">
                  <c:v>13100</c:v>
                </c:pt>
                <c:pt idx="3">
                  <c:v>26810</c:v>
                </c:pt>
                <c:pt idx="4">
                  <c:v>15060</c:v>
                </c:pt>
                <c:pt idx="5">
                  <c:v>-4720</c:v>
                </c:pt>
              </c:numCache>
            </c:numRef>
          </c:val>
        </c:ser>
        <c:ser>
          <c:idx val="1"/>
          <c:order val="1"/>
          <c:tx>
            <c:v>2018</c:v>
          </c:tx>
          <c:spPr>
            <a:solidFill>
              <a:schemeClr val="accent2"/>
            </a:solidFill>
            <a:ln w="12700" cap="flat">
              <a:noFill/>
              <a:miter lim="400000"/>
            </a:ln>
            <a:effectLst/>
          </c:spPr>
          <c:invertIfNegative val="0"/>
          <c:cat>
            <c:strRef>
              <c:f>Comparacion!$J$24:$J$29</c:f>
              <c:strCache>
                <c:ptCount val="6"/>
                <c:pt idx="0">
                  <c:v>Combustibles</c:v>
                </c:pt>
                <c:pt idx="1">
                  <c:v>Refrigerantes</c:v>
                </c:pt>
                <c:pt idx="2">
                  <c:v>Energia</c:v>
                </c:pt>
                <c:pt idx="3">
                  <c:v>vuelos</c:v>
                </c:pt>
                <c:pt idx="4">
                  <c:v>Papel</c:v>
                </c:pt>
                <c:pt idx="5">
                  <c:v>residuos reciclados</c:v>
                </c:pt>
              </c:strCache>
            </c:strRef>
          </c:cat>
          <c:val>
            <c:numRef>
              <c:f>Comparacion!$L$24:$L$29</c:f>
              <c:numCache>
                <c:formatCode>0</c:formatCode>
                <c:ptCount val="6"/>
                <c:pt idx="0">
                  <c:v>2496.3130000000001</c:v>
                </c:pt>
                <c:pt idx="1">
                  <c:v>0</c:v>
                </c:pt>
                <c:pt idx="2">
                  <c:v>18098.28</c:v>
                </c:pt>
                <c:pt idx="3">
                  <c:v>16904.150000000001</c:v>
                </c:pt>
                <c:pt idx="4">
                  <c:v>2066.2719999999999</c:v>
                </c:pt>
                <c:pt idx="5">
                  <c:v>-1170</c:v>
                </c:pt>
              </c:numCache>
            </c:numRef>
          </c:val>
        </c:ser>
        <c:dLbls>
          <c:showLegendKey val="0"/>
          <c:showVal val="0"/>
          <c:showCatName val="0"/>
          <c:showSerName val="0"/>
          <c:showPercent val="0"/>
          <c:showBubbleSize val="0"/>
        </c:dLbls>
        <c:gapWidth val="150"/>
        <c:axId val="142573328"/>
        <c:axId val="142574416"/>
      </c:barChart>
      <c:catAx>
        <c:axId val="142573328"/>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Arial"/>
              </a:defRPr>
            </a:pPr>
            <a:endParaRPr lang="es-CO"/>
          </a:p>
        </c:txPr>
        <c:crossAx val="142574416"/>
        <c:crosses val="autoZero"/>
        <c:auto val="1"/>
        <c:lblAlgn val="ctr"/>
        <c:lblOffset val="100"/>
        <c:noMultiLvlLbl val="1"/>
      </c:catAx>
      <c:valAx>
        <c:axId val="142574416"/>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Arial"/>
                  </a:defRPr>
                </a:pPr>
                <a:r>
                  <a:rPr lang="es-CO" sz="1000" b="0" i="0" u="none" strike="noStrike">
                    <a:solidFill>
                      <a:srgbClr val="595959"/>
                    </a:solidFill>
                    <a:latin typeface="Arial"/>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Arial"/>
              </a:defRPr>
            </a:pPr>
            <a:endParaRPr lang="es-CO"/>
          </a:p>
        </c:txPr>
        <c:crossAx val="142573328"/>
        <c:crosses val="autoZero"/>
        <c:crossBetween val="between"/>
        <c:majorUnit val="9375"/>
        <c:minorUnit val="4687.5"/>
      </c:valAx>
      <c:spPr>
        <a:noFill/>
        <a:ln w="12700" cap="flat">
          <a:noFill/>
          <a:miter lim="400000"/>
        </a:ln>
        <a:effectLst/>
      </c:spPr>
    </c:plotArea>
    <c:legend>
      <c:legendPos val="r"/>
      <c:layout>
        <c:manualLayout>
          <c:xMode val="edge"/>
          <c:yMode val="edge"/>
          <c:x val="0.91556999999999999"/>
          <c:y val="0.408443"/>
          <c:w val="8.4429599999999994E-2"/>
          <c:h val="9.8692199999999994E-2"/>
        </c:manualLayout>
      </c:layout>
      <c:overlay val="1"/>
      <c:spPr>
        <a:noFill/>
        <a:ln w="12700" cap="flat">
          <a:noFill/>
          <a:miter lim="400000"/>
        </a:ln>
        <a:effectLst/>
      </c:spPr>
      <c:txPr>
        <a:bodyPr rot="0"/>
        <a:lstStyle/>
        <a:p>
          <a:pPr>
            <a:defRPr sz="900" b="0" i="0" u="none" strike="noStrike">
              <a:solidFill>
                <a:srgbClr val="595959"/>
              </a:solidFill>
              <a:latin typeface="Arial"/>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lang="es-CO" sz="1400" b="0" i="0" u="none" strike="noStrike">
                <a:solidFill>
                  <a:srgbClr val="595959"/>
                </a:solidFill>
                <a:latin typeface="Calibri"/>
              </a:rPr>
              <a:t>Villavicencio</a:t>
            </a:r>
          </a:p>
        </c:rich>
      </c:tx>
      <c:layout>
        <c:manualLayout>
          <c:xMode val="edge"/>
          <c:yMode val="edge"/>
          <c:x val="0.38474999999999998"/>
          <c:y val="0"/>
          <c:w val="0.13270299999999999"/>
          <c:h val="0.10591299999999999"/>
        </c:manualLayout>
      </c:layout>
      <c:overlay val="1"/>
      <c:spPr>
        <a:noFill/>
        <a:effectLst/>
      </c:spPr>
    </c:title>
    <c:autoTitleDeleted val="0"/>
    <c:plotArea>
      <c:layout>
        <c:manualLayout>
          <c:layoutTarget val="inner"/>
          <c:xMode val="edge"/>
          <c:yMode val="edge"/>
          <c:x val="9.9969600000000006E-2"/>
          <c:y val="0.10591299999999999"/>
          <c:w val="0.80183899999999997"/>
          <c:h val="0.82862999999999998"/>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Comparacion!$J$32:$J$37</c:f>
              <c:strCache>
                <c:ptCount val="6"/>
                <c:pt idx="0">
                  <c:v>Combustibles</c:v>
                </c:pt>
                <c:pt idx="1">
                  <c:v>Refrigerantes</c:v>
                </c:pt>
                <c:pt idx="2">
                  <c:v>Energia</c:v>
                </c:pt>
                <c:pt idx="3">
                  <c:v>vuelos</c:v>
                </c:pt>
                <c:pt idx="4">
                  <c:v>Papel</c:v>
                </c:pt>
                <c:pt idx="5">
                  <c:v>residuos reciclados</c:v>
                </c:pt>
              </c:strCache>
            </c:strRef>
          </c:cat>
          <c:val>
            <c:numRef>
              <c:f>Comparacion!$K$32:$K$37</c:f>
              <c:numCache>
                <c:formatCode>0</c:formatCode>
                <c:ptCount val="6"/>
                <c:pt idx="0">
                  <c:v>20343</c:v>
                </c:pt>
                <c:pt idx="1">
                  <c:v>4410</c:v>
                </c:pt>
                <c:pt idx="2">
                  <c:v>117650</c:v>
                </c:pt>
                <c:pt idx="3">
                  <c:v>9310</c:v>
                </c:pt>
                <c:pt idx="4">
                  <c:v>25160</c:v>
                </c:pt>
                <c:pt idx="5" formatCode="General">
                  <c:v>0</c:v>
                </c:pt>
              </c:numCache>
            </c:numRef>
          </c:val>
        </c:ser>
        <c:ser>
          <c:idx val="1"/>
          <c:order val="1"/>
          <c:tx>
            <c:v>2018</c:v>
          </c:tx>
          <c:spPr>
            <a:solidFill>
              <a:schemeClr val="accent2"/>
            </a:solidFill>
            <a:ln w="12700" cap="flat">
              <a:noFill/>
              <a:miter lim="400000"/>
            </a:ln>
            <a:effectLst/>
          </c:spPr>
          <c:invertIfNegative val="0"/>
          <c:cat>
            <c:strRef>
              <c:f>Comparacion!$J$32:$J$37</c:f>
              <c:strCache>
                <c:ptCount val="6"/>
                <c:pt idx="0">
                  <c:v>Combustibles</c:v>
                </c:pt>
                <c:pt idx="1">
                  <c:v>Refrigerantes</c:v>
                </c:pt>
                <c:pt idx="2">
                  <c:v>Energia</c:v>
                </c:pt>
                <c:pt idx="3">
                  <c:v>vuelos</c:v>
                </c:pt>
                <c:pt idx="4">
                  <c:v>Papel</c:v>
                </c:pt>
                <c:pt idx="5">
                  <c:v>residuos reciclados</c:v>
                </c:pt>
              </c:strCache>
            </c:strRef>
          </c:cat>
          <c:val>
            <c:numRef>
              <c:f>Comparacion!$L$32:$L$37</c:f>
              <c:numCache>
                <c:formatCode>0</c:formatCode>
                <c:ptCount val="6"/>
                <c:pt idx="0">
                  <c:v>20440.657500000001</c:v>
                </c:pt>
                <c:pt idx="1">
                  <c:v>4500</c:v>
                </c:pt>
                <c:pt idx="2">
                  <c:v>182919.6</c:v>
                </c:pt>
                <c:pt idx="3">
                  <c:v>188800.604444444</c:v>
                </c:pt>
                <c:pt idx="4">
                  <c:v>4782.5847000000003</c:v>
                </c:pt>
                <c:pt idx="5">
                  <c:v>-3010</c:v>
                </c:pt>
              </c:numCache>
            </c:numRef>
          </c:val>
        </c:ser>
        <c:dLbls>
          <c:showLegendKey val="0"/>
          <c:showVal val="0"/>
          <c:showCatName val="0"/>
          <c:showSerName val="0"/>
          <c:showPercent val="0"/>
          <c:showBubbleSize val="0"/>
        </c:dLbls>
        <c:gapWidth val="150"/>
        <c:axId val="142574960"/>
        <c:axId val="142575504"/>
      </c:barChart>
      <c:catAx>
        <c:axId val="142574960"/>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75504"/>
        <c:crosses val="autoZero"/>
        <c:auto val="1"/>
        <c:lblAlgn val="ctr"/>
        <c:lblOffset val="100"/>
        <c:noMultiLvlLbl val="1"/>
      </c:catAx>
      <c:valAx>
        <c:axId val="142575504"/>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lang="es-CO" sz="1000" b="0" i="0" u="none" strike="noStrike">
                    <a:solidFill>
                      <a:srgbClr val="595959"/>
                    </a:solidFill>
                    <a:latin typeface="Calibri"/>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74960"/>
        <c:crosses val="autoZero"/>
        <c:crossBetween val="between"/>
        <c:majorUnit val="62500"/>
        <c:minorUnit val="31250"/>
      </c:valAx>
      <c:spPr>
        <a:noFill/>
        <a:ln w="12700" cap="flat">
          <a:noFill/>
          <a:miter lim="400000"/>
        </a:ln>
        <a:effectLst/>
      </c:spPr>
    </c:plotArea>
    <c:legend>
      <c:legendPos val="r"/>
      <c:layout>
        <c:manualLayout>
          <c:xMode val="edge"/>
          <c:yMode val="edge"/>
          <c:x val="0.924203"/>
          <c:y val="0.40322000000000002"/>
          <c:w val="7.57969E-2"/>
          <c:h val="0.10821699999999999"/>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Arial"/>
              </a:defRPr>
            </a:pPr>
            <a:r>
              <a:rPr lang="es-CO" sz="1400" b="0" i="0" u="none" strike="noStrike">
                <a:solidFill>
                  <a:srgbClr val="595959"/>
                </a:solidFill>
                <a:latin typeface="Arial"/>
              </a:rPr>
              <a:t>Tunja</a:t>
            </a:r>
          </a:p>
        </c:rich>
      </c:tx>
      <c:layout>
        <c:manualLayout>
          <c:xMode val="edge"/>
          <c:yMode val="edge"/>
          <c:x val="0.41963800000000001"/>
          <c:y val="0"/>
          <c:w val="6.0509300000000002E-2"/>
          <c:h val="0.10156"/>
        </c:manualLayout>
      </c:layout>
      <c:overlay val="1"/>
      <c:spPr>
        <a:noFill/>
        <a:effectLst/>
      </c:spPr>
    </c:title>
    <c:autoTitleDeleted val="0"/>
    <c:plotArea>
      <c:layout>
        <c:manualLayout>
          <c:layoutTarget val="inner"/>
          <c:xMode val="edge"/>
          <c:yMode val="edge"/>
          <c:x val="9.7769200000000001E-2"/>
          <c:y val="0.10156"/>
          <c:w val="0.80201699999999998"/>
          <c:h val="0.83270999999999995"/>
        </c:manualLayout>
      </c:layout>
      <c:barChart>
        <c:barDir val="col"/>
        <c:grouping val="clustered"/>
        <c:varyColors val="0"/>
        <c:ser>
          <c:idx val="0"/>
          <c:order val="0"/>
          <c:spPr>
            <a:solidFill>
              <a:schemeClr val="accent1"/>
            </a:solidFill>
            <a:ln w="12700" cap="flat">
              <a:noFill/>
              <a:miter lim="400000"/>
            </a:ln>
            <a:effectLst/>
          </c:spPr>
          <c:invertIfNegative val="0"/>
          <c:cat>
            <c:strRef>
              <c:f>Comparacion!$J$40:$J$44</c:f>
              <c:strCache>
                <c:ptCount val="5"/>
                <c:pt idx="0">
                  <c:v>Combustibles</c:v>
                </c:pt>
                <c:pt idx="1">
                  <c:v>Energia</c:v>
                </c:pt>
                <c:pt idx="2">
                  <c:v>vuelos</c:v>
                </c:pt>
                <c:pt idx="3">
                  <c:v>Papel</c:v>
                </c:pt>
                <c:pt idx="4">
                  <c:v>residuos reciclados</c:v>
                </c:pt>
              </c:strCache>
            </c:strRef>
          </c:cat>
          <c:val>
            <c:numRef>
              <c:f>Comparacion!$K$40:$K$44</c:f>
              <c:numCache>
                <c:formatCode>0</c:formatCode>
                <c:ptCount val="5"/>
                <c:pt idx="0">
                  <c:v>81000</c:v>
                </c:pt>
                <c:pt idx="1">
                  <c:v>31230</c:v>
                </c:pt>
                <c:pt idx="2">
                  <c:v>169740</c:v>
                </c:pt>
                <c:pt idx="3">
                  <c:v>35930</c:v>
                </c:pt>
                <c:pt idx="4" formatCode="General">
                  <c:v>-7570</c:v>
                </c:pt>
              </c:numCache>
            </c:numRef>
          </c:val>
        </c:ser>
        <c:ser>
          <c:idx val="1"/>
          <c:order val="1"/>
          <c:spPr>
            <a:solidFill>
              <a:schemeClr val="accent2"/>
            </a:solidFill>
            <a:ln w="12700" cap="flat">
              <a:noFill/>
              <a:miter lim="400000"/>
            </a:ln>
            <a:effectLst/>
          </c:spPr>
          <c:invertIfNegative val="0"/>
          <c:cat>
            <c:strRef>
              <c:f>Comparacion!$J$40:$J$44</c:f>
              <c:strCache>
                <c:ptCount val="5"/>
                <c:pt idx="0">
                  <c:v>Combustibles</c:v>
                </c:pt>
                <c:pt idx="1">
                  <c:v>Energia</c:v>
                </c:pt>
                <c:pt idx="2">
                  <c:v>vuelos</c:v>
                </c:pt>
                <c:pt idx="3">
                  <c:v>Papel</c:v>
                </c:pt>
                <c:pt idx="4">
                  <c:v>residuos reciclados</c:v>
                </c:pt>
              </c:strCache>
            </c:strRef>
          </c:cat>
          <c:val>
            <c:numRef>
              <c:f>Comparacion!$L$40:$L$44</c:f>
              <c:numCache>
                <c:formatCode>0</c:formatCode>
                <c:ptCount val="5"/>
                <c:pt idx="0">
                  <c:v>1664.5765799999999</c:v>
                </c:pt>
                <c:pt idx="1">
                  <c:v>46291.56</c:v>
                </c:pt>
                <c:pt idx="2">
                  <c:v>203207.6</c:v>
                </c:pt>
                <c:pt idx="3">
                  <c:v>3671.123</c:v>
                </c:pt>
                <c:pt idx="4">
                  <c:v>-2980</c:v>
                </c:pt>
              </c:numCache>
            </c:numRef>
          </c:val>
        </c:ser>
        <c:dLbls>
          <c:showLegendKey val="0"/>
          <c:showVal val="0"/>
          <c:showCatName val="0"/>
          <c:showSerName val="0"/>
          <c:showPercent val="0"/>
          <c:showBubbleSize val="0"/>
        </c:dLbls>
        <c:gapWidth val="150"/>
        <c:axId val="142576048"/>
        <c:axId val="142576592"/>
      </c:barChart>
      <c:catAx>
        <c:axId val="142576048"/>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Arial"/>
              </a:defRPr>
            </a:pPr>
            <a:endParaRPr lang="es-CO"/>
          </a:p>
        </c:txPr>
        <c:crossAx val="142576592"/>
        <c:crosses val="autoZero"/>
        <c:auto val="1"/>
        <c:lblAlgn val="ctr"/>
        <c:lblOffset val="100"/>
        <c:noMultiLvlLbl val="1"/>
      </c:catAx>
      <c:valAx>
        <c:axId val="142576592"/>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Arial"/>
                  </a:defRPr>
                </a:pPr>
                <a:r>
                  <a:rPr lang="es-CO" sz="1000" b="0" i="0" u="none" strike="noStrike">
                    <a:solidFill>
                      <a:srgbClr val="595959"/>
                    </a:solidFill>
                    <a:latin typeface="Arial"/>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Arial"/>
              </a:defRPr>
            </a:pPr>
            <a:endParaRPr lang="es-CO"/>
          </a:p>
        </c:txPr>
        <c:crossAx val="142576048"/>
        <c:crosses val="autoZero"/>
        <c:crossBetween val="between"/>
        <c:majorUnit val="93750"/>
        <c:minorUnit val="46875"/>
      </c:valAx>
      <c:spPr>
        <a:noFill/>
        <a:ln w="12700" cap="flat">
          <a:noFill/>
          <a:miter lim="400000"/>
        </a:ln>
        <a:effectLst/>
      </c:spPr>
    </c:plotArea>
    <c:legend>
      <c:legendPos val="r"/>
      <c:layout>
        <c:manualLayout>
          <c:xMode val="edge"/>
          <c:yMode val="edge"/>
          <c:x val="0.92224799999999996"/>
          <c:y val="0.41359600000000002"/>
          <c:w val="7.7752000000000002E-2"/>
          <c:h val="0.10308199999999999"/>
        </c:manualLayout>
      </c:layout>
      <c:overlay val="1"/>
      <c:spPr>
        <a:noFill/>
        <a:ln w="12700" cap="flat">
          <a:noFill/>
          <a:miter lim="400000"/>
        </a:ln>
        <a:effectLst/>
      </c:spPr>
      <c:txPr>
        <a:bodyPr rot="0"/>
        <a:lstStyle/>
        <a:p>
          <a:pPr>
            <a:defRPr sz="900" b="0" i="0" u="none" strike="noStrike">
              <a:solidFill>
                <a:srgbClr val="595959"/>
              </a:solidFill>
              <a:latin typeface="Arial"/>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lang="es-CO" sz="1400" b="0" i="0" u="none" strike="noStrike">
                <a:solidFill>
                  <a:srgbClr val="595959"/>
                </a:solidFill>
                <a:latin typeface="Calibri"/>
              </a:rPr>
              <a:t>Bucaramanga</a:t>
            </a:r>
          </a:p>
        </c:rich>
      </c:tx>
      <c:layout>
        <c:manualLayout>
          <c:xMode val="edge"/>
          <c:yMode val="edge"/>
          <c:x val="0.375836"/>
          <c:y val="0"/>
          <c:w val="0.15049799999999999"/>
          <c:h val="0.11494799999999999"/>
        </c:manualLayout>
      </c:layout>
      <c:overlay val="1"/>
      <c:spPr>
        <a:noFill/>
        <a:effectLst/>
      </c:spPr>
    </c:title>
    <c:autoTitleDeleted val="0"/>
    <c:plotArea>
      <c:layout>
        <c:manualLayout>
          <c:layoutTarget val="inner"/>
          <c:xMode val="edge"/>
          <c:yMode val="edge"/>
          <c:x val="0.100198"/>
          <c:y val="0.11494799999999999"/>
          <c:w val="0.80138600000000004"/>
          <c:h val="0.81507799999999997"/>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Comparacion!$J$47:$J$52</c:f>
              <c:strCache>
                <c:ptCount val="6"/>
                <c:pt idx="0">
                  <c:v>Combustibles</c:v>
                </c:pt>
                <c:pt idx="1">
                  <c:v>Refrigerantes</c:v>
                </c:pt>
                <c:pt idx="2">
                  <c:v>Energia</c:v>
                </c:pt>
                <c:pt idx="3">
                  <c:v>vuelos</c:v>
                </c:pt>
                <c:pt idx="4">
                  <c:v>Papel</c:v>
                </c:pt>
                <c:pt idx="5">
                  <c:v>residuos reciclados</c:v>
                </c:pt>
              </c:strCache>
            </c:strRef>
          </c:cat>
          <c:val>
            <c:numRef>
              <c:f>Comparacion!$K$47:$K$52</c:f>
              <c:numCache>
                <c:formatCode>0</c:formatCode>
                <c:ptCount val="6"/>
                <c:pt idx="0">
                  <c:v>63700</c:v>
                </c:pt>
                <c:pt idx="1">
                  <c:v>57940</c:v>
                </c:pt>
                <c:pt idx="2">
                  <c:v>203160</c:v>
                </c:pt>
                <c:pt idx="3">
                  <c:v>143970</c:v>
                </c:pt>
                <c:pt idx="4">
                  <c:v>201020</c:v>
                </c:pt>
                <c:pt idx="5" formatCode="General">
                  <c:v>-8450</c:v>
                </c:pt>
              </c:numCache>
            </c:numRef>
          </c:val>
        </c:ser>
        <c:ser>
          <c:idx val="1"/>
          <c:order val="1"/>
          <c:tx>
            <c:v>2018</c:v>
          </c:tx>
          <c:spPr>
            <a:solidFill>
              <a:schemeClr val="accent2"/>
            </a:solidFill>
            <a:ln w="12700" cap="flat">
              <a:noFill/>
              <a:miter lim="400000"/>
            </a:ln>
            <a:effectLst/>
          </c:spPr>
          <c:invertIfNegative val="0"/>
          <c:cat>
            <c:strRef>
              <c:f>Comparacion!$J$47:$J$52</c:f>
              <c:strCache>
                <c:ptCount val="6"/>
                <c:pt idx="0">
                  <c:v>Combustibles</c:v>
                </c:pt>
                <c:pt idx="1">
                  <c:v>Refrigerantes</c:v>
                </c:pt>
                <c:pt idx="2">
                  <c:v>Energia</c:v>
                </c:pt>
                <c:pt idx="3">
                  <c:v>vuelos</c:v>
                </c:pt>
                <c:pt idx="4">
                  <c:v>Papel</c:v>
                </c:pt>
                <c:pt idx="5">
                  <c:v>residuos reciclados</c:v>
                </c:pt>
              </c:strCache>
            </c:strRef>
          </c:cat>
          <c:val>
            <c:numRef>
              <c:f>Comparacion!$L$47:$L$52</c:f>
              <c:numCache>
                <c:formatCode>0</c:formatCode>
                <c:ptCount val="6"/>
                <c:pt idx="0">
                  <c:v>75348.850978999995</c:v>
                </c:pt>
                <c:pt idx="1">
                  <c:v>9484.2000000000007</c:v>
                </c:pt>
                <c:pt idx="2">
                  <c:v>274977.71999999997</c:v>
                </c:pt>
                <c:pt idx="3">
                  <c:v>97673.9</c:v>
                </c:pt>
                <c:pt idx="4">
                  <c:v>6669.99</c:v>
                </c:pt>
                <c:pt idx="5">
                  <c:v>-1170</c:v>
                </c:pt>
              </c:numCache>
            </c:numRef>
          </c:val>
        </c:ser>
        <c:dLbls>
          <c:showLegendKey val="0"/>
          <c:showVal val="0"/>
          <c:showCatName val="0"/>
          <c:showSerName val="0"/>
          <c:showPercent val="0"/>
          <c:showBubbleSize val="0"/>
        </c:dLbls>
        <c:gapWidth val="150"/>
        <c:axId val="142577680"/>
        <c:axId val="1958291888"/>
      </c:barChart>
      <c:catAx>
        <c:axId val="142577680"/>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958291888"/>
        <c:crosses val="autoZero"/>
        <c:auto val="1"/>
        <c:lblAlgn val="ctr"/>
        <c:lblOffset val="100"/>
        <c:noMultiLvlLbl val="1"/>
      </c:catAx>
      <c:valAx>
        <c:axId val="1958291888"/>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lang="es-CO" sz="1000" b="0" i="0" u="none" strike="noStrike">
                    <a:solidFill>
                      <a:srgbClr val="595959"/>
                    </a:solidFill>
                    <a:latin typeface="Calibri"/>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77680"/>
        <c:crosses val="autoZero"/>
        <c:crossBetween val="between"/>
        <c:majorUnit val="93750"/>
        <c:minorUnit val="46875"/>
      </c:valAx>
      <c:spPr>
        <a:noFill/>
        <a:ln w="12700" cap="flat">
          <a:noFill/>
          <a:miter lim="400000"/>
        </a:ln>
        <a:effectLst/>
      </c:spPr>
    </c:plotArea>
    <c:legend>
      <c:legendPos val="r"/>
      <c:layout>
        <c:manualLayout>
          <c:xMode val="edge"/>
          <c:yMode val="edge"/>
          <c:x val="0.92403000000000002"/>
          <c:y val="0.39549699999999999"/>
          <c:w val="7.5970099999999999E-2"/>
          <c:h val="0.115316"/>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lang="es-CO" sz="1400" b="0" i="0" u="none" strike="noStrike">
                <a:solidFill>
                  <a:srgbClr val="595959"/>
                </a:solidFill>
                <a:latin typeface="Calibri"/>
              </a:rPr>
              <a:t>Bogota</a:t>
            </a:r>
          </a:p>
        </c:rich>
      </c:tx>
      <c:layout>
        <c:manualLayout>
          <c:xMode val="edge"/>
          <c:yMode val="edge"/>
          <c:x val="0.41955300000000001"/>
          <c:y val="0"/>
          <c:w val="7.0425699999999994E-2"/>
          <c:h val="0.10791199999999999"/>
        </c:manualLayout>
      </c:layout>
      <c:overlay val="1"/>
      <c:spPr>
        <a:noFill/>
        <a:effectLst/>
      </c:spPr>
    </c:title>
    <c:autoTitleDeleted val="0"/>
    <c:plotArea>
      <c:layout>
        <c:manualLayout>
          <c:layoutTarget val="inner"/>
          <c:xMode val="edge"/>
          <c:yMode val="edge"/>
          <c:x val="9.6863500000000005E-2"/>
          <c:y val="0.10791199999999999"/>
          <c:w val="0.81266799999999995"/>
          <c:h val="0.82563200000000003"/>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Comparacion!$J$55:$J$60</c:f>
              <c:strCache>
                <c:ptCount val="6"/>
                <c:pt idx="0">
                  <c:v>Combustibles</c:v>
                </c:pt>
                <c:pt idx="1">
                  <c:v>Refrigerantes</c:v>
                </c:pt>
                <c:pt idx="2">
                  <c:v>Energia</c:v>
                </c:pt>
                <c:pt idx="3">
                  <c:v>vuelos</c:v>
                </c:pt>
                <c:pt idx="4">
                  <c:v>Papel</c:v>
                </c:pt>
                <c:pt idx="5">
                  <c:v>residuos reciclados</c:v>
                </c:pt>
              </c:strCache>
            </c:strRef>
          </c:cat>
          <c:val>
            <c:numRef>
              <c:f>Comparacion!$K$55:$K$60</c:f>
              <c:numCache>
                <c:formatCode>0</c:formatCode>
                <c:ptCount val="6"/>
                <c:pt idx="0">
                  <c:v>76350</c:v>
                </c:pt>
                <c:pt idx="1">
                  <c:v>45230</c:v>
                </c:pt>
                <c:pt idx="2">
                  <c:v>193630</c:v>
                </c:pt>
                <c:pt idx="3">
                  <c:v>173570</c:v>
                </c:pt>
                <c:pt idx="4">
                  <c:v>104070</c:v>
                </c:pt>
                <c:pt idx="5" formatCode="General">
                  <c:v>-51340</c:v>
                </c:pt>
              </c:numCache>
            </c:numRef>
          </c:val>
        </c:ser>
        <c:ser>
          <c:idx val="1"/>
          <c:order val="1"/>
          <c:tx>
            <c:v>2018</c:v>
          </c:tx>
          <c:spPr>
            <a:solidFill>
              <a:schemeClr val="accent2"/>
            </a:solidFill>
            <a:ln w="12700" cap="flat">
              <a:noFill/>
              <a:miter lim="400000"/>
            </a:ln>
            <a:effectLst/>
          </c:spPr>
          <c:invertIfNegative val="0"/>
          <c:cat>
            <c:strRef>
              <c:f>Comparacion!$J$55:$J$60</c:f>
              <c:strCache>
                <c:ptCount val="6"/>
                <c:pt idx="0">
                  <c:v>Combustibles</c:v>
                </c:pt>
                <c:pt idx="1">
                  <c:v>Refrigerantes</c:v>
                </c:pt>
                <c:pt idx="2">
                  <c:v>Energia</c:v>
                </c:pt>
                <c:pt idx="3">
                  <c:v>vuelos</c:v>
                </c:pt>
                <c:pt idx="4">
                  <c:v>Papel</c:v>
                </c:pt>
                <c:pt idx="5">
                  <c:v>residuos reciclados</c:v>
                </c:pt>
              </c:strCache>
            </c:strRef>
          </c:cat>
          <c:val>
            <c:numRef>
              <c:f>Comparacion!$L$55:$L$60</c:f>
              <c:numCache>
                <c:formatCode>0</c:formatCode>
                <c:ptCount val="6"/>
                <c:pt idx="0">
                  <c:v>168555.51060000001</c:v>
                </c:pt>
                <c:pt idx="1">
                  <c:v>45230</c:v>
                </c:pt>
                <c:pt idx="2">
                  <c:v>261421.83</c:v>
                </c:pt>
                <c:pt idx="3">
                  <c:v>647302.1</c:v>
                </c:pt>
                <c:pt idx="4">
                  <c:v>9469.32</c:v>
                </c:pt>
                <c:pt idx="5">
                  <c:v>-21401</c:v>
                </c:pt>
              </c:numCache>
            </c:numRef>
          </c:val>
        </c:ser>
        <c:dLbls>
          <c:showLegendKey val="0"/>
          <c:showVal val="0"/>
          <c:showCatName val="0"/>
          <c:showSerName val="0"/>
          <c:showPercent val="0"/>
          <c:showBubbleSize val="0"/>
        </c:dLbls>
        <c:gapWidth val="150"/>
        <c:axId val="147490800"/>
        <c:axId val="147489712"/>
      </c:barChart>
      <c:catAx>
        <c:axId val="147490800"/>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7489712"/>
        <c:crosses val="autoZero"/>
        <c:auto val="1"/>
        <c:lblAlgn val="ctr"/>
        <c:lblOffset val="100"/>
        <c:noMultiLvlLbl val="1"/>
      </c:catAx>
      <c:valAx>
        <c:axId val="147489712"/>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lang="es-CO" sz="1000" b="0" i="0" u="none" strike="noStrike">
                    <a:solidFill>
                      <a:srgbClr val="595959"/>
                    </a:solidFill>
                    <a:latin typeface="Calibri"/>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7490800"/>
        <c:crosses val="autoZero"/>
        <c:crossBetween val="between"/>
        <c:majorUnit val="218750"/>
        <c:minorUnit val="109375"/>
      </c:valAx>
      <c:spPr>
        <a:noFill/>
        <a:ln w="12700" cap="flat">
          <a:noFill/>
          <a:miter lim="400000"/>
        </a:ln>
        <a:effectLst/>
      </c:spPr>
    </c:plotArea>
    <c:legend>
      <c:legendPos val="r"/>
      <c:layout>
        <c:manualLayout>
          <c:xMode val="edge"/>
          <c:yMode val="edge"/>
          <c:x val="0.93016500000000002"/>
          <c:y val="0.40151100000000001"/>
          <c:w val="6.98352E-2"/>
          <c:h val="0.109788"/>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lang="es-CO" sz="1400" b="0" i="0" u="none" strike="noStrike">
                <a:solidFill>
                  <a:srgbClr val="595959"/>
                </a:solidFill>
                <a:latin typeface="Calibri"/>
              </a:rPr>
              <a:t>DUAD</a:t>
            </a:r>
          </a:p>
        </c:rich>
      </c:tx>
      <c:layout>
        <c:manualLayout>
          <c:xMode val="edge"/>
          <c:yMode val="edge"/>
          <c:x val="0.42207699999999998"/>
          <c:y val="0"/>
          <c:w val="6.3952499999999995E-2"/>
          <c:h val="0.120172"/>
        </c:manualLayout>
      </c:layout>
      <c:overlay val="1"/>
      <c:spPr>
        <a:noFill/>
        <a:effectLst/>
      </c:spPr>
    </c:title>
    <c:autoTitleDeleted val="0"/>
    <c:plotArea>
      <c:layout>
        <c:manualLayout>
          <c:layoutTarget val="inner"/>
          <c:xMode val="edge"/>
          <c:yMode val="edge"/>
          <c:x val="8.5487499999999994E-2"/>
          <c:y val="0.120172"/>
          <c:w val="0.82262000000000002"/>
          <c:h val="0.80724300000000004"/>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Comparacion!$J$63:$J$64</c:f>
              <c:strCache>
                <c:ptCount val="2"/>
                <c:pt idx="0">
                  <c:v>Energia</c:v>
                </c:pt>
                <c:pt idx="1">
                  <c:v>Vuelos</c:v>
                </c:pt>
              </c:strCache>
            </c:strRef>
          </c:cat>
          <c:val>
            <c:numRef>
              <c:f>Comparacion!$K$63:$K$64</c:f>
              <c:numCache>
                <c:formatCode>0</c:formatCode>
                <c:ptCount val="2"/>
                <c:pt idx="0">
                  <c:v>22020</c:v>
                </c:pt>
                <c:pt idx="1">
                  <c:v>75790</c:v>
                </c:pt>
              </c:numCache>
            </c:numRef>
          </c:val>
        </c:ser>
        <c:ser>
          <c:idx val="1"/>
          <c:order val="1"/>
          <c:tx>
            <c:v>2018</c:v>
          </c:tx>
          <c:spPr>
            <a:solidFill>
              <a:schemeClr val="accent2"/>
            </a:solidFill>
            <a:ln w="12700" cap="flat">
              <a:noFill/>
              <a:miter lim="400000"/>
            </a:ln>
            <a:effectLst/>
          </c:spPr>
          <c:invertIfNegative val="0"/>
          <c:cat>
            <c:strRef>
              <c:f>Comparacion!$J$63:$J$64</c:f>
              <c:strCache>
                <c:ptCount val="2"/>
                <c:pt idx="0">
                  <c:v>Energia</c:v>
                </c:pt>
                <c:pt idx="1">
                  <c:v>Vuelos</c:v>
                </c:pt>
              </c:strCache>
            </c:strRef>
          </c:cat>
          <c:val>
            <c:numRef>
              <c:f>Comparacion!$L$63:$L$64</c:f>
              <c:numCache>
                <c:formatCode>0</c:formatCode>
                <c:ptCount val="2"/>
                <c:pt idx="0">
                  <c:v>30531.119999999999</c:v>
                </c:pt>
                <c:pt idx="1">
                  <c:v>8749</c:v>
                </c:pt>
              </c:numCache>
            </c:numRef>
          </c:val>
        </c:ser>
        <c:dLbls>
          <c:showLegendKey val="0"/>
          <c:showVal val="0"/>
          <c:showCatName val="0"/>
          <c:showSerName val="0"/>
          <c:showPercent val="0"/>
          <c:showBubbleSize val="0"/>
        </c:dLbls>
        <c:gapWidth val="150"/>
        <c:axId val="147491344"/>
        <c:axId val="147498960"/>
      </c:barChart>
      <c:catAx>
        <c:axId val="147491344"/>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7498960"/>
        <c:crosses val="autoZero"/>
        <c:auto val="1"/>
        <c:lblAlgn val="ctr"/>
        <c:lblOffset val="100"/>
        <c:noMultiLvlLbl val="1"/>
      </c:catAx>
      <c:valAx>
        <c:axId val="147498960"/>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lang="es-CO" sz="1000" b="0" i="0" u="none" strike="noStrike">
                    <a:solidFill>
                      <a:srgbClr val="595959"/>
                    </a:solidFill>
                    <a:latin typeface="Calibri"/>
                  </a:rPr>
                  <a:t>Ton CO2 equvalente</a:t>
                </a:r>
              </a:p>
            </c:rich>
          </c:tx>
          <c:layout/>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7491344"/>
        <c:crosses val="autoZero"/>
        <c:crossBetween val="between"/>
        <c:majorUnit val="20000"/>
        <c:minorUnit val="10000"/>
      </c:valAx>
      <c:spPr>
        <a:noFill/>
        <a:ln w="12700" cap="flat">
          <a:noFill/>
          <a:miter lim="400000"/>
        </a:ln>
        <a:effectLst/>
      </c:spPr>
    </c:plotArea>
    <c:legend>
      <c:legendPos val="r"/>
      <c:layout>
        <c:manualLayout>
          <c:xMode val="edge"/>
          <c:yMode val="edge"/>
          <c:x val="0.92906500000000003"/>
          <c:y val="0.39103199999999999"/>
          <c:w val="7.0934800000000006E-2"/>
          <c:h val="0.119421"/>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sz="1400" b="0" i="0" u="none" strike="noStrike">
                <a:solidFill>
                  <a:srgbClr val="595959"/>
                </a:solidFill>
                <a:latin typeface="Calibri"/>
              </a:rPr>
              <a:t>Comparacion Indicadores 2017 - 2018</a:t>
            </a:r>
          </a:p>
        </c:rich>
      </c:tx>
      <c:layout>
        <c:manualLayout>
          <c:xMode val="edge"/>
          <c:yMode val="edge"/>
          <c:x val="0.27169199999999999"/>
          <c:y val="0"/>
          <c:w val="0.36843300000000001"/>
          <c:h val="9.85708E-2"/>
        </c:manualLayout>
      </c:layout>
      <c:overlay val="1"/>
      <c:spPr>
        <a:noFill/>
        <a:effectLst/>
      </c:spPr>
    </c:title>
    <c:autoTitleDeleted val="0"/>
    <c:plotArea>
      <c:layout>
        <c:manualLayout>
          <c:layoutTarget val="inner"/>
          <c:xMode val="edge"/>
          <c:yMode val="edge"/>
          <c:x val="8.59042E-2"/>
          <c:y val="9.85708E-2"/>
          <c:w val="0.82591300000000001"/>
          <c:h val="0.77803699999999998"/>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Comparacion!$V$13:$V$18</c:f>
              <c:strCache>
                <c:ptCount val="6"/>
                <c:pt idx="0">
                  <c:v>Conbustibles</c:v>
                </c:pt>
                <c:pt idx="1">
                  <c:v>Fugas de refigerantes</c:v>
                </c:pt>
                <c:pt idx="2">
                  <c:v>Energia</c:v>
                </c:pt>
                <c:pt idx="3">
                  <c:v>Vuelos</c:v>
                </c:pt>
                <c:pt idx="4">
                  <c:v>Insumos de impresión</c:v>
                </c:pt>
                <c:pt idx="5">
                  <c:v>Reciclaje</c:v>
                </c:pt>
              </c:strCache>
            </c:strRef>
          </c:cat>
          <c:val>
            <c:numRef>
              <c:f>Comparacion!$W$13:$W$18</c:f>
              <c:numCache>
                <c:formatCode>0.0</c:formatCode>
                <c:ptCount val="6"/>
                <c:pt idx="0">
                  <c:v>275.33999999999997</c:v>
                </c:pt>
                <c:pt idx="1">
                  <c:v>182.11</c:v>
                </c:pt>
                <c:pt idx="2">
                  <c:v>580.79999999999995</c:v>
                </c:pt>
                <c:pt idx="3">
                  <c:v>599.19000000000005</c:v>
                </c:pt>
                <c:pt idx="4">
                  <c:v>461.22</c:v>
                </c:pt>
                <c:pt idx="5">
                  <c:v>-72.09</c:v>
                </c:pt>
              </c:numCache>
            </c:numRef>
          </c:val>
        </c:ser>
        <c:ser>
          <c:idx val="1"/>
          <c:order val="1"/>
          <c:tx>
            <c:v>2018</c:v>
          </c:tx>
          <c:spPr>
            <a:solidFill>
              <a:schemeClr val="accent2"/>
            </a:solidFill>
            <a:ln w="12700" cap="flat">
              <a:noFill/>
              <a:miter lim="400000"/>
            </a:ln>
            <a:effectLst/>
          </c:spPr>
          <c:invertIfNegative val="0"/>
          <c:cat>
            <c:strRef>
              <c:f>Comparacion!$V$13:$V$18</c:f>
              <c:strCache>
                <c:ptCount val="6"/>
                <c:pt idx="0">
                  <c:v>Conbustibles</c:v>
                </c:pt>
                <c:pt idx="1">
                  <c:v>Fugas de refigerantes</c:v>
                </c:pt>
                <c:pt idx="2">
                  <c:v>Energia</c:v>
                </c:pt>
                <c:pt idx="3">
                  <c:v>Vuelos</c:v>
                </c:pt>
                <c:pt idx="4">
                  <c:v>Insumos de impresión</c:v>
                </c:pt>
                <c:pt idx="5">
                  <c:v>Reciclaje</c:v>
                </c:pt>
              </c:strCache>
            </c:strRef>
          </c:cat>
          <c:val>
            <c:numRef>
              <c:f>Comparacion!$X$13:$X$18</c:f>
              <c:numCache>
                <c:formatCode>0.0</c:formatCode>
                <c:ptCount val="6"/>
                <c:pt idx="0">
                  <c:v>268.505908659</c:v>
                </c:pt>
                <c:pt idx="1">
                  <c:v>59.214199999999998</c:v>
                </c:pt>
                <c:pt idx="2">
                  <c:v>814.24010999999996</c:v>
                </c:pt>
                <c:pt idx="3">
                  <c:v>1162.63735444445</c:v>
                </c:pt>
                <c:pt idx="4">
                  <c:v>26.659289699999999</c:v>
                </c:pt>
                <c:pt idx="5">
                  <c:v>-29.731000000000002</c:v>
                </c:pt>
              </c:numCache>
            </c:numRef>
          </c:val>
        </c:ser>
        <c:dLbls>
          <c:showLegendKey val="0"/>
          <c:showVal val="0"/>
          <c:showCatName val="0"/>
          <c:showSerName val="0"/>
          <c:showPercent val="0"/>
          <c:showBubbleSize val="0"/>
        </c:dLbls>
        <c:gapWidth val="150"/>
        <c:axId val="147494608"/>
        <c:axId val="147490256"/>
      </c:barChart>
      <c:catAx>
        <c:axId val="147494608"/>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Indicadores</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7490256"/>
        <c:crosses val="autoZero"/>
        <c:auto val="1"/>
        <c:lblAlgn val="ctr"/>
        <c:lblOffset val="100"/>
        <c:noMultiLvlLbl val="1"/>
      </c:catAx>
      <c:valAx>
        <c:axId val="147490256"/>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equvalente</a:t>
                </a:r>
              </a:p>
            </c:rich>
          </c:tx>
          <c:overlay val="1"/>
        </c:title>
        <c:numFmt formatCode="0.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7494608"/>
        <c:crosses val="autoZero"/>
        <c:crossBetween val="between"/>
        <c:majorUnit val="375"/>
        <c:minorUnit val="187.5"/>
      </c:valAx>
      <c:spPr>
        <a:noFill/>
        <a:ln w="12700" cap="flat">
          <a:noFill/>
          <a:miter lim="400000"/>
        </a:ln>
        <a:effectLst/>
      </c:spPr>
    </c:plotArea>
    <c:legend>
      <c:legendPos val="r"/>
      <c:layout>
        <c:manualLayout>
          <c:xMode val="edge"/>
          <c:yMode val="edge"/>
          <c:x val="0.93192900000000001"/>
          <c:y val="0.419763"/>
          <c:w val="6.8070699999999998E-2"/>
          <c:h val="0.102449"/>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2298000000000001"/>
          <c:y val="5.19931E-2"/>
          <c:w val="0.87202000000000002"/>
          <c:h val="0.78661800000000004"/>
        </c:manualLayout>
      </c:layout>
      <c:barChart>
        <c:barDir val="col"/>
        <c:grouping val="clustered"/>
        <c:varyColors val="0"/>
        <c:ser>
          <c:idx val="0"/>
          <c:order val="0"/>
          <c:tx>
            <c:v>Series1</c:v>
          </c:tx>
          <c:spPr>
            <a:solidFill>
              <a:schemeClr val="accent1"/>
            </a:solidFill>
            <a:ln w="12700" cap="flat">
              <a:noFill/>
              <a:miter lim="400000"/>
            </a:ln>
            <a:effectLst/>
          </c:spPr>
          <c:invertIfNegative val="0"/>
          <c:cat>
            <c:strRef>
              <c:f>'Huella 2018'!$I$47:$I$51</c:f>
              <c:strCache>
                <c:ptCount val="5"/>
                <c:pt idx="0">
                  <c:v>Medellin</c:v>
                </c:pt>
                <c:pt idx="1">
                  <c:v>Villavicencio</c:v>
                </c:pt>
                <c:pt idx="2">
                  <c:v>Tunja</c:v>
                </c:pt>
                <c:pt idx="3">
                  <c:v>Bucaramanga</c:v>
                </c:pt>
                <c:pt idx="4">
                  <c:v>Bogota</c:v>
                </c:pt>
              </c:strCache>
            </c:strRef>
          </c:cat>
          <c:val>
            <c:numRef>
              <c:f>'Huella 2018'!$J$47:$J$51</c:f>
              <c:numCache>
                <c:formatCode>0</c:formatCode>
                <c:ptCount val="5"/>
                <c:pt idx="0">
                  <c:v>2.4963130000000002</c:v>
                </c:pt>
                <c:pt idx="1">
                  <c:v>20.4406575</c:v>
                </c:pt>
                <c:pt idx="2">
                  <c:v>1.6645765799999999</c:v>
                </c:pt>
                <c:pt idx="3">
                  <c:v>75.348850978999991</c:v>
                </c:pt>
                <c:pt idx="4" formatCode="0.0">
                  <c:v>168.55551060000002</c:v>
                </c:pt>
              </c:numCache>
            </c:numRef>
          </c:val>
        </c:ser>
        <c:dLbls>
          <c:showLegendKey val="0"/>
          <c:showVal val="0"/>
          <c:showCatName val="0"/>
          <c:showSerName val="0"/>
          <c:showPercent val="0"/>
          <c:showBubbleSize val="0"/>
        </c:dLbls>
        <c:gapWidth val="300"/>
        <c:axId val="142578768"/>
        <c:axId val="142579312"/>
      </c:barChart>
      <c:catAx>
        <c:axId val="142578768"/>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Sedes USTA</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79312"/>
        <c:crosses val="autoZero"/>
        <c:auto val="1"/>
        <c:lblAlgn val="ctr"/>
        <c:lblOffset val="100"/>
        <c:noMultiLvlLbl val="1"/>
      </c:catAx>
      <c:valAx>
        <c:axId val="142579312"/>
        <c:scaling>
          <c:orientation val="minMax"/>
        </c:scaling>
        <c:delete val="0"/>
        <c:axPos val="l"/>
        <c:majorGridlines>
          <c:spPr>
            <a:ln w="12700" cap="flat">
              <a:solidFill>
                <a:srgbClr val="D9D9D9"/>
              </a:solidFill>
              <a:prstDash val="solid"/>
              <a:round/>
            </a:ln>
          </c:spPr>
        </c:majorGridlines>
        <c:minorGridlines>
          <c:spPr>
            <a:ln w="12700" cap="flat">
              <a:solidFill>
                <a:srgbClr val="F2F2F2"/>
              </a:solidFill>
              <a:prstDash val="solid"/>
              <a:round/>
            </a:ln>
          </c:spPr>
        </c:min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78768"/>
        <c:crosses val="autoZero"/>
        <c:crossBetween val="between"/>
        <c:majorUnit val="45"/>
        <c:minorUnit val="22.5"/>
      </c:valAx>
      <c:spPr>
        <a:noFill/>
        <a:ln w="12700" cap="flat">
          <a:noFill/>
          <a:miter lim="400000"/>
        </a:ln>
        <a:effectLst/>
      </c:spPr>
    </c:plotArea>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229213"/>
          <c:y val="0.229213"/>
          <c:w val="0.541574"/>
          <c:h val="0.52907400000000004"/>
        </c:manualLayout>
      </c:layout>
      <c:pieChart>
        <c:varyColors val="0"/>
        <c:ser>
          <c:idx val="0"/>
          <c:order val="0"/>
          <c:tx>
            <c:v/>
          </c:tx>
          <c:spPr>
            <a:solidFill>
              <a:schemeClr val="accent1"/>
            </a:solidFill>
            <a:ln w="12700" cap="flat">
              <a:noFill/>
              <a:miter lim="400000"/>
            </a:ln>
            <a:effectLst>
              <a:outerShdw blurRad="317500" algn="tl">
                <a:srgbClr val="000000">
                  <a:alpha val="25000"/>
                </a:srgbClr>
              </a:outerShdw>
            </a:effectLst>
          </c:spPr>
          <c:dPt>
            <c:idx val="0"/>
            <c:bubble3D val="0"/>
          </c:dPt>
          <c:dPt>
            <c:idx val="1"/>
            <c:bubble3D val="0"/>
            <c:spPr>
              <a:solidFill>
                <a:schemeClr val="accent2"/>
              </a:solidFill>
              <a:ln w="12700" cap="flat">
                <a:noFill/>
                <a:miter lim="400000"/>
              </a:ln>
              <a:effectLst>
                <a:outerShdw blurRad="317500" algn="tl">
                  <a:srgbClr val="000000">
                    <a:alpha val="25000"/>
                  </a:srgbClr>
                </a:outerShdw>
              </a:effectLst>
            </c:spPr>
          </c:dPt>
          <c:dPt>
            <c:idx val="2"/>
            <c:bubble3D val="0"/>
            <c:spPr>
              <a:solidFill>
                <a:schemeClr val="accent3"/>
              </a:solidFill>
              <a:ln w="12700" cap="flat">
                <a:noFill/>
                <a:miter lim="400000"/>
              </a:ln>
              <a:effectLst>
                <a:outerShdw blurRad="317500" algn="tl">
                  <a:srgbClr val="000000">
                    <a:alpha val="25000"/>
                  </a:srgbClr>
                </a:outerShdw>
              </a:effectLst>
            </c:spPr>
          </c:dPt>
          <c:dPt>
            <c:idx val="3"/>
            <c:bubble3D val="0"/>
            <c:spPr>
              <a:solidFill>
                <a:schemeClr val="accent4"/>
              </a:solidFill>
              <a:ln w="12700" cap="flat">
                <a:noFill/>
                <a:miter lim="400000"/>
              </a:ln>
              <a:effectLst>
                <a:outerShdw blurRad="317500" algn="tl">
                  <a:srgbClr val="000000">
                    <a:alpha val="25000"/>
                  </a:srgbClr>
                </a:outerShdw>
              </a:effectLst>
            </c:spPr>
          </c:dPt>
          <c:dPt>
            <c:idx val="4"/>
            <c:bubble3D val="0"/>
            <c:spPr>
              <a:solidFill>
                <a:schemeClr val="accent5"/>
              </a:solidFill>
              <a:ln w="12700" cap="flat">
                <a:noFill/>
                <a:miter lim="400000"/>
              </a:ln>
              <a:effectLst>
                <a:outerShdw blurRad="317500" algn="tl">
                  <a:srgbClr val="000000">
                    <a:alpha val="25000"/>
                  </a:srgbClr>
                </a:outerShdw>
              </a:effectLst>
            </c:spPr>
          </c:dPt>
          <c:dPt>
            <c:idx val="5"/>
            <c:bubble3D val="0"/>
            <c:spPr>
              <a:solidFill>
                <a:schemeClr val="accent6"/>
              </a:solidFill>
              <a:ln w="12700" cap="flat">
                <a:noFill/>
                <a:miter lim="400000"/>
              </a:ln>
              <a:effectLst>
                <a:outerShdw blurRad="317500" algn="tl">
                  <a:srgbClr val="000000">
                    <a:alpha val="25000"/>
                  </a:srgbClr>
                </a:outerShdw>
              </a:effectLst>
            </c:spPr>
          </c:dPt>
          <c:dLbls>
            <c:dLbl>
              <c:idx val="0"/>
              <c:numFmt formatCode="0%" sourceLinked="0"/>
              <c:spPr/>
              <c:txPr>
                <a:bodyPr/>
                <a:lstStyle/>
                <a:p>
                  <a:pPr>
                    <a:defRPr sz="900" b="1" i="0" u="none" strike="noStrike">
                      <a:solidFill>
                        <a:srgbClr val="FFFFFF"/>
                      </a:solidFill>
                      <a:latin typeface="Helvetica"/>
                    </a:defRPr>
                  </a:pPr>
                  <a:endParaRPr lang="es-CO"/>
                </a:p>
              </c:txPr>
              <c:dLblPos val="outEnd"/>
              <c:showLegendKey val="0"/>
              <c:showVal val="0"/>
              <c:showCatName val="0"/>
              <c:showSerName val="0"/>
              <c:showPercent val="1"/>
              <c:showBubbleSize val="0"/>
            </c:dLbl>
            <c:dLbl>
              <c:idx val="1"/>
              <c:numFmt formatCode="0%" sourceLinked="0"/>
              <c:spPr/>
              <c:txPr>
                <a:bodyPr/>
                <a:lstStyle/>
                <a:p>
                  <a:pPr>
                    <a:defRPr sz="1200" b="1" i="0" u="none" strike="noStrike">
                      <a:solidFill>
                        <a:srgbClr val="000000"/>
                      </a:solidFill>
                      <a:latin typeface="Arial"/>
                    </a:defRPr>
                  </a:pPr>
                  <a:endParaRPr lang="es-CO"/>
                </a:p>
              </c:txPr>
              <c:dLblPos val="outEnd"/>
              <c:showLegendKey val="0"/>
              <c:showVal val="0"/>
              <c:showCatName val="0"/>
              <c:showSerName val="0"/>
              <c:showPercent val="1"/>
              <c:showBubbleSize val="0"/>
            </c:dLbl>
            <c:dLbl>
              <c:idx val="2"/>
              <c:numFmt formatCode="0%" sourceLinked="0"/>
              <c:spPr/>
              <c:txPr>
                <a:bodyPr/>
                <a:lstStyle/>
                <a:p>
                  <a:pPr>
                    <a:defRPr sz="1200" b="1" i="0" u="none" strike="noStrike">
                      <a:solidFill>
                        <a:srgbClr val="000000"/>
                      </a:solidFill>
                      <a:latin typeface="Arial"/>
                    </a:defRPr>
                  </a:pPr>
                  <a:endParaRPr lang="es-CO"/>
                </a:p>
              </c:txPr>
              <c:dLblPos val="outEnd"/>
              <c:showLegendKey val="0"/>
              <c:showVal val="0"/>
              <c:showCatName val="0"/>
              <c:showSerName val="0"/>
              <c:showPercent val="1"/>
              <c:showBubbleSize val="0"/>
            </c:dLbl>
            <c:dLbl>
              <c:idx val="3"/>
              <c:numFmt formatCode="0%" sourceLinked="0"/>
              <c:spPr/>
              <c:txPr>
                <a:bodyPr/>
                <a:lstStyle/>
                <a:p>
                  <a:pPr>
                    <a:defRPr sz="1200" b="1" i="0" u="none" strike="noStrike">
                      <a:solidFill>
                        <a:srgbClr val="000000"/>
                      </a:solidFill>
                      <a:latin typeface="Arial"/>
                    </a:defRPr>
                  </a:pPr>
                  <a:endParaRPr lang="es-CO"/>
                </a:p>
              </c:txPr>
              <c:dLblPos val="outEnd"/>
              <c:showLegendKey val="0"/>
              <c:showVal val="0"/>
              <c:showCatName val="0"/>
              <c:showSerName val="0"/>
              <c:showPercent val="1"/>
              <c:showBubbleSize val="0"/>
            </c:dLbl>
            <c:dLbl>
              <c:idx val="4"/>
              <c:numFmt formatCode="0%" sourceLinked="0"/>
              <c:spPr/>
              <c:txPr>
                <a:bodyPr/>
                <a:lstStyle/>
                <a:p>
                  <a:pPr>
                    <a:defRPr sz="1200" b="1" i="0" u="none" strike="noStrike">
                      <a:solidFill>
                        <a:srgbClr val="000000"/>
                      </a:solidFill>
                      <a:latin typeface="Arial"/>
                    </a:defRPr>
                  </a:pPr>
                  <a:endParaRPr lang="es-CO"/>
                </a:p>
              </c:txPr>
              <c:dLblPos val="outEnd"/>
              <c:showLegendKey val="0"/>
              <c:showVal val="0"/>
              <c:showCatName val="0"/>
              <c:showSerName val="0"/>
              <c:showPercent val="1"/>
              <c:showBubbleSize val="0"/>
            </c:dLbl>
            <c:dLbl>
              <c:idx val="5"/>
              <c:numFmt formatCode="0%" sourceLinked="0"/>
              <c:spPr/>
              <c:txPr>
                <a:bodyPr/>
                <a:lstStyle/>
                <a:p>
                  <a:pPr>
                    <a:defRPr sz="1200" b="1" i="0" u="none" strike="noStrike">
                      <a:solidFill>
                        <a:srgbClr val="000000"/>
                      </a:solidFill>
                      <a:latin typeface="Arial"/>
                    </a:defRPr>
                  </a:pPr>
                  <a:endParaRPr lang="es-CO"/>
                </a:p>
              </c:txPr>
              <c:dLblPos val="outEnd"/>
              <c:showLegendKey val="0"/>
              <c:showVal val="0"/>
              <c:showCatName val="0"/>
              <c:showSerName val="0"/>
              <c:showPercent val="1"/>
              <c:showBubbleSize val="0"/>
            </c:dLbl>
            <c:numFmt formatCode="0%" sourceLinked="0"/>
            <c:spPr>
              <a:noFill/>
              <a:ln>
                <a:noFill/>
              </a:ln>
              <a:effectLst/>
            </c:spPr>
            <c:txPr>
              <a:bodyPr/>
              <a:lstStyle/>
              <a:p>
                <a:pPr>
                  <a:defRPr sz="900" b="1" i="0" u="none" strike="noStrike">
                    <a:solidFill>
                      <a:srgbClr val="FFFFFF"/>
                    </a:solidFill>
                    <a:latin typeface="Helvetica"/>
                  </a:defRPr>
                </a:pPr>
                <a:endParaRPr lang="es-CO"/>
              </a:p>
            </c:txPr>
            <c:dLblPos val="outEnd"/>
            <c:showLegendKey val="0"/>
            <c:showVal val="0"/>
            <c:showCatName val="0"/>
            <c:showSerName val="0"/>
            <c:showPercent val="1"/>
            <c:showBubbleSize val="0"/>
            <c:showLeaderLines val="1"/>
            <c:leaderLines>
              <c:spPr>
                <a:ln w="9525" cap="flat">
                  <a:solidFill>
                    <a:srgbClr val="A6A6A6"/>
                  </a:solidFill>
                  <a:prstDash val="solid"/>
                  <a:round/>
                </a:ln>
                <a:effectLst/>
              </c:spPr>
            </c:leaderLines>
            <c:extLst>
              <c:ext xmlns:c15="http://schemas.microsoft.com/office/drawing/2012/chart" uri="{CE6537A1-D6FC-4f65-9D91-7224C49458BB}"/>
            </c:extLst>
          </c:dLbls>
          <c:cat>
            <c:strRef>
              <c:f>'Huella 2018'!$G$5:$G$10</c:f>
              <c:strCache>
                <c:ptCount val="6"/>
                <c:pt idx="0">
                  <c:v>Medellin</c:v>
                </c:pt>
                <c:pt idx="1">
                  <c:v>Villavicencio</c:v>
                </c:pt>
                <c:pt idx="2">
                  <c:v>Tunja</c:v>
                </c:pt>
                <c:pt idx="3">
                  <c:v>Bucaramanga</c:v>
                </c:pt>
                <c:pt idx="4">
                  <c:v>Bogota</c:v>
                </c:pt>
                <c:pt idx="5">
                  <c:v>DUAD</c:v>
                </c:pt>
              </c:strCache>
            </c:strRef>
          </c:cat>
          <c:val>
            <c:numRef>
              <c:f>'Huella 2018'!$J$5:$J$10</c:f>
              <c:numCache>
                <c:formatCode>0</c:formatCode>
                <c:ptCount val="6"/>
                <c:pt idx="0">
                  <c:v>2.1049881420468179</c:v>
                </c:pt>
                <c:pt idx="1">
                  <c:v>22.556786295981961</c:v>
                </c:pt>
                <c:pt idx="2">
                  <c:v>12.185600964570323</c:v>
                </c:pt>
                <c:pt idx="3">
                  <c:v>18.137982025815397</c:v>
                </c:pt>
                <c:pt idx="4">
                  <c:v>43.477619358223151</c:v>
                </c:pt>
                <c:pt idx="5">
                  <c:v>1.5370232133623543</c:v>
                </c:pt>
              </c:numCache>
            </c:numRef>
          </c:val>
        </c:ser>
        <c:dLbls>
          <c:showLegendKey val="0"/>
          <c:showVal val="0"/>
          <c:showCatName val="0"/>
          <c:showSerName val="0"/>
          <c:showPercent val="0"/>
          <c:showBubbleSize val="0"/>
          <c:showLeaderLines val="1"/>
        </c:dLbls>
        <c:firstSliceAng val="0"/>
      </c:pieChart>
      <c:spPr>
        <a:noFill/>
        <a:ln w="12700" cap="flat">
          <a:noFill/>
          <a:miter lim="400000"/>
        </a:ln>
        <a:effectLst/>
      </c:spPr>
    </c:plotArea>
    <c:legend>
      <c:legendPos val="b"/>
      <c:layout>
        <c:manualLayout>
          <c:xMode val="edge"/>
          <c:yMode val="edge"/>
          <c:x val="0.25714100000000001"/>
          <c:y val="0.79675799999999997"/>
          <c:w val="0.48571799999999998"/>
          <c:h val="0.122657"/>
        </c:manualLayout>
      </c:layout>
      <c:overlay val="1"/>
      <c:spPr>
        <a:solidFill>
          <a:srgbClr val="FFFFFF">
            <a:alpha val="78000"/>
          </a:srgbClr>
        </a:solid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noFill/>
    <a:ln w="12700" cap="flat">
      <a:solidFill>
        <a:srgbClr val="D9D9D9"/>
      </a:solidFill>
      <a:prstDash val="solid"/>
      <a:round/>
    </a:ln>
    <a:effec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22979"/>
          <c:y val="5.19931E-2"/>
          <c:w val="0.87202100000000005"/>
          <c:h val="0.78661800000000004"/>
        </c:manualLayout>
      </c:layout>
      <c:barChart>
        <c:barDir val="col"/>
        <c:grouping val="clustered"/>
        <c:varyColors val="0"/>
        <c:ser>
          <c:idx val="0"/>
          <c:order val="0"/>
          <c:tx>
            <c:v>Series1</c:v>
          </c:tx>
          <c:spPr>
            <a:solidFill>
              <a:schemeClr val="accent1"/>
            </a:solidFill>
            <a:ln w="12700" cap="flat">
              <a:noFill/>
              <a:miter lim="400000"/>
            </a:ln>
            <a:effectLst/>
          </c:spPr>
          <c:invertIfNegative val="0"/>
          <c:cat>
            <c:strRef>
              <c:f>'Huella 2018'!$I$65:$I$67</c:f>
              <c:strCache>
                <c:ptCount val="3"/>
                <c:pt idx="0">
                  <c:v>Medellin</c:v>
                </c:pt>
                <c:pt idx="1">
                  <c:v>Villavicencio</c:v>
                </c:pt>
                <c:pt idx="2">
                  <c:v>Tunja</c:v>
                </c:pt>
              </c:strCache>
            </c:strRef>
          </c:cat>
          <c:val>
            <c:numRef>
              <c:f>'Huella 2018'!$J$65:$J$67</c:f>
              <c:numCache>
                <c:formatCode>0</c:formatCode>
                <c:ptCount val="3"/>
                <c:pt idx="0">
                  <c:v>14.9</c:v>
                </c:pt>
                <c:pt idx="1">
                  <c:v>173.74712</c:v>
                </c:pt>
                <c:pt idx="2">
                  <c:v>59.6</c:v>
                </c:pt>
              </c:numCache>
            </c:numRef>
          </c:val>
        </c:ser>
        <c:dLbls>
          <c:showLegendKey val="0"/>
          <c:showVal val="0"/>
          <c:showCatName val="0"/>
          <c:showSerName val="0"/>
          <c:showPercent val="0"/>
          <c:showBubbleSize val="0"/>
        </c:dLbls>
        <c:gapWidth val="150"/>
        <c:axId val="142582032"/>
        <c:axId val="142580400"/>
      </c:barChart>
      <c:catAx>
        <c:axId val="142582032"/>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Sedes que utilizan fertilizantes</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80400"/>
        <c:crosses val="autoZero"/>
        <c:auto val="1"/>
        <c:lblAlgn val="ctr"/>
        <c:lblOffset val="100"/>
        <c:noMultiLvlLbl val="1"/>
      </c:catAx>
      <c:valAx>
        <c:axId val="142580400"/>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82032"/>
        <c:crosses val="autoZero"/>
        <c:crossBetween val="between"/>
        <c:majorUnit val="45"/>
        <c:minorUnit val="22.5"/>
      </c:valAx>
      <c:spPr>
        <a:noFill/>
        <a:ln w="12700" cap="flat">
          <a:noFill/>
          <a:miter lim="400000"/>
        </a:ln>
        <a:effectLst/>
      </c:spPr>
    </c:plotArea>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1881800000000001"/>
          <c:y val="4.8390599999999999E-2"/>
          <c:w val="0.87618200000000002"/>
          <c:h val="0.80053600000000003"/>
        </c:manualLayout>
      </c:layout>
      <c:barChart>
        <c:barDir val="col"/>
        <c:grouping val="clustered"/>
        <c:varyColors val="0"/>
        <c:ser>
          <c:idx val="0"/>
          <c:order val="0"/>
          <c:tx>
            <c:v>Series1</c:v>
          </c:tx>
          <c:spPr>
            <a:solidFill>
              <a:schemeClr val="accent4"/>
            </a:solidFill>
            <a:ln w="12700" cap="flat">
              <a:noFill/>
              <a:miter lim="400000"/>
            </a:ln>
            <a:effectLst/>
          </c:spPr>
          <c:invertIfNegative val="0"/>
          <c:cat>
            <c:strRef>
              <c:f>'Huella 2018'!$I$71:$I$76</c:f>
              <c:strCache>
                <c:ptCount val="6"/>
                <c:pt idx="0">
                  <c:v>Medellin</c:v>
                </c:pt>
                <c:pt idx="1">
                  <c:v>Villavicencio</c:v>
                </c:pt>
                <c:pt idx="2">
                  <c:v>Tunja</c:v>
                </c:pt>
                <c:pt idx="3">
                  <c:v>Bucaramanga</c:v>
                </c:pt>
                <c:pt idx="4">
                  <c:v>Bogota</c:v>
                </c:pt>
                <c:pt idx="5">
                  <c:v>DUAD</c:v>
                </c:pt>
              </c:strCache>
            </c:strRef>
          </c:cat>
          <c:val>
            <c:numRef>
              <c:f>'Huella 2018'!$J$71:$J$76</c:f>
              <c:numCache>
                <c:formatCode>0</c:formatCode>
                <c:ptCount val="6"/>
                <c:pt idx="0">
                  <c:v>18.098279999999999</c:v>
                </c:pt>
                <c:pt idx="1">
                  <c:v>182.9196</c:v>
                </c:pt>
                <c:pt idx="2">
                  <c:v>46.291559999999997</c:v>
                </c:pt>
                <c:pt idx="3" formatCode="0.00">
                  <c:v>274.97771999999998</c:v>
                </c:pt>
                <c:pt idx="4">
                  <c:v>261.42183</c:v>
                </c:pt>
                <c:pt idx="5">
                  <c:v>30.531119999999998</c:v>
                </c:pt>
              </c:numCache>
            </c:numRef>
          </c:val>
        </c:ser>
        <c:dLbls>
          <c:showLegendKey val="0"/>
          <c:showVal val="0"/>
          <c:showCatName val="0"/>
          <c:showSerName val="0"/>
          <c:showPercent val="0"/>
          <c:showBubbleSize val="0"/>
        </c:dLbls>
        <c:gapWidth val="300"/>
        <c:axId val="142580944"/>
        <c:axId val="142588016"/>
      </c:barChart>
      <c:catAx>
        <c:axId val="142580944"/>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Título de categorías</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88016"/>
        <c:crosses val="autoZero"/>
        <c:auto val="1"/>
        <c:lblAlgn val="ctr"/>
        <c:lblOffset val="100"/>
        <c:noMultiLvlLbl val="1"/>
      </c:catAx>
      <c:valAx>
        <c:axId val="142588016"/>
        <c:scaling>
          <c:orientation val="minMax"/>
        </c:scaling>
        <c:delete val="0"/>
        <c:axPos val="l"/>
        <c:majorGridlines>
          <c:spPr>
            <a:ln w="12700" cap="flat">
              <a:solidFill>
                <a:srgbClr val="D9D9D9"/>
              </a:solidFill>
              <a:prstDash val="solid"/>
              <a:round/>
            </a:ln>
          </c:spPr>
        </c:majorGridlines>
        <c:minorGridlines>
          <c:spPr>
            <a:ln w="12700" cap="flat">
              <a:solidFill>
                <a:srgbClr val="F2F2F2"/>
              </a:solidFill>
              <a:prstDash val="solid"/>
              <a:round/>
            </a:ln>
          </c:spPr>
        </c:min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80944"/>
        <c:crosses val="autoZero"/>
        <c:crossBetween val="between"/>
        <c:majorUnit val="75"/>
        <c:minorUnit val="37.5"/>
      </c:valAx>
      <c:spPr>
        <a:noFill/>
        <a:ln w="12700" cap="flat">
          <a:noFill/>
          <a:miter lim="400000"/>
        </a:ln>
        <a:effectLst/>
      </c:spPr>
    </c:plotArea>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09928"/>
          <c:y val="5.19931E-2"/>
          <c:w val="0.88507199999999997"/>
          <c:h val="0.78661800000000004"/>
        </c:manualLayout>
      </c:layout>
      <c:barChart>
        <c:barDir val="col"/>
        <c:grouping val="clustered"/>
        <c:varyColors val="0"/>
        <c:ser>
          <c:idx val="0"/>
          <c:order val="0"/>
          <c:tx>
            <c:v>Series1</c:v>
          </c:tx>
          <c:spPr>
            <a:solidFill>
              <a:srgbClr val="00B050"/>
            </a:solidFill>
            <a:ln w="12700" cap="flat">
              <a:noFill/>
              <a:miter lim="400000"/>
            </a:ln>
            <a:effectLst/>
          </c:spPr>
          <c:invertIfNegative val="0"/>
          <c:cat>
            <c:strRef>
              <c:f>'Huella 2018'!$I$85:$I$89</c:f>
              <c:strCache>
                <c:ptCount val="5"/>
                <c:pt idx="0">
                  <c:v>Medellin</c:v>
                </c:pt>
                <c:pt idx="1">
                  <c:v>Villavicencio</c:v>
                </c:pt>
                <c:pt idx="2">
                  <c:v>Tunja</c:v>
                </c:pt>
                <c:pt idx="3">
                  <c:v>Bucaramanga</c:v>
                </c:pt>
                <c:pt idx="4">
                  <c:v>Bogota</c:v>
                </c:pt>
              </c:strCache>
            </c:strRef>
          </c:cat>
          <c:val>
            <c:numRef>
              <c:f>'Huella 2018'!$J$85:$J$89</c:f>
              <c:numCache>
                <c:formatCode>0</c:formatCode>
                <c:ptCount val="5"/>
                <c:pt idx="0">
                  <c:v>2.0662720000000001</c:v>
                </c:pt>
                <c:pt idx="1">
                  <c:v>4.7825847000000001</c:v>
                </c:pt>
                <c:pt idx="2">
                  <c:v>3.6711230000000001</c:v>
                </c:pt>
                <c:pt idx="3">
                  <c:v>6.6699899999999994</c:v>
                </c:pt>
                <c:pt idx="4">
                  <c:v>9.4693199999999997</c:v>
                </c:pt>
              </c:numCache>
            </c:numRef>
          </c:val>
        </c:ser>
        <c:dLbls>
          <c:showLegendKey val="0"/>
          <c:showVal val="0"/>
          <c:showCatName val="0"/>
          <c:showSerName val="0"/>
          <c:showPercent val="0"/>
          <c:showBubbleSize val="0"/>
        </c:dLbls>
        <c:gapWidth val="300"/>
        <c:axId val="142573872"/>
        <c:axId val="142572784"/>
      </c:barChart>
      <c:catAx>
        <c:axId val="142573872"/>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Sedes USTA Colombia</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72784"/>
        <c:crosses val="autoZero"/>
        <c:auto val="1"/>
        <c:lblAlgn val="ctr"/>
        <c:lblOffset val="100"/>
        <c:noMultiLvlLbl val="1"/>
      </c:catAx>
      <c:valAx>
        <c:axId val="142572784"/>
        <c:scaling>
          <c:orientation val="minMax"/>
        </c:scaling>
        <c:delete val="0"/>
        <c:axPos val="l"/>
        <c:majorGridlines>
          <c:spPr>
            <a:ln w="12700" cap="flat">
              <a:solidFill>
                <a:srgbClr val="D9D9D9"/>
              </a:solidFill>
              <a:prstDash val="solid"/>
              <a:round/>
            </a:ln>
          </c:spPr>
        </c:majorGridlines>
        <c:minorGridlines>
          <c:spPr>
            <a:ln w="12700" cap="flat">
              <a:solidFill>
                <a:srgbClr val="F2F2F2"/>
              </a:solidFill>
              <a:prstDash val="solid"/>
              <a:round/>
            </a:ln>
          </c:spPr>
        </c:min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73872"/>
        <c:crosses val="autoZero"/>
        <c:crossBetween val="between"/>
        <c:majorUnit val="2.5"/>
        <c:minorUnit val="1.25"/>
      </c:valAx>
      <c:spPr>
        <a:noFill/>
        <a:ln w="12700" cap="flat">
          <a:noFill/>
          <a:miter lim="400000"/>
        </a:ln>
        <a:effectLst/>
      </c:spPr>
    </c:plotArea>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3778799999999999"/>
          <c:y val="4.8390599999999999E-2"/>
          <c:w val="0.85721199999999997"/>
          <c:h val="0.80053600000000003"/>
        </c:manualLayout>
      </c:layout>
      <c:barChart>
        <c:barDir val="col"/>
        <c:grouping val="clustered"/>
        <c:varyColors val="0"/>
        <c:ser>
          <c:idx val="0"/>
          <c:order val="0"/>
          <c:tx>
            <c:v>Series1</c:v>
          </c:tx>
          <c:spPr>
            <a:solidFill>
              <a:srgbClr val="00B050"/>
            </a:solidFill>
            <a:ln w="12700" cap="flat">
              <a:noFill/>
              <a:miter lim="400000"/>
            </a:ln>
            <a:effectLst/>
          </c:spPr>
          <c:invertIfNegative val="0"/>
          <c:cat>
            <c:strRef>
              <c:f>'Huella 2018'!$I$78:$I$83</c:f>
              <c:strCache>
                <c:ptCount val="6"/>
                <c:pt idx="0">
                  <c:v>Medellin</c:v>
                </c:pt>
                <c:pt idx="1">
                  <c:v>Villavicencio</c:v>
                </c:pt>
                <c:pt idx="2">
                  <c:v>Tunja</c:v>
                </c:pt>
                <c:pt idx="3">
                  <c:v>Bucaramanga</c:v>
                </c:pt>
                <c:pt idx="4">
                  <c:v>Bogota</c:v>
                </c:pt>
                <c:pt idx="5">
                  <c:v>DUAD</c:v>
                </c:pt>
              </c:strCache>
            </c:strRef>
          </c:cat>
          <c:val>
            <c:numRef>
              <c:f>'Huella 2018'!$J$78:$J$83</c:f>
              <c:numCache>
                <c:formatCode>0.0</c:formatCode>
                <c:ptCount val="6"/>
                <c:pt idx="0">
                  <c:v>16.904150000000001</c:v>
                </c:pt>
                <c:pt idx="1">
                  <c:v>188.80060444444399</c:v>
                </c:pt>
                <c:pt idx="2">
                  <c:v>203.20760000000001</c:v>
                </c:pt>
                <c:pt idx="3">
                  <c:v>97.673899999999989</c:v>
                </c:pt>
                <c:pt idx="4">
                  <c:v>647.3021</c:v>
                </c:pt>
                <c:pt idx="5">
                  <c:v>8.7490000000000006</c:v>
                </c:pt>
              </c:numCache>
            </c:numRef>
          </c:val>
        </c:ser>
        <c:dLbls>
          <c:showLegendKey val="0"/>
          <c:showVal val="0"/>
          <c:showCatName val="0"/>
          <c:showSerName val="0"/>
          <c:showPercent val="0"/>
          <c:showBubbleSize val="0"/>
        </c:dLbls>
        <c:gapWidth val="300"/>
        <c:axId val="142582576"/>
        <c:axId val="142583120"/>
      </c:barChart>
      <c:catAx>
        <c:axId val="142582576"/>
        <c:scaling>
          <c:orientation val="minMax"/>
        </c:scaling>
        <c:delete val="0"/>
        <c:axPos val="b"/>
        <c:title>
          <c:tx>
            <c:rich>
              <a:bodyPr rot="0"/>
              <a:lstStyle/>
              <a:p>
                <a:pPr>
                  <a:defRPr sz="1000" b="0" i="0" u="none" strike="noStrike">
                    <a:solidFill>
                      <a:srgbClr val="595959"/>
                    </a:solidFill>
                    <a:latin typeface="Calibri"/>
                  </a:defRPr>
                </a:pPr>
                <a:r>
                  <a:rPr sz="1000" b="0" i="0" u="none" strike="noStrike">
                    <a:solidFill>
                      <a:srgbClr val="595959"/>
                    </a:solidFill>
                    <a:latin typeface="Calibri"/>
                  </a:rPr>
                  <a:t>Sedes USTA </a:t>
                </a:r>
              </a:p>
            </c:rich>
          </c:tx>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83120"/>
        <c:crosses val="autoZero"/>
        <c:auto val="1"/>
        <c:lblAlgn val="ctr"/>
        <c:lblOffset val="100"/>
        <c:noMultiLvlLbl val="1"/>
      </c:catAx>
      <c:valAx>
        <c:axId val="142583120"/>
        <c:scaling>
          <c:orientation val="minMax"/>
        </c:scaling>
        <c:delete val="0"/>
        <c:axPos val="l"/>
        <c:majorGridlines>
          <c:spPr>
            <a:ln w="12700" cap="flat">
              <a:solidFill>
                <a:srgbClr val="D9D9D9"/>
              </a:solidFill>
              <a:prstDash val="solid"/>
              <a:round/>
            </a:ln>
          </c:spPr>
        </c:majorGridlines>
        <c:minorGridlines>
          <c:spPr>
            <a:ln w="12700" cap="flat">
              <a:solidFill>
                <a:srgbClr val="F2F2F2"/>
              </a:solidFill>
              <a:prstDash val="solid"/>
              <a:round/>
            </a:ln>
          </c:spPr>
        </c:min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82576"/>
        <c:crosses val="autoZero"/>
        <c:crossBetween val="between"/>
        <c:majorUnit val="175"/>
        <c:minorUnit val="87.5"/>
      </c:valAx>
      <c:spPr>
        <a:noFill/>
        <a:ln w="12700" cap="flat">
          <a:noFill/>
          <a:miter lim="400000"/>
        </a:ln>
        <a:effectLst/>
      </c:spPr>
    </c:plotArea>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autoTitleDeleted val="1"/>
    <c:plotArea>
      <c:layout>
        <c:manualLayout>
          <c:layoutTarget val="inner"/>
          <c:xMode val="edge"/>
          <c:yMode val="edge"/>
          <c:x val="0.13453799999999999"/>
          <c:y val="5.26639E-2"/>
          <c:w val="0.86046199999999995"/>
          <c:h val="0.86780900000000005"/>
        </c:manualLayout>
      </c:layout>
      <c:barChart>
        <c:barDir val="col"/>
        <c:grouping val="clustered"/>
        <c:varyColors val="0"/>
        <c:ser>
          <c:idx val="0"/>
          <c:order val="0"/>
          <c:tx>
            <c:v>GEI evitados</c:v>
          </c:tx>
          <c:spPr>
            <a:solidFill>
              <a:srgbClr val="E2F0D9"/>
            </a:solidFill>
            <a:ln w="12700" cap="flat">
              <a:noFill/>
              <a:miter lim="400000"/>
            </a:ln>
            <a:effectLst/>
          </c:spPr>
          <c:invertIfNegative val="0"/>
          <c:cat>
            <c:strRef>
              <c:f>'Huella 2018'!$J$114:$J$118</c:f>
              <c:strCache>
                <c:ptCount val="5"/>
                <c:pt idx="0">
                  <c:v>Medellin</c:v>
                </c:pt>
                <c:pt idx="1">
                  <c:v>Villavicencio</c:v>
                </c:pt>
                <c:pt idx="2">
                  <c:v>Tunja</c:v>
                </c:pt>
                <c:pt idx="3">
                  <c:v>Bucaramanga</c:v>
                </c:pt>
                <c:pt idx="4">
                  <c:v>Bogota</c:v>
                </c:pt>
              </c:strCache>
            </c:strRef>
          </c:cat>
          <c:val>
            <c:numRef>
              <c:f>'Huella 2018'!$K$114:$K$118</c:f>
              <c:numCache>
                <c:formatCode>0.0</c:formatCode>
                <c:ptCount val="5"/>
                <c:pt idx="0">
                  <c:v>-1.17</c:v>
                </c:pt>
                <c:pt idx="1">
                  <c:v>-3.01</c:v>
                </c:pt>
                <c:pt idx="2">
                  <c:v>-2.98</c:v>
                </c:pt>
                <c:pt idx="3">
                  <c:v>-1.17</c:v>
                </c:pt>
                <c:pt idx="4">
                  <c:v>-21.401</c:v>
                </c:pt>
              </c:numCache>
            </c:numRef>
          </c:val>
        </c:ser>
        <c:ser>
          <c:idx val="1"/>
          <c:order val="1"/>
          <c:tx>
            <c:v>Generacion de GEI</c:v>
          </c:tx>
          <c:spPr>
            <a:solidFill>
              <a:srgbClr val="385724"/>
            </a:solidFill>
            <a:ln w="12700" cap="flat">
              <a:noFill/>
              <a:miter lim="400000"/>
            </a:ln>
            <a:effectLst/>
          </c:spPr>
          <c:invertIfNegative val="0"/>
          <c:cat>
            <c:strRef>
              <c:f>'Huella 2018'!$J$114:$J$118</c:f>
              <c:strCache>
                <c:ptCount val="5"/>
                <c:pt idx="0">
                  <c:v>Medellin</c:v>
                </c:pt>
                <c:pt idx="1">
                  <c:v>Villavicencio</c:v>
                </c:pt>
                <c:pt idx="2">
                  <c:v>Tunja</c:v>
                </c:pt>
                <c:pt idx="3">
                  <c:v>Bucaramanga</c:v>
                </c:pt>
                <c:pt idx="4">
                  <c:v>Bogota</c:v>
                </c:pt>
              </c:strCache>
            </c:strRef>
          </c:cat>
          <c:val>
            <c:numRef>
              <c:f>'Huella 2018'!$L$114:$L$118</c:f>
              <c:numCache>
                <c:formatCode>0.0</c:formatCode>
                <c:ptCount val="5"/>
                <c:pt idx="0">
                  <c:v>0.5</c:v>
                </c:pt>
                <c:pt idx="1">
                  <c:v>4.17</c:v>
                </c:pt>
                <c:pt idx="2" formatCode="0">
                  <c:v>0</c:v>
                </c:pt>
                <c:pt idx="3">
                  <c:v>0.44074380000000002</c:v>
                </c:pt>
                <c:pt idx="4" formatCode="0">
                  <c:v>0</c:v>
                </c:pt>
              </c:numCache>
            </c:numRef>
          </c:val>
        </c:ser>
        <c:dLbls>
          <c:showLegendKey val="0"/>
          <c:showVal val="0"/>
          <c:showCatName val="0"/>
          <c:showSerName val="0"/>
          <c:showPercent val="0"/>
          <c:showBubbleSize val="0"/>
        </c:dLbls>
        <c:gapWidth val="300"/>
        <c:axId val="142583664"/>
        <c:axId val="142586384"/>
      </c:barChart>
      <c:catAx>
        <c:axId val="142583664"/>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86384"/>
        <c:crosses val="autoZero"/>
        <c:auto val="1"/>
        <c:lblAlgn val="ctr"/>
        <c:lblOffset val="100"/>
        <c:noMultiLvlLbl val="1"/>
      </c:catAx>
      <c:valAx>
        <c:axId val="142586384"/>
        <c:scaling>
          <c:orientation val="minMax"/>
        </c:scaling>
        <c:delete val="0"/>
        <c:axPos val="l"/>
        <c:majorGridlines>
          <c:spPr>
            <a:ln w="12700" cap="flat">
              <a:solidFill>
                <a:srgbClr val="D9D9D9"/>
              </a:solidFill>
              <a:prstDash val="solid"/>
              <a:round/>
            </a:ln>
          </c:spPr>
        </c:majorGridlines>
        <c:minorGridlines>
          <c:spPr>
            <a:ln w="12700" cap="flat">
              <a:solidFill>
                <a:srgbClr val="F2F2F2"/>
              </a:solidFill>
              <a:prstDash val="solid"/>
              <a:round/>
            </a:ln>
          </c:spPr>
        </c:minorGridlines>
        <c:title>
          <c:tx>
            <c:rich>
              <a:bodyPr rot="-5400000"/>
              <a:lstStyle/>
              <a:p>
                <a:pPr>
                  <a:defRPr sz="1000" b="0" i="0" u="none" strike="noStrike">
                    <a:solidFill>
                      <a:srgbClr val="595959"/>
                    </a:solidFill>
                    <a:latin typeface="Calibri"/>
                  </a:defRPr>
                </a:pPr>
                <a:r>
                  <a:rPr sz="1000" b="0" i="0" u="none" strike="noStrike">
                    <a:solidFill>
                      <a:srgbClr val="595959"/>
                    </a:solidFill>
                    <a:latin typeface="Calibri"/>
                  </a:rPr>
                  <a:t>Ton CO2 equivalente</a:t>
                </a:r>
              </a:p>
            </c:rich>
          </c:tx>
          <c:overlay val="1"/>
        </c:title>
        <c:numFmt formatCode="0.0"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83664"/>
        <c:crosses val="autoZero"/>
        <c:crossBetween val="between"/>
        <c:majorUnit val="9.375"/>
        <c:minorUnit val="4.6875"/>
      </c:valAx>
      <c:spPr>
        <a:noFill/>
        <a:ln w="12700" cap="flat">
          <a:noFill/>
          <a:miter lim="400000"/>
        </a:ln>
        <a:effectLst/>
      </c:spPr>
    </c:plotArea>
    <c:legend>
      <c:legendPos val="b"/>
      <c:layout>
        <c:manualLayout>
          <c:xMode val="edge"/>
          <c:yMode val="edge"/>
          <c:x val="0.29516799999999999"/>
          <c:y val="0.93147599999999997"/>
          <c:w val="0.53605899999999995"/>
          <c:h val="6.8523600000000004E-2"/>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400" b="0" i="0" u="none" strike="noStrike">
                <a:solidFill>
                  <a:srgbClr val="595959"/>
                </a:solidFill>
                <a:latin typeface="Calibri"/>
              </a:defRPr>
            </a:pPr>
            <a:r>
              <a:rPr lang="es-CO" sz="1400" b="0" i="0" u="none" strike="noStrike">
                <a:solidFill>
                  <a:srgbClr val="595959"/>
                </a:solidFill>
                <a:latin typeface="Calibri"/>
              </a:rPr>
              <a:t>Comparacion Emisiones por Alcance 2017 - 2018</a:t>
            </a:r>
          </a:p>
        </c:rich>
      </c:tx>
      <c:layout>
        <c:manualLayout>
          <c:xMode val="edge"/>
          <c:yMode val="edge"/>
          <c:x val="0.15254100000000001"/>
          <c:y val="0"/>
          <c:w val="0.58644700000000005"/>
          <c:h val="0.12718499999999999"/>
        </c:manualLayout>
      </c:layout>
      <c:overlay val="1"/>
      <c:spPr>
        <a:noFill/>
        <a:effectLst/>
      </c:spPr>
    </c:title>
    <c:autoTitleDeleted val="0"/>
    <c:plotArea>
      <c:layout>
        <c:manualLayout>
          <c:layoutTarget val="inner"/>
          <c:xMode val="edge"/>
          <c:yMode val="edge"/>
          <c:x val="9.1384499999999994E-2"/>
          <c:y val="0.12718499999999999"/>
          <c:w val="0.800145"/>
          <c:h val="0.71723199999999998"/>
        </c:manualLayout>
      </c:layout>
      <c:barChart>
        <c:barDir val="col"/>
        <c:grouping val="clustered"/>
        <c:varyColors val="0"/>
        <c:ser>
          <c:idx val="0"/>
          <c:order val="0"/>
          <c:tx>
            <c:v>2017</c:v>
          </c:tx>
          <c:spPr>
            <a:solidFill>
              <a:schemeClr val="accent1"/>
            </a:solidFill>
            <a:ln w="12700" cap="flat">
              <a:noFill/>
              <a:miter lim="400000"/>
            </a:ln>
            <a:effectLst/>
          </c:spPr>
          <c:invertIfNegative val="0"/>
          <c:cat>
            <c:strRef>
              <c:f>Comparacion!$R$24:$R$26</c:f>
              <c:strCache>
                <c:ptCount val="3"/>
                <c:pt idx="0">
                  <c:v>Alcance 1</c:v>
                </c:pt>
                <c:pt idx="1">
                  <c:v>Alcance 2</c:v>
                </c:pt>
                <c:pt idx="2">
                  <c:v>Alcance 3</c:v>
                </c:pt>
              </c:strCache>
            </c:strRef>
          </c:cat>
          <c:val>
            <c:numRef>
              <c:f>Comparacion!$S$24:$S$26</c:f>
              <c:numCache>
                <c:formatCode>General</c:formatCode>
                <c:ptCount val="3"/>
                <c:pt idx="0">
                  <c:v>457.45</c:v>
                </c:pt>
                <c:pt idx="1">
                  <c:v>580.79999999999995</c:v>
                </c:pt>
                <c:pt idx="2">
                  <c:v>1004.27</c:v>
                </c:pt>
              </c:numCache>
            </c:numRef>
          </c:val>
        </c:ser>
        <c:ser>
          <c:idx val="1"/>
          <c:order val="1"/>
          <c:tx>
            <c:v>2018</c:v>
          </c:tx>
          <c:spPr>
            <a:solidFill>
              <a:schemeClr val="accent2"/>
            </a:solidFill>
            <a:ln w="12700" cap="flat">
              <a:noFill/>
              <a:miter lim="400000"/>
            </a:ln>
            <a:effectLst/>
          </c:spPr>
          <c:invertIfNegative val="0"/>
          <c:cat>
            <c:strRef>
              <c:f>Comparacion!$R$24:$R$26</c:f>
              <c:strCache>
                <c:ptCount val="3"/>
                <c:pt idx="0">
                  <c:v>Alcance 1</c:v>
                </c:pt>
                <c:pt idx="1">
                  <c:v>Alcance 2</c:v>
                </c:pt>
                <c:pt idx="2">
                  <c:v>Alcance 3</c:v>
                </c:pt>
              </c:strCache>
            </c:strRef>
          </c:cat>
          <c:val>
            <c:numRef>
              <c:f>Comparacion!$T$24:$T$26</c:f>
              <c:numCache>
                <c:formatCode>General</c:formatCode>
                <c:ptCount val="3"/>
                <c:pt idx="0">
                  <c:v>576.69055865899998</c:v>
                </c:pt>
                <c:pt idx="1">
                  <c:v>814.24</c:v>
                </c:pt>
                <c:pt idx="2">
                  <c:v>1164.66638794444</c:v>
                </c:pt>
              </c:numCache>
            </c:numRef>
          </c:val>
        </c:ser>
        <c:dLbls>
          <c:showLegendKey val="0"/>
          <c:showVal val="0"/>
          <c:showCatName val="0"/>
          <c:showSerName val="0"/>
          <c:showPercent val="0"/>
          <c:showBubbleSize val="0"/>
        </c:dLbls>
        <c:gapWidth val="150"/>
        <c:axId val="142586928"/>
        <c:axId val="142587472"/>
      </c:barChart>
      <c:catAx>
        <c:axId val="142586928"/>
        <c:scaling>
          <c:orientation val="minMax"/>
        </c:scaling>
        <c:delete val="0"/>
        <c:axPos val="b"/>
        <c:title>
          <c:tx>
            <c:rich>
              <a:bodyPr rot="0"/>
              <a:lstStyle/>
              <a:p>
                <a:pPr>
                  <a:defRPr sz="1000" b="0" i="0" u="none" strike="noStrike">
                    <a:solidFill>
                      <a:srgbClr val="595959"/>
                    </a:solidFill>
                    <a:latin typeface="Calibri"/>
                  </a:defRPr>
                </a:pPr>
                <a:r>
                  <a:rPr lang="es-CO" sz="1000" b="0" i="0" u="none" strike="noStrike">
                    <a:solidFill>
                      <a:srgbClr val="595959"/>
                    </a:solidFill>
                    <a:latin typeface="Calibri"/>
                  </a:rPr>
                  <a:t>Alcances</a:t>
                </a:r>
              </a:p>
            </c:rich>
          </c:tx>
          <c:layout/>
          <c:overlay val="1"/>
        </c:title>
        <c:numFmt formatCode="General" sourceLinked="1"/>
        <c:majorTickMark val="none"/>
        <c:minorTickMark val="none"/>
        <c:tickLblPos val="low"/>
        <c:spPr>
          <a:ln w="12700" cap="flat">
            <a:solidFill>
              <a:srgbClr val="D9D9D9"/>
            </a:solidFill>
            <a:prstDash val="solid"/>
            <a:round/>
          </a:ln>
        </c:spPr>
        <c:txPr>
          <a:bodyPr rot="0"/>
          <a:lstStyle/>
          <a:p>
            <a:pPr>
              <a:defRPr sz="900" b="0" i="0" u="none" strike="noStrike">
                <a:solidFill>
                  <a:srgbClr val="595959"/>
                </a:solidFill>
                <a:latin typeface="Calibri"/>
              </a:defRPr>
            </a:pPr>
            <a:endParaRPr lang="es-CO"/>
          </a:p>
        </c:txPr>
        <c:crossAx val="142587472"/>
        <c:crosses val="autoZero"/>
        <c:auto val="1"/>
        <c:lblAlgn val="ctr"/>
        <c:lblOffset val="100"/>
        <c:noMultiLvlLbl val="1"/>
      </c:catAx>
      <c:valAx>
        <c:axId val="142587472"/>
        <c:scaling>
          <c:orientation val="minMax"/>
        </c:scaling>
        <c:delete val="0"/>
        <c:axPos val="l"/>
        <c:majorGridlines>
          <c:spPr>
            <a:ln w="12700" cap="flat">
              <a:solidFill>
                <a:srgbClr val="D9D9D9"/>
              </a:solidFill>
              <a:prstDash val="solid"/>
              <a:round/>
            </a:ln>
          </c:spPr>
        </c:majorGridlines>
        <c:title>
          <c:tx>
            <c:rich>
              <a:bodyPr rot="-5400000"/>
              <a:lstStyle/>
              <a:p>
                <a:pPr>
                  <a:defRPr sz="1000" b="0" i="0" u="none" strike="noStrike">
                    <a:solidFill>
                      <a:srgbClr val="595959"/>
                    </a:solidFill>
                    <a:latin typeface="Calibri"/>
                  </a:defRPr>
                </a:pPr>
                <a:r>
                  <a:rPr lang="es-CO" sz="1000" b="0" i="0" u="none" strike="noStrike">
                    <a:solidFill>
                      <a:srgbClr val="595959"/>
                    </a:solidFill>
                    <a:latin typeface="Calibri"/>
                  </a:rPr>
                  <a:t>Ton CO2 equvalente</a:t>
                </a:r>
              </a:p>
            </c:rich>
          </c:tx>
          <c:layout/>
          <c:overlay val="1"/>
        </c:title>
        <c:numFmt formatCode="General" sourceLinked="1"/>
        <c:majorTickMark val="none"/>
        <c:minorTickMark val="none"/>
        <c:tickLblPos val="nextTo"/>
        <c:spPr>
          <a:ln w="12700" cap="flat">
            <a:noFill/>
            <a:prstDash val="solid"/>
            <a:round/>
          </a:ln>
        </c:spPr>
        <c:txPr>
          <a:bodyPr rot="0"/>
          <a:lstStyle/>
          <a:p>
            <a:pPr>
              <a:defRPr sz="900" b="0" i="0" u="none" strike="noStrike">
                <a:solidFill>
                  <a:srgbClr val="595959"/>
                </a:solidFill>
                <a:latin typeface="Calibri"/>
              </a:defRPr>
            </a:pPr>
            <a:endParaRPr lang="es-CO"/>
          </a:p>
        </c:txPr>
        <c:crossAx val="142586928"/>
        <c:crosses val="autoZero"/>
        <c:crossBetween val="between"/>
        <c:majorUnit val="300"/>
        <c:minorUnit val="150"/>
      </c:valAx>
      <c:spPr>
        <a:noFill/>
        <a:ln w="12700" cap="flat">
          <a:noFill/>
          <a:miter lim="400000"/>
        </a:ln>
        <a:effectLst/>
      </c:spPr>
    </c:plotArea>
    <c:legend>
      <c:legendPos val="r"/>
      <c:layout>
        <c:manualLayout>
          <c:xMode val="edge"/>
          <c:yMode val="edge"/>
          <c:x val="0.91626799999999997"/>
          <c:y val="0.39828599999999997"/>
          <c:w val="8.3731700000000006E-2"/>
          <c:h val="0.124931"/>
        </c:manualLayout>
      </c:layout>
      <c:overlay val="1"/>
      <c:spPr>
        <a:noFill/>
        <a:ln w="12700" cap="flat">
          <a:noFill/>
          <a:miter lim="400000"/>
        </a:ln>
        <a:effectLst/>
      </c:spPr>
      <c:txPr>
        <a:bodyPr rot="0"/>
        <a:lstStyle/>
        <a:p>
          <a:pPr>
            <a:defRPr sz="9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D9D9D9"/>
      </a:solidFill>
      <a:prstDash val="solid"/>
      <a:round/>
    </a:ln>
    <a:effec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10</xdr:col>
      <xdr:colOff>25301</xdr:colOff>
      <xdr:row>13</xdr:row>
      <xdr:rowOff>135687</xdr:rowOff>
    </xdr:from>
    <xdr:to>
      <xdr:col>11</xdr:col>
      <xdr:colOff>797020</xdr:colOff>
      <xdr:row>22</xdr:row>
      <xdr:rowOff>87418</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774283</xdr:colOff>
      <xdr:row>45</xdr:row>
      <xdr:rowOff>7936</xdr:rowOff>
    </xdr:from>
    <xdr:to>
      <xdr:col>17</xdr:col>
      <xdr:colOff>111124</xdr:colOff>
      <xdr:row>58</xdr:row>
      <xdr:rowOff>94508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122751</xdr:colOff>
      <xdr:row>0</xdr:row>
      <xdr:rowOff>0</xdr:rowOff>
    </xdr:from>
    <xdr:to>
      <xdr:col>19</xdr:col>
      <xdr:colOff>286824</xdr:colOff>
      <xdr:row>21</xdr:row>
      <xdr:rowOff>62472</xdr:rowOff>
    </xdr:to>
    <xdr:graphicFrame macro="">
      <xdr:nvGraphicFramePr>
        <xdr:cNvPr id="4"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779045</xdr:colOff>
      <xdr:row>60</xdr:row>
      <xdr:rowOff>31750</xdr:rowOff>
    </xdr:from>
    <xdr:to>
      <xdr:col>17</xdr:col>
      <xdr:colOff>115887</xdr:colOff>
      <xdr:row>73</xdr:row>
      <xdr:rowOff>118321</xdr:rowOff>
    </xdr:to>
    <xdr:graphicFrame macro="">
      <xdr:nvGraphicFramePr>
        <xdr:cNvPr id="5"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69432</xdr:colOff>
      <xdr:row>74</xdr:row>
      <xdr:rowOff>79375</xdr:rowOff>
    </xdr:from>
    <xdr:to>
      <xdr:col>17</xdr:col>
      <xdr:colOff>387347</xdr:colOff>
      <xdr:row>88</xdr:row>
      <xdr:rowOff>165946</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23463</xdr:colOff>
      <xdr:row>89</xdr:row>
      <xdr:rowOff>184150</xdr:rowOff>
    </xdr:from>
    <xdr:to>
      <xdr:col>17</xdr:col>
      <xdr:colOff>134937</xdr:colOff>
      <xdr:row>103</xdr:row>
      <xdr:rowOff>70696</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655144</xdr:colOff>
      <xdr:row>74</xdr:row>
      <xdr:rowOff>55562</xdr:rowOff>
    </xdr:from>
    <xdr:to>
      <xdr:col>23</xdr:col>
      <xdr:colOff>358772</xdr:colOff>
      <xdr:row>88</xdr:row>
      <xdr:rowOff>142134</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13</xdr:col>
      <xdr:colOff>14524</xdr:colOff>
      <xdr:row>106</xdr:row>
      <xdr:rowOff>127286</xdr:rowOff>
    </xdr:from>
    <xdr:to>
      <xdr:col>18</xdr:col>
      <xdr:colOff>428470</xdr:colOff>
      <xdr:row>119</xdr:row>
      <xdr:rowOff>179630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731445</xdr:colOff>
      <xdr:row>28</xdr:row>
      <xdr:rowOff>176902</xdr:rowOff>
    </xdr:from>
    <xdr:to>
      <xdr:col>22</xdr:col>
      <xdr:colOff>255044</xdr:colOff>
      <xdr:row>42</xdr:row>
      <xdr:rowOff>191532</xdr:rowOff>
    </xdr:to>
    <xdr:graphicFrame macro="">
      <xdr:nvGraphicFramePr>
        <xdr:cNvPr id="11"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161538</xdr:colOff>
      <xdr:row>44</xdr:row>
      <xdr:rowOff>110348</xdr:rowOff>
    </xdr:from>
    <xdr:to>
      <xdr:col>22</xdr:col>
      <xdr:colOff>618590</xdr:colOff>
      <xdr:row>61</xdr:row>
      <xdr:rowOff>74258</xdr:rowOff>
    </xdr:to>
    <xdr:graphicFrame macro="">
      <xdr:nvGraphicFramePr>
        <xdr:cNvPr id="1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593103</xdr:colOff>
      <xdr:row>62</xdr:row>
      <xdr:rowOff>165698</xdr:rowOff>
    </xdr:from>
    <xdr:to>
      <xdr:col>22</xdr:col>
      <xdr:colOff>815339</xdr:colOff>
      <xdr:row>80</xdr:row>
      <xdr:rowOff>65592</xdr:rowOff>
    </xdr:to>
    <xdr:graphicFrame macro="">
      <xdr:nvGraphicFramePr>
        <xdr:cNvPr id="13"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145724</xdr:colOff>
      <xdr:row>67</xdr:row>
      <xdr:rowOff>21359</xdr:rowOff>
    </xdr:from>
    <xdr:to>
      <xdr:col>15</xdr:col>
      <xdr:colOff>663413</xdr:colOff>
      <xdr:row>83</xdr:row>
      <xdr:rowOff>130554</xdr:rowOff>
    </xdr:to>
    <xdr:graphicFrame macro="">
      <xdr:nvGraphicFramePr>
        <xdr:cNvPr id="14"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609910</xdr:colOff>
      <xdr:row>81</xdr:row>
      <xdr:rowOff>165696</xdr:rowOff>
    </xdr:from>
    <xdr:to>
      <xdr:col>22</xdr:col>
      <xdr:colOff>815339</xdr:colOff>
      <xdr:row>98</xdr:row>
      <xdr:rowOff>20767</xdr:rowOff>
    </xdr:to>
    <xdr:graphicFrame macro="">
      <xdr:nvGraphicFramePr>
        <xdr:cNvPr id="15"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551678</xdr:colOff>
      <xdr:row>85</xdr:row>
      <xdr:rowOff>165698</xdr:rowOff>
    </xdr:from>
    <xdr:to>
      <xdr:col>16</xdr:col>
      <xdr:colOff>44374</xdr:colOff>
      <xdr:row>103</xdr:row>
      <xdr:rowOff>31974</xdr:rowOff>
    </xdr:to>
    <xdr:graphicFrame macro="">
      <xdr:nvGraphicFramePr>
        <xdr:cNvPr id="16"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630898</xdr:colOff>
      <xdr:row>104</xdr:row>
      <xdr:rowOff>154489</xdr:rowOff>
    </xdr:from>
    <xdr:to>
      <xdr:col>15</xdr:col>
      <xdr:colOff>837751</xdr:colOff>
      <xdr:row>120</xdr:row>
      <xdr:rowOff>65591</xdr:rowOff>
    </xdr:to>
    <xdr:graphicFrame macro="">
      <xdr:nvGraphicFramePr>
        <xdr:cNvPr id="17"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23</xdr:col>
      <xdr:colOff>620833</xdr:colOff>
      <xdr:row>24</xdr:row>
      <xdr:rowOff>156571</xdr:rowOff>
    </xdr:from>
    <xdr:to>
      <xdr:col>33</xdr:col>
      <xdr:colOff>257449</xdr:colOff>
      <xdr:row>42</xdr:row>
      <xdr:rowOff>182729</xdr:rowOff>
    </xdr:to>
    <xdr:graphicFrame macro="">
      <xdr:nvGraphicFramePr>
        <xdr:cNvPr id="18"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Tema de Office">
  <a:themeElements>
    <a:clrScheme name="Tema de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e Office">
      <a:majorFont>
        <a:latin typeface="Helvetica Neue"/>
        <a:ea typeface="Helvetica Neue"/>
        <a:cs typeface="Helvetica Neue"/>
      </a:majorFont>
      <a:minorFont>
        <a:latin typeface="Helvetica Neue"/>
        <a:ea typeface="Helvetica Neue"/>
        <a:cs typeface="Helvetica Neue"/>
      </a:minorFont>
    </a:fontScheme>
    <a:fmtScheme name="Tema de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26"/>
  <sheetViews>
    <sheetView showGridLines="0" workbookViewId="0"/>
  </sheetViews>
  <sheetFormatPr baseColWidth="10" defaultColWidth="10" defaultRowHeight="12.95" customHeight="1" x14ac:dyDescent="0.25"/>
  <cols>
    <col min="1" max="1" width="2" customWidth="1"/>
    <col min="2" max="4" width="28" customWidth="1"/>
  </cols>
  <sheetData>
    <row r="3" spans="2:4" ht="50.1" customHeight="1" x14ac:dyDescent="0.25">
      <c r="B3" s="215" t="s">
        <v>0</v>
      </c>
      <c r="C3" s="216"/>
      <c r="D3" s="216"/>
    </row>
    <row r="7" spans="2:4" ht="18.75" x14ac:dyDescent="0.3">
      <c r="B7" s="1" t="s">
        <v>1</v>
      </c>
      <c r="C7" s="1" t="s">
        <v>2</v>
      </c>
      <c r="D7" s="1" t="s">
        <v>3</v>
      </c>
    </row>
    <row r="9" spans="2:4" ht="15.75" x14ac:dyDescent="0.25">
      <c r="B9" s="2" t="s">
        <v>4</v>
      </c>
      <c r="C9" s="2"/>
      <c r="D9" s="2"/>
    </row>
    <row r="10" spans="2:4" ht="15.75" x14ac:dyDescent="0.25">
      <c r="B10" s="3"/>
      <c r="C10" s="3" t="s">
        <v>5</v>
      </c>
      <c r="D10" s="4" t="s">
        <v>4</v>
      </c>
    </row>
    <row r="11" spans="2:4" ht="15.75" x14ac:dyDescent="0.25">
      <c r="B11" s="2" t="s">
        <v>118</v>
      </c>
      <c r="C11" s="2"/>
      <c r="D11" s="2"/>
    </row>
    <row r="12" spans="2:4" ht="15.75" x14ac:dyDescent="0.25">
      <c r="B12" s="3"/>
      <c r="C12" s="3" t="s">
        <v>5</v>
      </c>
      <c r="D12" s="4" t="s">
        <v>118</v>
      </c>
    </row>
    <row r="13" spans="2:4" ht="15.75" x14ac:dyDescent="0.25">
      <c r="B13" s="2" t="s">
        <v>233</v>
      </c>
      <c r="C13" s="2"/>
      <c r="D13" s="2"/>
    </row>
    <row r="14" spans="2:4" ht="15.75" x14ac:dyDescent="0.25">
      <c r="B14" s="3"/>
      <c r="C14" s="3" t="s">
        <v>5</v>
      </c>
      <c r="D14" s="4" t="s">
        <v>233</v>
      </c>
    </row>
    <row r="15" spans="2:4" ht="15.75" x14ac:dyDescent="0.25">
      <c r="B15" s="2" t="s">
        <v>75</v>
      </c>
      <c r="C15" s="2"/>
      <c r="D15" s="2"/>
    </row>
    <row r="16" spans="2:4" ht="15.75" x14ac:dyDescent="0.25">
      <c r="B16" s="3"/>
      <c r="C16" s="3" t="s">
        <v>5</v>
      </c>
      <c r="D16" s="4" t="s">
        <v>75</v>
      </c>
    </row>
    <row r="17" spans="2:4" ht="15.75" x14ac:dyDescent="0.25">
      <c r="B17" s="2" t="s">
        <v>196</v>
      </c>
      <c r="C17" s="2"/>
      <c r="D17" s="2"/>
    </row>
    <row r="18" spans="2:4" ht="15.75" x14ac:dyDescent="0.25">
      <c r="B18" s="3"/>
      <c r="C18" s="3" t="s">
        <v>5</v>
      </c>
      <c r="D18" s="4" t="s">
        <v>196</v>
      </c>
    </row>
    <row r="19" spans="2:4" ht="15.75" x14ac:dyDescent="0.25">
      <c r="B19" s="2" t="s">
        <v>425</v>
      </c>
      <c r="C19" s="2"/>
      <c r="D19" s="2"/>
    </row>
    <row r="20" spans="2:4" ht="15.75" x14ac:dyDescent="0.25">
      <c r="B20" s="3"/>
      <c r="C20" s="3" t="s">
        <v>5</v>
      </c>
      <c r="D20" s="4" t="s">
        <v>425</v>
      </c>
    </row>
    <row r="21" spans="2:4" ht="15.75" x14ac:dyDescent="0.25">
      <c r="B21" s="2" t="s">
        <v>447</v>
      </c>
      <c r="C21" s="2"/>
      <c r="D21" s="2"/>
    </row>
    <row r="22" spans="2:4" ht="15.75" x14ac:dyDescent="0.25">
      <c r="B22" s="3"/>
      <c r="C22" s="3" t="s">
        <v>5</v>
      </c>
      <c r="D22" s="4" t="s">
        <v>447</v>
      </c>
    </row>
    <row r="23" spans="2:4" ht="15.75" x14ac:dyDescent="0.25">
      <c r="B23" s="2" t="s">
        <v>483</v>
      </c>
      <c r="C23" s="2"/>
      <c r="D23" s="2"/>
    </row>
    <row r="24" spans="2:4" ht="15.75" x14ac:dyDescent="0.25">
      <c r="B24" s="3"/>
      <c r="C24" s="3" t="s">
        <v>5</v>
      </c>
      <c r="D24" s="4" t="s">
        <v>483</v>
      </c>
    </row>
    <row r="25" spans="2:4" ht="15.75" x14ac:dyDescent="0.25">
      <c r="B25" s="2" t="s">
        <v>495</v>
      </c>
      <c r="C25" s="2"/>
      <c r="D25" s="2"/>
    </row>
    <row r="26" spans="2:4" ht="15.75" x14ac:dyDescent="0.25">
      <c r="B26" s="3"/>
      <c r="C26" s="3" t="s">
        <v>5</v>
      </c>
      <c r="D26" s="4" t="s">
        <v>495</v>
      </c>
    </row>
  </sheetData>
  <mergeCells count="1">
    <mergeCell ref="B3:D3"/>
  </mergeCells>
  <hyperlinks>
    <hyperlink ref="D10" location="'Medellin'!R1C1" display="Medellin"/>
    <hyperlink ref="D12" location="'Villavicencio'!R1C1" display="Villavicencio"/>
    <hyperlink ref="D14" location="'Tunja'!R1C1" display="Tunja"/>
    <hyperlink ref="D16" location="'Bucaramanga'!R1C1" display="Bucaramanga"/>
    <hyperlink ref="D18" location="'Bogota'!R1C1" display="Bogota"/>
    <hyperlink ref="D20" location="'DUAD'!R1C1" display="DUAD"/>
    <hyperlink ref="D22" location="'Huella 2018'!R1C1" display="Huella 2018"/>
    <hyperlink ref="D24" location="'Huella 2017'!R1C1" display="Huella 2017"/>
    <hyperlink ref="D26" location="'Comparacion'!R1C1" display="Comparacion"/>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1"/>
  <sheetViews>
    <sheetView showGridLines="0" tabSelected="1" topLeftCell="F55" workbookViewId="0">
      <selection activeCell="J41" sqref="J41:N41"/>
    </sheetView>
  </sheetViews>
  <sheetFormatPr baseColWidth="10" defaultColWidth="10.875" defaultRowHeight="15" customHeight="1" x14ac:dyDescent="0.25"/>
  <cols>
    <col min="1" max="1" width="14" style="139" customWidth="1"/>
    <col min="2" max="2" width="11" style="139" customWidth="1"/>
    <col min="3" max="3" width="31.125" style="139" customWidth="1"/>
    <col min="4" max="4" width="15.875" style="139" customWidth="1"/>
    <col min="5" max="5" width="11" style="139" customWidth="1"/>
    <col min="6" max="6" width="17.375" style="139" customWidth="1"/>
    <col min="7" max="7" width="15.875" style="139" customWidth="1"/>
    <col min="8" max="9" width="11" style="139" customWidth="1"/>
    <col min="10" max="10" width="22" style="139" customWidth="1"/>
    <col min="11" max="11" width="11" style="139" customWidth="1"/>
    <col min="12" max="12" width="12.125" style="139" customWidth="1"/>
    <col min="13" max="13" width="13.375" style="139" customWidth="1"/>
    <col min="14" max="14" width="20.125" style="139" customWidth="1"/>
    <col min="15" max="17" width="11" style="139" customWidth="1"/>
    <col min="18" max="18" width="16.625" style="139" customWidth="1"/>
    <col min="19" max="20" width="11" style="139" customWidth="1"/>
    <col min="21" max="21" width="18.375" style="139" customWidth="1"/>
    <col min="22" max="22" width="25.875" style="139" customWidth="1"/>
    <col min="23" max="23" width="20.875" style="139" customWidth="1"/>
    <col min="24" max="24" width="11" style="139" customWidth="1"/>
    <col min="25" max="25" width="13.5" style="139" customWidth="1"/>
    <col min="26" max="34" width="11" style="139" customWidth="1"/>
    <col min="35" max="256" width="10.875" style="139" customWidth="1"/>
  </cols>
  <sheetData>
    <row r="1" spans="1:34" ht="15" customHeight="1" x14ac:dyDescent="0.25">
      <c r="A1" s="140"/>
      <c r="B1" s="439">
        <v>2042.53</v>
      </c>
      <c r="C1" s="440"/>
      <c r="D1" s="141" t="s">
        <v>496</v>
      </c>
      <c r="E1" s="441">
        <v>2555.5970566034398</v>
      </c>
      <c r="F1" s="442"/>
      <c r="G1" s="141" t="s">
        <v>497</v>
      </c>
      <c r="H1" s="142">
        <f>E1-B1</f>
        <v>513.06705660343982</v>
      </c>
      <c r="I1" s="143"/>
      <c r="J1" s="144" t="s">
        <v>498</v>
      </c>
      <c r="K1" s="145"/>
      <c r="L1" s="146"/>
      <c r="M1" s="146"/>
      <c r="N1" s="146"/>
      <c r="O1" s="146"/>
      <c r="P1" s="146"/>
      <c r="Q1" s="146"/>
      <c r="R1" s="146"/>
      <c r="S1" s="146"/>
      <c r="T1" s="146"/>
      <c r="U1" s="146"/>
      <c r="V1" s="146"/>
      <c r="W1" s="146"/>
      <c r="X1" s="146"/>
      <c r="Y1" s="146"/>
      <c r="Z1" s="146"/>
      <c r="AA1" s="146"/>
      <c r="AB1" s="146"/>
      <c r="AC1" s="146"/>
      <c r="AD1" s="146"/>
      <c r="AE1" s="146"/>
      <c r="AF1" s="146"/>
      <c r="AG1" s="146"/>
      <c r="AH1" s="146"/>
    </row>
    <row r="2" spans="1:34" ht="16.5" customHeight="1" x14ac:dyDescent="0.25">
      <c r="A2" s="147"/>
      <c r="B2" s="456" t="s">
        <v>499</v>
      </c>
      <c r="C2" s="457"/>
      <c r="D2" s="458"/>
      <c r="E2" s="456" t="s">
        <v>500</v>
      </c>
      <c r="F2" s="457"/>
      <c r="G2" s="458"/>
      <c r="H2" s="148"/>
      <c r="I2" s="146"/>
      <c r="J2" s="149"/>
      <c r="K2" s="150"/>
      <c r="L2" s="150"/>
      <c r="M2" s="150"/>
      <c r="N2" s="150"/>
      <c r="O2" s="146"/>
      <c r="P2" s="150"/>
      <c r="Q2" s="150"/>
      <c r="R2" s="150"/>
      <c r="S2" s="150"/>
      <c r="T2" s="150"/>
      <c r="U2" s="146"/>
      <c r="V2" s="151"/>
      <c r="W2" s="151"/>
      <c r="X2" s="151"/>
      <c r="Y2" s="146"/>
      <c r="Z2" s="146"/>
      <c r="AA2" s="146"/>
      <c r="AB2" s="146"/>
      <c r="AC2" s="146"/>
      <c r="AD2" s="146"/>
      <c r="AE2" s="146"/>
      <c r="AF2" s="146"/>
      <c r="AG2" s="146"/>
      <c r="AH2" s="146"/>
    </row>
    <row r="3" spans="1:34" ht="15.75" customHeight="1" x14ac:dyDescent="0.25">
      <c r="A3" s="152" t="s">
        <v>451</v>
      </c>
      <c r="B3" s="152" t="s">
        <v>452</v>
      </c>
      <c r="C3" s="152" t="s">
        <v>485</v>
      </c>
      <c r="D3" s="152" t="s">
        <v>454</v>
      </c>
      <c r="E3" s="152" t="s">
        <v>452</v>
      </c>
      <c r="F3" s="152" t="s">
        <v>485</v>
      </c>
      <c r="G3" s="152" t="s">
        <v>454</v>
      </c>
      <c r="H3" s="152" t="s">
        <v>501</v>
      </c>
      <c r="I3" s="153"/>
      <c r="J3" s="407">
        <v>2018</v>
      </c>
      <c r="K3" s="408"/>
      <c r="L3" s="408"/>
      <c r="M3" s="408"/>
      <c r="N3" s="409"/>
      <c r="O3" s="154"/>
      <c r="P3" s="407">
        <v>2017</v>
      </c>
      <c r="Q3" s="408"/>
      <c r="R3" s="408"/>
      <c r="S3" s="408"/>
      <c r="T3" s="409"/>
      <c r="U3" s="155"/>
      <c r="V3" s="387" t="s">
        <v>502</v>
      </c>
      <c r="W3" s="388"/>
      <c r="X3" s="388"/>
      <c r="Y3" s="156"/>
      <c r="Z3" s="146"/>
      <c r="AA3" s="146"/>
      <c r="AB3" s="146"/>
      <c r="AC3" s="146"/>
      <c r="AD3" s="146"/>
      <c r="AE3" s="146"/>
      <c r="AF3" s="146"/>
      <c r="AG3" s="146"/>
      <c r="AH3" s="146"/>
    </row>
    <row r="4" spans="1:34" ht="15.75" customHeight="1" x14ac:dyDescent="0.25">
      <c r="A4" s="451" t="s">
        <v>4</v>
      </c>
      <c r="B4" s="443">
        <v>1</v>
      </c>
      <c r="C4" s="83" t="s">
        <v>486</v>
      </c>
      <c r="D4" s="92">
        <f>3.81*1000</f>
        <v>3810</v>
      </c>
      <c r="E4" s="443">
        <v>1</v>
      </c>
      <c r="F4" s="83" t="s">
        <v>7</v>
      </c>
      <c r="G4" s="84">
        <v>2496.3130000000001</v>
      </c>
      <c r="H4" s="157">
        <v>-1313.6869999999999</v>
      </c>
      <c r="I4" s="153"/>
      <c r="J4" s="400" t="s">
        <v>473</v>
      </c>
      <c r="K4" s="401"/>
      <c r="L4" s="401"/>
      <c r="M4" s="401"/>
      <c r="N4" s="402"/>
      <c r="O4" s="154"/>
      <c r="P4" s="400" t="s">
        <v>503</v>
      </c>
      <c r="Q4" s="401"/>
      <c r="R4" s="401"/>
      <c r="S4" s="401"/>
      <c r="T4" s="402"/>
      <c r="U4" s="155"/>
      <c r="V4" s="158">
        <v>2018</v>
      </c>
      <c r="W4" s="158">
        <v>2017</v>
      </c>
      <c r="X4" s="159" t="s">
        <v>475</v>
      </c>
      <c r="Y4" s="156"/>
      <c r="Z4" s="146"/>
      <c r="AA4" s="146"/>
      <c r="AB4" s="146"/>
      <c r="AC4" s="146"/>
      <c r="AD4" s="146"/>
      <c r="AE4" s="146"/>
      <c r="AF4" s="146"/>
      <c r="AG4" s="146"/>
      <c r="AH4" s="146"/>
    </row>
    <row r="5" spans="1:34" ht="15.75" customHeight="1" x14ac:dyDescent="0.25">
      <c r="A5" s="452"/>
      <c r="B5" s="444"/>
      <c r="C5" s="83" t="s">
        <v>488</v>
      </c>
      <c r="D5" s="92">
        <f>26.05*1000</f>
        <v>26050</v>
      </c>
      <c r="E5" s="444"/>
      <c r="F5" s="83" t="s">
        <v>461</v>
      </c>
      <c r="G5" s="84">
        <v>0</v>
      </c>
      <c r="H5" s="157">
        <v>-4280</v>
      </c>
      <c r="I5" s="153"/>
      <c r="J5" s="160" t="s">
        <v>452</v>
      </c>
      <c r="K5" s="410" t="s">
        <v>474</v>
      </c>
      <c r="L5" s="411"/>
      <c r="M5" s="161" t="s">
        <v>475</v>
      </c>
      <c r="N5" s="162" t="s">
        <v>476</v>
      </c>
      <c r="O5" s="154"/>
      <c r="P5" s="160" t="s">
        <v>452</v>
      </c>
      <c r="Q5" s="410" t="s">
        <v>474</v>
      </c>
      <c r="R5" s="411"/>
      <c r="S5" s="161" t="s">
        <v>475</v>
      </c>
      <c r="T5" s="162" t="s">
        <v>476</v>
      </c>
      <c r="U5" s="155"/>
      <c r="V5" s="163" t="s">
        <v>504</v>
      </c>
      <c r="W5" s="389" t="s">
        <v>505</v>
      </c>
      <c r="X5" s="391">
        <v>15.95</v>
      </c>
      <c r="Y5" s="156"/>
      <c r="Z5" s="146"/>
      <c r="AA5" s="146"/>
      <c r="AB5" s="146"/>
      <c r="AC5" s="146"/>
      <c r="AD5" s="146"/>
      <c r="AE5" s="146"/>
      <c r="AF5" s="146"/>
      <c r="AG5" s="146"/>
      <c r="AH5" s="146"/>
    </row>
    <row r="6" spans="1:34" ht="15.75" customHeight="1" x14ac:dyDescent="0.25">
      <c r="A6" s="452"/>
      <c r="B6" s="445"/>
      <c r="C6" s="83" t="s">
        <v>490</v>
      </c>
      <c r="D6" s="92">
        <f>4.28*1000</f>
        <v>4280</v>
      </c>
      <c r="E6" s="445"/>
      <c r="F6" s="83" t="s">
        <v>463</v>
      </c>
      <c r="G6" s="84">
        <v>0</v>
      </c>
      <c r="H6" s="164"/>
      <c r="I6" s="153"/>
      <c r="J6" s="412" t="s">
        <v>477</v>
      </c>
      <c r="K6" s="403" t="s">
        <v>7</v>
      </c>
      <c r="L6" s="404"/>
      <c r="M6" s="165">
        <v>268.505908659</v>
      </c>
      <c r="N6" s="166">
        <v>10.506582325457099</v>
      </c>
      <c r="O6" s="154"/>
      <c r="P6" s="412" t="s">
        <v>477</v>
      </c>
      <c r="Q6" s="403" t="s">
        <v>506</v>
      </c>
      <c r="R6" s="404"/>
      <c r="S6" s="167">
        <v>28.92</v>
      </c>
      <c r="T6" s="168">
        <f t="shared" ref="T6:T11" si="0">(S6*100)/$B$1</f>
        <v>1.4158910762632617</v>
      </c>
      <c r="U6" s="155"/>
      <c r="V6" s="163" t="s">
        <v>29</v>
      </c>
      <c r="W6" s="390"/>
      <c r="X6" s="392"/>
      <c r="Y6" s="156"/>
      <c r="Z6" s="146"/>
      <c r="AA6" s="146"/>
      <c r="AB6" s="146"/>
      <c r="AC6" s="146"/>
      <c r="AD6" s="146"/>
      <c r="AE6" s="146"/>
      <c r="AF6" s="146"/>
      <c r="AG6" s="146"/>
      <c r="AH6" s="146"/>
    </row>
    <row r="7" spans="1:34" ht="15" customHeight="1" x14ac:dyDescent="0.25">
      <c r="A7" s="452"/>
      <c r="B7" s="169">
        <v>2</v>
      </c>
      <c r="C7" s="64" t="s">
        <v>464</v>
      </c>
      <c r="D7" s="170">
        <f>13.1*1000</f>
        <v>13100</v>
      </c>
      <c r="E7" s="169">
        <v>2</v>
      </c>
      <c r="F7" s="64" t="s">
        <v>464</v>
      </c>
      <c r="G7" s="66">
        <v>18098.28</v>
      </c>
      <c r="H7" s="157">
        <v>4998.28</v>
      </c>
      <c r="I7" s="153"/>
      <c r="J7" s="413"/>
      <c r="K7" s="403" t="s">
        <v>461</v>
      </c>
      <c r="L7" s="404"/>
      <c r="M7" s="165">
        <v>59.214199999999998</v>
      </c>
      <c r="N7" s="166">
        <v>2.31703976364332</v>
      </c>
      <c r="O7" s="154"/>
      <c r="P7" s="413"/>
      <c r="Q7" s="403" t="s">
        <v>507</v>
      </c>
      <c r="R7" s="404"/>
      <c r="S7" s="167">
        <v>246.42</v>
      </c>
      <c r="T7" s="168">
        <f t="shared" si="0"/>
        <v>12.064449481770158</v>
      </c>
      <c r="U7" s="155"/>
      <c r="V7" s="163" t="s">
        <v>508</v>
      </c>
      <c r="W7" s="390"/>
      <c r="X7" s="392"/>
      <c r="Y7" s="156"/>
      <c r="Z7" s="146"/>
      <c r="AA7" s="146"/>
      <c r="AB7" s="146"/>
      <c r="AC7" s="146"/>
      <c r="AD7" s="146"/>
      <c r="AE7" s="146"/>
      <c r="AF7" s="146"/>
      <c r="AG7" s="146"/>
      <c r="AH7" s="146"/>
    </row>
    <row r="8" spans="1:34" ht="15" customHeight="1" x14ac:dyDescent="0.25">
      <c r="A8" s="452"/>
      <c r="B8" s="448">
        <v>3</v>
      </c>
      <c r="C8" s="28" t="s">
        <v>58</v>
      </c>
      <c r="D8" s="171">
        <f>26.81*1000</f>
        <v>26810</v>
      </c>
      <c r="E8" s="448">
        <v>3</v>
      </c>
      <c r="F8" s="28" t="s">
        <v>466</v>
      </c>
      <c r="G8" s="99">
        <v>16904.150000000001</v>
      </c>
      <c r="H8" s="157">
        <v>-9905.8500000000204</v>
      </c>
      <c r="I8" s="153"/>
      <c r="J8" s="413"/>
      <c r="K8" s="403" t="s">
        <v>463</v>
      </c>
      <c r="L8" s="404"/>
      <c r="M8" s="165">
        <v>0.72333000000000003</v>
      </c>
      <c r="N8" s="166">
        <v>2.83037577512847E-2</v>
      </c>
      <c r="O8" s="154"/>
      <c r="P8" s="413"/>
      <c r="Q8" s="393" t="s">
        <v>509</v>
      </c>
      <c r="R8" s="394"/>
      <c r="S8" s="172">
        <f>SUM(S6:S7)</f>
        <v>275.33999999999997</v>
      </c>
      <c r="T8" s="173">
        <f t="shared" si="0"/>
        <v>13.480340558033419</v>
      </c>
      <c r="U8" s="155"/>
      <c r="V8" s="163" t="s">
        <v>437</v>
      </c>
      <c r="W8" s="163" t="s">
        <v>437</v>
      </c>
      <c r="X8" s="158">
        <f>SUM(X5)</f>
        <v>15.95</v>
      </c>
      <c r="Y8" s="156"/>
      <c r="Z8" s="146"/>
      <c r="AA8" s="146"/>
      <c r="AB8" s="146"/>
      <c r="AC8" s="146"/>
      <c r="AD8" s="146"/>
      <c r="AE8" s="146"/>
      <c r="AF8" s="146"/>
      <c r="AG8" s="146"/>
      <c r="AH8" s="146"/>
    </row>
    <row r="9" spans="1:34" ht="15" customHeight="1" x14ac:dyDescent="0.25">
      <c r="A9" s="452"/>
      <c r="B9" s="449"/>
      <c r="C9" s="28" t="s">
        <v>95</v>
      </c>
      <c r="D9" s="171">
        <f>15.06*1000</f>
        <v>15060</v>
      </c>
      <c r="E9" s="449"/>
      <c r="F9" s="28" t="s">
        <v>95</v>
      </c>
      <c r="G9" s="99">
        <v>2066.2719999999999</v>
      </c>
      <c r="H9" s="157">
        <v>-12993.727999999999</v>
      </c>
      <c r="I9" s="153"/>
      <c r="J9" s="413"/>
      <c r="K9" s="403" t="s">
        <v>29</v>
      </c>
      <c r="L9" s="404"/>
      <c r="M9" s="165">
        <v>248.24712</v>
      </c>
      <c r="N9" s="166">
        <v>9.7138599905079204</v>
      </c>
      <c r="O9" s="154"/>
      <c r="P9" s="413"/>
      <c r="Q9" s="403" t="s">
        <v>510</v>
      </c>
      <c r="R9" s="404"/>
      <c r="S9" s="167">
        <v>182.11</v>
      </c>
      <c r="T9" s="168">
        <f t="shared" si="0"/>
        <v>8.9159033159855667</v>
      </c>
      <c r="U9" s="174"/>
      <c r="V9" s="175"/>
      <c r="W9" s="175"/>
      <c r="X9" s="175"/>
      <c r="Y9" s="146"/>
      <c r="Z9" s="146"/>
      <c r="AA9" s="146"/>
      <c r="AB9" s="146"/>
      <c r="AC9" s="146"/>
      <c r="AD9" s="146"/>
      <c r="AE9" s="146"/>
      <c r="AF9" s="146"/>
      <c r="AG9" s="146"/>
      <c r="AH9" s="146"/>
    </row>
    <row r="10" spans="1:34" ht="15.75" customHeight="1" x14ac:dyDescent="0.25">
      <c r="A10" s="452"/>
      <c r="B10" s="449"/>
      <c r="C10" s="28" t="s">
        <v>493</v>
      </c>
      <c r="D10" s="171">
        <f>-4.72*1000</f>
        <v>-4720</v>
      </c>
      <c r="E10" s="449"/>
      <c r="F10" s="28" t="s">
        <v>467</v>
      </c>
      <c r="G10" s="106">
        <v>-1170</v>
      </c>
      <c r="H10" s="157">
        <v>3550</v>
      </c>
      <c r="I10" s="153"/>
      <c r="J10" s="414"/>
      <c r="K10" s="161" t="s">
        <v>35</v>
      </c>
      <c r="L10" s="176"/>
      <c r="M10" s="177">
        <v>576.69055865899998</v>
      </c>
      <c r="N10" s="178">
        <v>22.565785837359599</v>
      </c>
      <c r="O10" s="154"/>
      <c r="P10" s="414"/>
      <c r="Q10" s="179" t="s">
        <v>35</v>
      </c>
      <c r="R10" s="180"/>
      <c r="S10" s="181">
        <v>457.45</v>
      </c>
      <c r="T10" s="182">
        <f t="shared" si="0"/>
        <v>22.396243874018985</v>
      </c>
      <c r="U10" s="174"/>
      <c r="V10" s="146"/>
      <c r="W10" s="146"/>
      <c r="X10" s="146"/>
      <c r="Y10" s="146"/>
      <c r="Z10" s="146"/>
      <c r="AA10" s="146"/>
      <c r="AB10" s="146"/>
      <c r="AC10" s="146"/>
      <c r="AD10" s="146"/>
      <c r="AE10" s="146"/>
      <c r="AF10" s="146"/>
      <c r="AG10" s="146"/>
      <c r="AH10" s="146"/>
    </row>
    <row r="11" spans="1:34" ht="15.75" customHeight="1" x14ac:dyDescent="0.25">
      <c r="A11" s="453"/>
      <c r="B11" s="450"/>
      <c r="C11" s="28" t="s">
        <v>494</v>
      </c>
      <c r="D11" s="171">
        <v>0</v>
      </c>
      <c r="E11" s="450"/>
      <c r="F11" s="28" t="s">
        <v>469</v>
      </c>
      <c r="G11" s="106">
        <v>500</v>
      </c>
      <c r="H11" s="157">
        <v>500</v>
      </c>
      <c r="I11" s="153"/>
      <c r="J11" s="412" t="s">
        <v>478</v>
      </c>
      <c r="K11" s="415" t="s">
        <v>464</v>
      </c>
      <c r="L11" s="416"/>
      <c r="M11" s="421">
        <v>814.24010999999996</v>
      </c>
      <c r="N11" s="436">
        <v>31.861052112893699</v>
      </c>
      <c r="O11" s="154"/>
      <c r="P11" s="412" t="s">
        <v>478</v>
      </c>
      <c r="Q11" s="415" t="s">
        <v>464</v>
      </c>
      <c r="R11" s="416"/>
      <c r="S11" s="421">
        <v>580.79999999999995</v>
      </c>
      <c r="T11" s="424">
        <f t="shared" si="0"/>
        <v>28.435322859394962</v>
      </c>
      <c r="U11" s="174"/>
      <c r="V11" s="150"/>
      <c r="W11" s="150"/>
      <c r="X11" s="150"/>
      <c r="Y11" s="150"/>
      <c r="Z11" s="146"/>
      <c r="AA11" s="146"/>
      <c r="AB11" s="146"/>
      <c r="AC11" s="146"/>
      <c r="AD11" s="146"/>
      <c r="AE11" s="146"/>
      <c r="AF11" s="146"/>
      <c r="AG11" s="146"/>
      <c r="AH11" s="146"/>
    </row>
    <row r="12" spans="1:34" ht="15.75" customHeight="1" x14ac:dyDescent="0.25">
      <c r="A12" s="451" t="s">
        <v>118</v>
      </c>
      <c r="B12" s="443">
        <v>1</v>
      </c>
      <c r="C12" s="83" t="s">
        <v>486</v>
      </c>
      <c r="D12" s="92">
        <f>4.53*100</f>
        <v>453</v>
      </c>
      <c r="E12" s="443">
        <v>1</v>
      </c>
      <c r="F12" s="83" t="s">
        <v>7</v>
      </c>
      <c r="G12" s="85">
        <v>20440.657500000001</v>
      </c>
      <c r="H12" s="157">
        <v>19987.657500000001</v>
      </c>
      <c r="I12" s="153"/>
      <c r="J12" s="413"/>
      <c r="K12" s="417"/>
      <c r="L12" s="418"/>
      <c r="M12" s="422"/>
      <c r="N12" s="437"/>
      <c r="O12" s="154"/>
      <c r="P12" s="413"/>
      <c r="Q12" s="417"/>
      <c r="R12" s="418"/>
      <c r="S12" s="422"/>
      <c r="T12" s="425"/>
      <c r="U12" s="154"/>
      <c r="V12" s="183" t="s">
        <v>453</v>
      </c>
      <c r="W12" s="184">
        <v>2017</v>
      </c>
      <c r="X12" s="184">
        <v>2018</v>
      </c>
      <c r="Y12" s="185" t="s">
        <v>511</v>
      </c>
      <c r="Z12" s="174"/>
      <c r="AA12" s="146"/>
      <c r="AB12" s="146"/>
      <c r="AC12" s="146"/>
      <c r="AD12" s="146"/>
      <c r="AE12" s="146"/>
      <c r="AF12" s="146"/>
      <c r="AG12" s="146"/>
      <c r="AH12" s="146"/>
    </row>
    <row r="13" spans="1:34" ht="15.75" customHeight="1" x14ac:dyDescent="0.25">
      <c r="A13" s="452"/>
      <c r="B13" s="444"/>
      <c r="C13" s="83" t="s">
        <v>488</v>
      </c>
      <c r="D13" s="92">
        <f>19.89*1000</f>
        <v>19890</v>
      </c>
      <c r="E13" s="444"/>
      <c r="F13" s="83" t="s">
        <v>461</v>
      </c>
      <c r="G13" s="84">
        <v>4500</v>
      </c>
      <c r="H13" s="157">
        <v>90</v>
      </c>
      <c r="I13" s="153"/>
      <c r="J13" s="413"/>
      <c r="K13" s="419"/>
      <c r="L13" s="420"/>
      <c r="M13" s="423"/>
      <c r="N13" s="438"/>
      <c r="O13" s="154"/>
      <c r="P13" s="413"/>
      <c r="Q13" s="419"/>
      <c r="R13" s="420"/>
      <c r="S13" s="423"/>
      <c r="T13" s="426"/>
      <c r="U13" s="154"/>
      <c r="V13" s="186" t="s">
        <v>509</v>
      </c>
      <c r="W13" s="187">
        <v>275.33999999999997</v>
      </c>
      <c r="X13" s="188">
        <v>268.505908659</v>
      </c>
      <c r="Y13" s="189">
        <f t="shared" ref="Y13:Y18" si="1">((X13*100)/W13)-100</f>
        <v>-2.4820554009587994</v>
      </c>
      <c r="Z13" s="174"/>
      <c r="AA13" s="146"/>
      <c r="AB13" s="146"/>
      <c r="AC13" s="146"/>
      <c r="AD13" s="146"/>
      <c r="AE13" s="146"/>
      <c r="AF13" s="146"/>
      <c r="AG13" s="146"/>
      <c r="AH13" s="146"/>
    </row>
    <row r="14" spans="1:34" ht="15" customHeight="1" x14ac:dyDescent="0.25">
      <c r="A14" s="452"/>
      <c r="B14" s="445"/>
      <c r="C14" s="83" t="s">
        <v>490</v>
      </c>
      <c r="D14" s="92">
        <f>4.41*1000</f>
        <v>4410</v>
      </c>
      <c r="E14" s="445"/>
      <c r="F14" s="83" t="s">
        <v>463</v>
      </c>
      <c r="G14" s="84">
        <v>110</v>
      </c>
      <c r="H14" s="164"/>
      <c r="I14" s="153"/>
      <c r="J14" s="413"/>
      <c r="K14" s="427" t="s">
        <v>479</v>
      </c>
      <c r="L14" s="428"/>
      <c r="M14" s="431">
        <v>814.24</v>
      </c>
      <c r="N14" s="446">
        <v>31.861052112893699</v>
      </c>
      <c r="O14" s="154"/>
      <c r="P14" s="413"/>
      <c r="Q14" s="427" t="s">
        <v>479</v>
      </c>
      <c r="R14" s="428"/>
      <c r="S14" s="431">
        <v>580.79999999999995</v>
      </c>
      <c r="T14" s="433">
        <f>(S14*100)/$B$1</f>
        <v>28.435322859394962</v>
      </c>
      <c r="U14" s="154"/>
      <c r="V14" s="160" t="s">
        <v>510</v>
      </c>
      <c r="W14" s="190">
        <v>182.11</v>
      </c>
      <c r="X14" s="188">
        <v>59.214199999999998</v>
      </c>
      <c r="Y14" s="189">
        <f t="shared" si="1"/>
        <v>-67.48437757399374</v>
      </c>
      <c r="Z14" s="174"/>
      <c r="AA14" s="146"/>
      <c r="AB14" s="146"/>
      <c r="AC14" s="146"/>
      <c r="AD14" s="146"/>
      <c r="AE14" s="146"/>
      <c r="AF14" s="146"/>
      <c r="AG14" s="146"/>
      <c r="AH14" s="146"/>
    </row>
    <row r="15" spans="1:34" ht="15" customHeight="1" x14ac:dyDescent="0.25">
      <c r="A15" s="452"/>
      <c r="B15" s="169">
        <v>2</v>
      </c>
      <c r="C15" s="64" t="s">
        <v>464</v>
      </c>
      <c r="D15" s="170">
        <f>117.65*1000</f>
        <v>117650</v>
      </c>
      <c r="E15" s="169">
        <v>2</v>
      </c>
      <c r="F15" s="64" t="s">
        <v>464</v>
      </c>
      <c r="G15" s="66">
        <v>182919.6</v>
      </c>
      <c r="H15" s="157">
        <v>65269.599999999999</v>
      </c>
      <c r="I15" s="153"/>
      <c r="J15" s="414"/>
      <c r="K15" s="429"/>
      <c r="L15" s="430"/>
      <c r="M15" s="432"/>
      <c r="N15" s="447"/>
      <c r="O15" s="154"/>
      <c r="P15" s="414"/>
      <c r="Q15" s="429"/>
      <c r="R15" s="430"/>
      <c r="S15" s="432"/>
      <c r="T15" s="434"/>
      <c r="U15" s="154"/>
      <c r="V15" s="191" t="s">
        <v>464</v>
      </c>
      <c r="W15" s="192">
        <v>580.79999999999995</v>
      </c>
      <c r="X15" s="193">
        <v>814.24010999999996</v>
      </c>
      <c r="Y15" s="189">
        <f t="shared" si="1"/>
        <v>40.19285640495869</v>
      </c>
      <c r="Z15" s="174"/>
      <c r="AA15" s="146"/>
      <c r="AB15" s="146"/>
      <c r="AC15" s="146"/>
      <c r="AD15" s="146"/>
      <c r="AE15" s="146"/>
      <c r="AF15" s="146"/>
      <c r="AG15" s="146"/>
      <c r="AH15" s="146"/>
    </row>
    <row r="16" spans="1:34" ht="15.75" customHeight="1" x14ac:dyDescent="0.25">
      <c r="A16" s="452"/>
      <c r="B16" s="448">
        <v>3</v>
      </c>
      <c r="C16" s="28" t="s">
        <v>58</v>
      </c>
      <c r="D16" s="171">
        <f>9.31*1000</f>
        <v>9310</v>
      </c>
      <c r="E16" s="448">
        <v>3</v>
      </c>
      <c r="F16" s="28" t="s">
        <v>466</v>
      </c>
      <c r="G16" s="99">
        <v>188800.604444444</v>
      </c>
      <c r="H16" s="157">
        <v>179490.604444444</v>
      </c>
      <c r="I16" s="153"/>
      <c r="J16" s="412" t="s">
        <v>480</v>
      </c>
      <c r="K16" s="403" t="s">
        <v>466</v>
      </c>
      <c r="L16" s="404"/>
      <c r="M16" s="165">
        <v>1162.63735444445</v>
      </c>
      <c r="N16" s="166">
        <v>45.493766376052498</v>
      </c>
      <c r="O16" s="154"/>
      <c r="P16" s="395" t="s">
        <v>480</v>
      </c>
      <c r="Q16" s="398" t="s">
        <v>58</v>
      </c>
      <c r="R16" s="399"/>
      <c r="S16" s="167">
        <v>599.19000000000005</v>
      </c>
      <c r="T16" s="168">
        <f t="shared" ref="T16:T21" si="2">(S16*100)/$B$1</f>
        <v>29.335676832164037</v>
      </c>
      <c r="U16" s="154"/>
      <c r="V16" s="160" t="s">
        <v>58</v>
      </c>
      <c r="W16" s="190">
        <v>599.19000000000005</v>
      </c>
      <c r="X16" s="188">
        <v>1162.63735444445</v>
      </c>
      <c r="Y16" s="189">
        <f t="shared" si="1"/>
        <v>94.034839440653201</v>
      </c>
      <c r="Z16" s="174"/>
      <c r="AA16" s="146"/>
      <c r="AB16" s="146"/>
      <c r="AC16" s="146"/>
      <c r="AD16" s="146"/>
      <c r="AE16" s="146"/>
      <c r="AF16" s="146"/>
      <c r="AG16" s="146"/>
      <c r="AH16" s="146"/>
    </row>
    <row r="17" spans="1:34" ht="15" customHeight="1" x14ac:dyDescent="0.25">
      <c r="A17" s="452"/>
      <c r="B17" s="449"/>
      <c r="C17" s="28" t="s">
        <v>95</v>
      </c>
      <c r="D17" s="171">
        <f>25.16*1000</f>
        <v>25160</v>
      </c>
      <c r="E17" s="449"/>
      <c r="F17" s="28" t="s">
        <v>95</v>
      </c>
      <c r="G17" s="106">
        <v>4782.5847000000003</v>
      </c>
      <c r="H17" s="157">
        <v>-20377.415300000001</v>
      </c>
      <c r="I17" s="153"/>
      <c r="J17" s="413"/>
      <c r="K17" s="403" t="s">
        <v>95</v>
      </c>
      <c r="L17" s="404"/>
      <c r="M17" s="165">
        <v>26.659289699999999</v>
      </c>
      <c r="N17" s="166">
        <v>1.0431726563119399</v>
      </c>
      <c r="O17" s="154"/>
      <c r="P17" s="396"/>
      <c r="Q17" s="398" t="s">
        <v>512</v>
      </c>
      <c r="R17" s="399"/>
      <c r="S17" s="167">
        <v>15.95</v>
      </c>
      <c r="T17" s="168">
        <f t="shared" si="2"/>
        <v>0.78089428307050568</v>
      </c>
      <c r="U17" s="154"/>
      <c r="V17" s="160" t="s">
        <v>513</v>
      </c>
      <c r="W17" s="190">
        <v>461.22</v>
      </c>
      <c r="X17" s="188">
        <v>26.659289699999999</v>
      </c>
      <c r="Y17" s="189">
        <f t="shared" si="1"/>
        <v>-94.219832249251979</v>
      </c>
      <c r="Z17" s="174"/>
      <c r="AA17" s="146"/>
      <c r="AB17" s="146"/>
      <c r="AC17" s="146"/>
      <c r="AD17" s="146"/>
      <c r="AE17" s="146"/>
      <c r="AF17" s="146"/>
      <c r="AG17" s="146"/>
      <c r="AH17" s="146"/>
    </row>
    <row r="18" spans="1:34" ht="15" customHeight="1" x14ac:dyDescent="0.25">
      <c r="A18" s="452"/>
      <c r="B18" s="449"/>
      <c r="C18" s="28" t="s">
        <v>493</v>
      </c>
      <c r="D18" s="171">
        <v>0</v>
      </c>
      <c r="E18" s="449"/>
      <c r="F18" s="28" t="s">
        <v>467</v>
      </c>
      <c r="G18" s="106">
        <v>-3010</v>
      </c>
      <c r="H18" s="157">
        <v>-3010</v>
      </c>
      <c r="I18" s="153"/>
      <c r="J18" s="413"/>
      <c r="K18" s="403" t="s">
        <v>467</v>
      </c>
      <c r="L18" s="404"/>
      <c r="M18" s="165">
        <v>-29.731000000000002</v>
      </c>
      <c r="N18" s="166">
        <v>-1.1633680639589701</v>
      </c>
      <c r="O18" s="154"/>
      <c r="P18" s="396"/>
      <c r="Q18" s="398" t="s">
        <v>513</v>
      </c>
      <c r="R18" s="399"/>
      <c r="S18" s="167">
        <v>461.22</v>
      </c>
      <c r="T18" s="168">
        <f t="shared" si="2"/>
        <v>22.580818886381106</v>
      </c>
      <c r="U18" s="154"/>
      <c r="V18" s="160" t="s">
        <v>514</v>
      </c>
      <c r="W18" s="190">
        <v>-72.09</v>
      </c>
      <c r="X18" s="188">
        <v>-29.731000000000002</v>
      </c>
      <c r="Y18" s="189">
        <f t="shared" si="1"/>
        <v>-58.758496324039392</v>
      </c>
      <c r="Z18" s="174"/>
      <c r="AA18" s="146"/>
      <c r="AB18" s="146"/>
      <c r="AC18" s="146"/>
      <c r="AD18" s="146"/>
      <c r="AE18" s="146"/>
      <c r="AF18" s="146"/>
      <c r="AG18" s="146"/>
      <c r="AH18" s="146"/>
    </row>
    <row r="19" spans="1:34" ht="15" customHeight="1" x14ac:dyDescent="0.25">
      <c r="A19" s="453"/>
      <c r="B19" s="450"/>
      <c r="C19" s="28" t="s">
        <v>494</v>
      </c>
      <c r="D19" s="171">
        <v>0</v>
      </c>
      <c r="E19" s="450"/>
      <c r="F19" s="28" t="s">
        <v>469</v>
      </c>
      <c r="G19" s="106">
        <v>4170</v>
      </c>
      <c r="H19" s="157">
        <v>4170</v>
      </c>
      <c r="I19" s="153"/>
      <c r="J19" s="413"/>
      <c r="K19" s="403" t="s">
        <v>469</v>
      </c>
      <c r="L19" s="404"/>
      <c r="M19" s="165">
        <v>5.1007438</v>
      </c>
      <c r="N19" s="166">
        <v>0.199591081341251</v>
      </c>
      <c r="O19" s="154"/>
      <c r="P19" s="396"/>
      <c r="Q19" s="398" t="s">
        <v>514</v>
      </c>
      <c r="R19" s="399"/>
      <c r="S19" s="167">
        <v>-72.09</v>
      </c>
      <c r="T19" s="168">
        <f t="shared" si="2"/>
        <v>-3.5294463239218028</v>
      </c>
      <c r="U19" s="154"/>
      <c r="V19" s="194" t="s">
        <v>515</v>
      </c>
      <c r="W19" s="195">
        <v>0</v>
      </c>
      <c r="X19" s="196">
        <v>5.1007438</v>
      </c>
      <c r="Y19" s="189"/>
      <c r="Z19" s="174"/>
      <c r="AA19" s="146"/>
      <c r="AB19" s="146"/>
      <c r="AC19" s="146"/>
      <c r="AD19" s="146"/>
      <c r="AE19" s="146"/>
      <c r="AF19" s="146"/>
      <c r="AG19" s="146"/>
      <c r="AH19" s="146"/>
    </row>
    <row r="20" spans="1:34" ht="16.5" customHeight="1" x14ac:dyDescent="0.25">
      <c r="A20" s="451" t="s">
        <v>233</v>
      </c>
      <c r="B20" s="443">
        <v>1</v>
      </c>
      <c r="C20" s="83" t="s">
        <v>486</v>
      </c>
      <c r="D20" s="92">
        <f>5.7*1000</f>
        <v>5700</v>
      </c>
      <c r="E20" s="443">
        <v>1</v>
      </c>
      <c r="F20" s="83" t="s">
        <v>7</v>
      </c>
      <c r="G20" s="85">
        <v>1664.5765799999999</v>
      </c>
      <c r="H20" s="157">
        <v>-4035.4234200000001</v>
      </c>
      <c r="I20" s="153"/>
      <c r="J20" s="435"/>
      <c r="K20" s="405" t="s">
        <v>481</v>
      </c>
      <c r="L20" s="406"/>
      <c r="M20" s="197">
        <v>1164.66638794444</v>
      </c>
      <c r="N20" s="198">
        <v>45.573162049746699</v>
      </c>
      <c r="O20" s="154"/>
      <c r="P20" s="396"/>
      <c r="Q20" s="398" t="s">
        <v>515</v>
      </c>
      <c r="R20" s="399"/>
      <c r="S20" s="199">
        <v>0</v>
      </c>
      <c r="T20" s="200">
        <f t="shared" si="2"/>
        <v>0</v>
      </c>
      <c r="U20" s="174"/>
      <c r="V20" s="201"/>
      <c r="W20" s="201"/>
      <c r="X20" s="201"/>
      <c r="Y20" s="175"/>
      <c r="Z20" s="146"/>
      <c r="AA20" s="146"/>
      <c r="AB20" s="146"/>
      <c r="AC20" s="146"/>
      <c r="AD20" s="146"/>
      <c r="AE20" s="146"/>
      <c r="AF20" s="146"/>
      <c r="AG20" s="146"/>
      <c r="AH20" s="146"/>
    </row>
    <row r="21" spans="1:34" ht="16.5" customHeight="1" x14ac:dyDescent="0.25">
      <c r="A21" s="452"/>
      <c r="B21" s="444"/>
      <c r="C21" s="83" t="s">
        <v>488</v>
      </c>
      <c r="D21" s="92">
        <f>75.3*1000</f>
        <v>75300</v>
      </c>
      <c r="E21" s="444"/>
      <c r="F21" s="83" t="s">
        <v>461</v>
      </c>
      <c r="G21" s="84">
        <v>0</v>
      </c>
      <c r="H21" s="157">
        <v>-33910</v>
      </c>
      <c r="I21" s="156"/>
      <c r="J21" s="201"/>
      <c r="K21" s="201"/>
      <c r="L21" s="201"/>
      <c r="M21" s="201"/>
      <c r="N21" s="201"/>
      <c r="O21" s="202"/>
      <c r="P21" s="397"/>
      <c r="Q21" s="405" t="s">
        <v>481</v>
      </c>
      <c r="R21" s="406"/>
      <c r="S21" s="197">
        <v>1004.27</v>
      </c>
      <c r="T21" s="203">
        <f t="shared" si="2"/>
        <v>49.167943677693842</v>
      </c>
      <c r="U21" s="174"/>
      <c r="V21" s="146"/>
      <c r="W21" s="146"/>
      <c r="X21" s="146"/>
      <c r="Y21" s="146"/>
      <c r="Z21" s="146"/>
      <c r="AA21" s="146"/>
      <c r="AB21" s="146"/>
      <c r="AC21" s="146"/>
      <c r="AD21" s="146"/>
      <c r="AE21" s="146"/>
      <c r="AF21" s="146"/>
      <c r="AG21" s="146"/>
      <c r="AH21" s="146"/>
    </row>
    <row r="22" spans="1:34" ht="15" customHeight="1" x14ac:dyDescent="0.25">
      <c r="A22" s="452"/>
      <c r="B22" s="445"/>
      <c r="C22" s="83" t="s">
        <v>490</v>
      </c>
      <c r="D22" s="92">
        <f>33.91*1000</f>
        <v>33910</v>
      </c>
      <c r="E22" s="445"/>
      <c r="F22" s="83" t="s">
        <v>463</v>
      </c>
      <c r="G22" s="84">
        <v>0</v>
      </c>
      <c r="H22" s="164"/>
      <c r="I22" s="156"/>
      <c r="J22" s="151"/>
      <c r="K22" s="151"/>
      <c r="L22" s="151"/>
      <c r="M22" s="151"/>
      <c r="N22" s="151"/>
      <c r="O22" s="146"/>
      <c r="P22" s="201"/>
      <c r="Q22" s="201"/>
      <c r="R22" s="204"/>
      <c r="S22" s="204"/>
      <c r="T22" s="204"/>
      <c r="U22" s="151"/>
      <c r="V22" s="151"/>
      <c r="W22" s="146"/>
      <c r="X22" s="146"/>
      <c r="Y22" s="146"/>
      <c r="Z22" s="146"/>
      <c r="AA22" s="146"/>
      <c r="AB22" s="146"/>
      <c r="AC22" s="146"/>
      <c r="AD22" s="146"/>
      <c r="AE22" s="146"/>
      <c r="AF22" s="146"/>
      <c r="AG22" s="146"/>
      <c r="AH22" s="146"/>
    </row>
    <row r="23" spans="1:34" ht="15.75" customHeight="1" x14ac:dyDescent="0.25">
      <c r="A23" s="452"/>
      <c r="B23" s="169">
        <v>2</v>
      </c>
      <c r="C23" s="64" t="s">
        <v>464</v>
      </c>
      <c r="D23" s="170">
        <f>31.23*1000</f>
        <v>31230</v>
      </c>
      <c r="E23" s="169">
        <v>2</v>
      </c>
      <c r="F23" s="64" t="s">
        <v>464</v>
      </c>
      <c r="G23" s="66">
        <v>46291.56</v>
      </c>
      <c r="H23" s="157">
        <v>15061.56</v>
      </c>
      <c r="I23" s="205"/>
      <c r="J23" s="116" t="s">
        <v>516</v>
      </c>
      <c r="K23" s="206">
        <v>2017</v>
      </c>
      <c r="L23" s="206">
        <v>2018</v>
      </c>
      <c r="M23" s="116" t="s">
        <v>501</v>
      </c>
      <c r="N23" s="116" t="s">
        <v>517</v>
      </c>
      <c r="O23" s="156"/>
      <c r="P23" s="146"/>
      <c r="Q23" s="140"/>
      <c r="R23" s="161" t="s">
        <v>452</v>
      </c>
      <c r="S23" s="207">
        <v>2017</v>
      </c>
      <c r="T23" s="207">
        <v>2018</v>
      </c>
      <c r="U23" s="161" t="s">
        <v>518</v>
      </c>
      <c r="V23" s="161" t="s">
        <v>519</v>
      </c>
      <c r="W23" s="156"/>
      <c r="X23" s="146"/>
      <c r="Y23" s="146"/>
      <c r="Z23" s="146"/>
      <c r="AA23" s="146"/>
      <c r="AB23" s="146"/>
      <c r="AC23" s="146"/>
      <c r="AD23" s="146"/>
      <c r="AE23" s="146"/>
      <c r="AF23" s="146"/>
      <c r="AG23" s="146"/>
      <c r="AH23" s="146"/>
    </row>
    <row r="24" spans="1:34" ht="15.75" customHeight="1" x14ac:dyDescent="0.25">
      <c r="A24" s="452"/>
      <c r="B24" s="448">
        <v>3</v>
      </c>
      <c r="C24" s="28" t="s">
        <v>58</v>
      </c>
      <c r="D24" s="171">
        <f>169.74*1000</f>
        <v>169740</v>
      </c>
      <c r="E24" s="448">
        <v>3</v>
      </c>
      <c r="F24" s="28" t="s">
        <v>466</v>
      </c>
      <c r="G24" s="109">
        <v>203207.6</v>
      </c>
      <c r="H24" s="157">
        <v>33467.599999999897</v>
      </c>
      <c r="I24" s="205"/>
      <c r="J24" s="161" t="s">
        <v>7</v>
      </c>
      <c r="K24" s="208">
        <f>D4+D5</f>
        <v>29860</v>
      </c>
      <c r="L24" s="208">
        <v>2496.3130000000001</v>
      </c>
      <c r="M24" s="157">
        <f>L24-K24</f>
        <v>-27363.686999999998</v>
      </c>
      <c r="N24" s="208">
        <f t="shared" ref="N24:N29" si="3">((L24*100)/K24)-100</f>
        <v>-91.639943067649028</v>
      </c>
      <c r="O24" s="156"/>
      <c r="P24" s="146"/>
      <c r="Q24" s="140"/>
      <c r="R24" s="161" t="s">
        <v>6</v>
      </c>
      <c r="S24" s="157">
        <v>457.45</v>
      </c>
      <c r="T24" s="157">
        <v>576.69055865899998</v>
      </c>
      <c r="U24" s="208">
        <f>((T24*100)/S24)-100</f>
        <v>26.066358871789262</v>
      </c>
      <c r="V24" s="165">
        <f>T24-S24</f>
        <v>119.24055865899999</v>
      </c>
      <c r="W24" s="156"/>
      <c r="X24" s="146"/>
      <c r="Y24" s="146"/>
      <c r="Z24" s="146"/>
      <c r="AA24" s="146"/>
      <c r="AB24" s="146"/>
      <c r="AC24" s="146"/>
      <c r="AD24" s="146"/>
      <c r="AE24" s="146"/>
      <c r="AF24" s="146"/>
      <c r="AG24" s="146"/>
      <c r="AH24" s="146"/>
    </row>
    <row r="25" spans="1:34" ht="15.75" customHeight="1" x14ac:dyDescent="0.25">
      <c r="A25" s="452"/>
      <c r="B25" s="449"/>
      <c r="C25" s="28" t="s">
        <v>95</v>
      </c>
      <c r="D25" s="171">
        <f>35.93*1000</f>
        <v>35930</v>
      </c>
      <c r="E25" s="449"/>
      <c r="F25" s="28" t="s">
        <v>95</v>
      </c>
      <c r="G25" s="99">
        <v>3671.123</v>
      </c>
      <c r="H25" s="157">
        <v>-32258.877</v>
      </c>
      <c r="I25" s="205"/>
      <c r="J25" s="161" t="s">
        <v>461</v>
      </c>
      <c r="K25" s="157">
        <v>4280</v>
      </c>
      <c r="L25" s="208">
        <v>0</v>
      </c>
      <c r="M25" s="157">
        <f>L25-K25</f>
        <v>-4280</v>
      </c>
      <c r="N25" s="208">
        <f t="shared" si="3"/>
        <v>-100</v>
      </c>
      <c r="O25" s="156"/>
      <c r="P25" s="146"/>
      <c r="Q25" s="140"/>
      <c r="R25" s="161" t="s">
        <v>37</v>
      </c>
      <c r="S25" s="157">
        <v>580.79999999999995</v>
      </c>
      <c r="T25" s="157">
        <v>814.24</v>
      </c>
      <c r="U25" s="208">
        <f>((T25*100)/S25)-100</f>
        <v>40.192837465564736</v>
      </c>
      <c r="V25" s="165">
        <f>T25-S25</f>
        <v>233.44000000000005</v>
      </c>
      <c r="W25" s="156"/>
      <c r="X25" s="146"/>
      <c r="Y25" s="146"/>
      <c r="Z25" s="146"/>
      <c r="AA25" s="146"/>
      <c r="AB25" s="146"/>
      <c r="AC25" s="146"/>
      <c r="AD25" s="146"/>
      <c r="AE25" s="146"/>
      <c r="AF25" s="146"/>
      <c r="AG25" s="146"/>
      <c r="AH25" s="146"/>
    </row>
    <row r="26" spans="1:34" ht="15.75" customHeight="1" x14ac:dyDescent="0.25">
      <c r="A26" s="452"/>
      <c r="B26" s="449"/>
      <c r="C26" s="28" t="s">
        <v>493</v>
      </c>
      <c r="D26" s="171">
        <f>-7.57*1000</f>
        <v>-7570</v>
      </c>
      <c r="E26" s="449"/>
      <c r="F26" s="28" t="s">
        <v>467</v>
      </c>
      <c r="G26" s="106">
        <v>-2980</v>
      </c>
      <c r="H26" s="157">
        <v>4590</v>
      </c>
      <c r="I26" s="205"/>
      <c r="J26" s="161" t="s">
        <v>464</v>
      </c>
      <c r="K26" s="157">
        <v>13100</v>
      </c>
      <c r="L26" s="208">
        <v>18098.28</v>
      </c>
      <c r="M26" s="208">
        <f>L26-K26</f>
        <v>4998.2799999999988</v>
      </c>
      <c r="N26" s="208">
        <f t="shared" si="3"/>
        <v>38.154809160305348</v>
      </c>
      <c r="O26" s="156"/>
      <c r="P26" s="146"/>
      <c r="Q26" s="140"/>
      <c r="R26" s="161" t="s">
        <v>57</v>
      </c>
      <c r="S26" s="157">
        <v>1004.27</v>
      </c>
      <c r="T26" s="157">
        <v>1164.66638794444</v>
      </c>
      <c r="U26" s="208">
        <f>((T26*100)/S26)-100</f>
        <v>15.971440742473632</v>
      </c>
      <c r="V26" s="165">
        <f>T26-S26</f>
        <v>160.39638794443999</v>
      </c>
      <c r="W26" s="156"/>
      <c r="X26" s="146"/>
      <c r="Y26" s="146"/>
      <c r="Z26" s="146"/>
      <c r="AA26" s="146"/>
      <c r="AB26" s="146"/>
      <c r="AC26" s="146"/>
      <c r="AD26" s="146"/>
      <c r="AE26" s="146"/>
      <c r="AF26" s="146"/>
      <c r="AG26" s="146"/>
      <c r="AH26" s="146"/>
    </row>
    <row r="27" spans="1:34" ht="15.75" customHeight="1" x14ac:dyDescent="0.25">
      <c r="A27" s="453"/>
      <c r="B27" s="450"/>
      <c r="C27" s="28" t="s">
        <v>494</v>
      </c>
      <c r="D27" s="171">
        <v>0</v>
      </c>
      <c r="E27" s="450"/>
      <c r="F27" s="28" t="s">
        <v>469</v>
      </c>
      <c r="G27" s="106">
        <v>-40</v>
      </c>
      <c r="H27" s="157">
        <v>-40</v>
      </c>
      <c r="I27" s="205"/>
      <c r="J27" s="161" t="s">
        <v>466</v>
      </c>
      <c r="K27" s="157">
        <v>26810</v>
      </c>
      <c r="L27" s="208">
        <v>16904.150000000001</v>
      </c>
      <c r="M27" s="157">
        <f>L27-K27</f>
        <v>-9905.8499999999985</v>
      </c>
      <c r="N27" s="208">
        <f t="shared" si="3"/>
        <v>-36.948340171577762</v>
      </c>
      <c r="O27" s="156"/>
      <c r="P27" s="146"/>
      <c r="Q27" s="146"/>
      <c r="R27" s="175"/>
      <c r="S27" s="175"/>
      <c r="T27" s="175"/>
      <c r="U27" s="209">
        <f>AVERAGE(U24:U26)</f>
        <v>27.410212359942545</v>
      </c>
      <c r="V27" s="175"/>
      <c r="W27" s="146"/>
      <c r="X27" s="146"/>
      <c r="Y27" s="146"/>
      <c r="Z27" s="146"/>
      <c r="AA27" s="146"/>
      <c r="AB27" s="146"/>
      <c r="AC27" s="146"/>
      <c r="AD27" s="146"/>
      <c r="AE27" s="146"/>
      <c r="AF27" s="146"/>
      <c r="AG27" s="146"/>
      <c r="AH27" s="146"/>
    </row>
    <row r="28" spans="1:34" ht="15.75" customHeight="1" x14ac:dyDescent="0.25">
      <c r="A28" s="451" t="s">
        <v>75</v>
      </c>
      <c r="B28" s="443">
        <v>1</v>
      </c>
      <c r="C28" s="83" t="s">
        <v>486</v>
      </c>
      <c r="D28" s="92">
        <f>3.91*1000</f>
        <v>3910</v>
      </c>
      <c r="E28" s="443">
        <v>1</v>
      </c>
      <c r="F28" s="83" t="s">
        <v>7</v>
      </c>
      <c r="G28" s="85">
        <v>75348.850978999995</v>
      </c>
      <c r="H28" s="157">
        <v>71438.850978999995</v>
      </c>
      <c r="I28" s="205"/>
      <c r="J28" s="161" t="s">
        <v>95</v>
      </c>
      <c r="K28" s="157">
        <v>15060</v>
      </c>
      <c r="L28" s="208">
        <v>2066.2719999999999</v>
      </c>
      <c r="M28" s="157">
        <f>L28-K28</f>
        <v>-12993.727999999999</v>
      </c>
      <c r="N28" s="208">
        <f t="shared" si="3"/>
        <v>-86.279734395750339</v>
      </c>
      <c r="O28" s="156"/>
      <c r="P28" s="146"/>
      <c r="Q28" s="146"/>
      <c r="R28" s="146"/>
      <c r="S28" s="146"/>
      <c r="T28" s="146"/>
      <c r="U28" s="146"/>
      <c r="V28" s="146"/>
      <c r="W28" s="146"/>
      <c r="X28" s="146"/>
      <c r="Y28" s="146"/>
      <c r="Z28" s="146"/>
      <c r="AA28" s="146"/>
      <c r="AB28" s="146"/>
      <c r="AC28" s="146"/>
      <c r="AD28" s="146"/>
      <c r="AE28" s="146"/>
      <c r="AF28" s="146"/>
      <c r="AG28" s="146"/>
      <c r="AH28" s="146"/>
    </row>
    <row r="29" spans="1:34" ht="15.75" customHeight="1" x14ac:dyDescent="0.25">
      <c r="A29" s="452"/>
      <c r="B29" s="444"/>
      <c r="C29" s="83" t="s">
        <v>488</v>
      </c>
      <c r="D29" s="92">
        <f>59.79*1000</f>
        <v>59790</v>
      </c>
      <c r="E29" s="444"/>
      <c r="F29" s="83" t="s">
        <v>461</v>
      </c>
      <c r="G29" s="84">
        <v>9484.2000000000007</v>
      </c>
      <c r="H29" s="157">
        <v>-48455.8</v>
      </c>
      <c r="I29" s="205"/>
      <c r="J29" s="161" t="s">
        <v>467</v>
      </c>
      <c r="K29" s="157">
        <v>-4720</v>
      </c>
      <c r="L29" s="208">
        <v>-1170</v>
      </c>
      <c r="M29" s="157">
        <f>L29+K29</f>
        <v>-5890</v>
      </c>
      <c r="N29" s="208">
        <f t="shared" si="3"/>
        <v>-75.211864406779654</v>
      </c>
      <c r="O29" s="156"/>
      <c r="P29" s="146"/>
      <c r="Q29" s="146"/>
      <c r="R29" s="146"/>
      <c r="S29" s="146"/>
      <c r="T29" s="146"/>
      <c r="U29" s="146"/>
      <c r="V29" s="146"/>
      <c r="W29" s="146"/>
      <c r="X29" s="146"/>
      <c r="Y29" s="146"/>
      <c r="Z29" s="146"/>
      <c r="AA29" s="146"/>
      <c r="AB29" s="146"/>
      <c r="AC29" s="146"/>
      <c r="AD29" s="146"/>
      <c r="AE29" s="146"/>
      <c r="AF29" s="146"/>
      <c r="AG29" s="146"/>
      <c r="AH29" s="146"/>
    </row>
    <row r="30" spans="1:34" ht="15" customHeight="1" x14ac:dyDescent="0.25">
      <c r="A30" s="452"/>
      <c r="B30" s="445"/>
      <c r="C30" s="83" t="s">
        <v>490</v>
      </c>
      <c r="D30" s="92">
        <f>57.94*1000</f>
        <v>57940</v>
      </c>
      <c r="E30" s="445"/>
      <c r="F30" s="83" t="s">
        <v>463</v>
      </c>
      <c r="G30" s="84">
        <v>108.33</v>
      </c>
      <c r="H30" s="164"/>
      <c r="I30" s="156"/>
      <c r="J30" s="210"/>
      <c r="K30" s="210"/>
      <c r="L30" s="210"/>
      <c r="M30" s="210"/>
      <c r="N30" s="210"/>
      <c r="O30" s="146"/>
      <c r="P30" s="146"/>
      <c r="Q30" s="146"/>
      <c r="R30" s="146"/>
      <c r="S30" s="146"/>
      <c r="T30" s="146"/>
      <c r="U30" s="146"/>
      <c r="V30" s="146"/>
      <c r="W30" s="146"/>
      <c r="X30" s="146"/>
      <c r="Y30" s="146"/>
      <c r="Z30" s="146"/>
      <c r="AA30" s="146"/>
      <c r="AB30" s="146"/>
      <c r="AC30" s="146"/>
      <c r="AD30" s="146"/>
      <c r="AE30" s="146"/>
      <c r="AF30" s="146"/>
      <c r="AG30" s="146"/>
      <c r="AH30" s="146"/>
    </row>
    <row r="31" spans="1:34" ht="15.75" customHeight="1" x14ac:dyDescent="0.25">
      <c r="A31" s="452"/>
      <c r="B31" s="169">
        <v>2</v>
      </c>
      <c r="C31" s="64" t="s">
        <v>464</v>
      </c>
      <c r="D31" s="170">
        <f>203.16*1000</f>
        <v>203160</v>
      </c>
      <c r="E31" s="169">
        <v>2</v>
      </c>
      <c r="F31" s="64" t="s">
        <v>464</v>
      </c>
      <c r="G31" s="66">
        <v>274977.71999999997</v>
      </c>
      <c r="H31" s="157">
        <v>71817.720000000103</v>
      </c>
      <c r="I31" s="205"/>
      <c r="J31" s="211" t="s">
        <v>520</v>
      </c>
      <c r="K31" s="212">
        <v>2017</v>
      </c>
      <c r="L31" s="212">
        <v>2018</v>
      </c>
      <c r="M31" s="211" t="s">
        <v>501</v>
      </c>
      <c r="N31" s="211" t="s">
        <v>517</v>
      </c>
      <c r="O31" s="156"/>
      <c r="P31" s="146"/>
      <c r="Q31" s="146"/>
      <c r="R31" s="146"/>
      <c r="S31" s="146"/>
      <c r="T31" s="146"/>
      <c r="U31" s="146"/>
      <c r="V31" s="146"/>
      <c r="W31" s="146"/>
      <c r="X31" s="146"/>
      <c r="Y31" s="146"/>
      <c r="Z31" s="146"/>
      <c r="AA31" s="146"/>
      <c r="AB31" s="146"/>
      <c r="AC31" s="146"/>
      <c r="AD31" s="146"/>
      <c r="AE31" s="146"/>
      <c r="AF31" s="146"/>
      <c r="AG31" s="146"/>
      <c r="AH31" s="146"/>
    </row>
    <row r="32" spans="1:34" ht="15.75" customHeight="1" x14ac:dyDescent="0.25">
      <c r="A32" s="452"/>
      <c r="B32" s="448">
        <v>3</v>
      </c>
      <c r="C32" s="28" t="s">
        <v>58</v>
      </c>
      <c r="D32" s="171">
        <f>143.97*1000</f>
        <v>143970</v>
      </c>
      <c r="E32" s="448">
        <v>3</v>
      </c>
      <c r="F32" s="28" t="s">
        <v>466</v>
      </c>
      <c r="G32" s="106">
        <v>97673.9</v>
      </c>
      <c r="H32" s="157">
        <v>-46296.1</v>
      </c>
      <c r="I32" s="205"/>
      <c r="J32" s="161" t="s">
        <v>7</v>
      </c>
      <c r="K32" s="208">
        <f>D12+D13</f>
        <v>20343</v>
      </c>
      <c r="L32" s="208">
        <f>G12</f>
        <v>20440.657500000001</v>
      </c>
      <c r="M32" s="157">
        <f>L32-K32</f>
        <v>97.657500000001164</v>
      </c>
      <c r="N32" s="188">
        <f>((L32*100)/K32)-100</f>
        <v>0.48005456422356474</v>
      </c>
      <c r="O32" s="156"/>
      <c r="P32" s="146"/>
      <c r="Q32" s="146"/>
      <c r="R32" s="146"/>
      <c r="S32" s="146"/>
      <c r="T32" s="146"/>
      <c r="U32" s="146"/>
      <c r="V32" s="146"/>
      <c r="W32" s="146"/>
      <c r="X32" s="146"/>
      <c r="Y32" s="146"/>
      <c r="Z32" s="146"/>
      <c r="AA32" s="146"/>
      <c r="AB32" s="146"/>
      <c r="AC32" s="146"/>
      <c r="AD32" s="146"/>
      <c r="AE32" s="146"/>
      <c r="AF32" s="146"/>
      <c r="AG32" s="146"/>
      <c r="AH32" s="146"/>
    </row>
    <row r="33" spans="1:34" ht="15.75" customHeight="1" x14ac:dyDescent="0.25">
      <c r="A33" s="452"/>
      <c r="B33" s="449"/>
      <c r="C33" s="28" t="s">
        <v>95</v>
      </c>
      <c r="D33" s="171">
        <f>201.02*1000</f>
        <v>201020</v>
      </c>
      <c r="E33" s="449"/>
      <c r="F33" s="28" t="s">
        <v>95</v>
      </c>
      <c r="G33" s="106">
        <v>6669.99</v>
      </c>
      <c r="H33" s="157">
        <v>-194350.01</v>
      </c>
      <c r="I33" s="205"/>
      <c r="J33" s="161" t="s">
        <v>461</v>
      </c>
      <c r="K33" s="208">
        <f>D14</f>
        <v>4410</v>
      </c>
      <c r="L33" s="208">
        <f>G13</f>
        <v>4500</v>
      </c>
      <c r="M33" s="157">
        <f>L33-K33</f>
        <v>90</v>
      </c>
      <c r="N33" s="208">
        <f>((L33*100)/K33)-100</f>
        <v>2.0408163265306172</v>
      </c>
      <c r="O33" s="156"/>
      <c r="P33" s="146"/>
      <c r="Q33" s="146"/>
      <c r="R33" s="146"/>
      <c r="S33" s="146"/>
      <c r="T33" s="146"/>
      <c r="U33" s="146"/>
      <c r="V33" s="146"/>
      <c r="W33" s="146"/>
      <c r="X33" s="146"/>
      <c r="Y33" s="146"/>
      <c r="Z33" s="146"/>
      <c r="AA33" s="146"/>
      <c r="AB33" s="146"/>
      <c r="AC33" s="146"/>
      <c r="AD33" s="146"/>
      <c r="AE33" s="146"/>
      <c r="AF33" s="146"/>
      <c r="AG33" s="146"/>
      <c r="AH33" s="146"/>
    </row>
    <row r="34" spans="1:34" ht="15.75" customHeight="1" x14ac:dyDescent="0.25">
      <c r="A34" s="452"/>
      <c r="B34" s="449"/>
      <c r="C34" s="28" t="s">
        <v>493</v>
      </c>
      <c r="D34" s="171">
        <f>-8.45*1000</f>
        <v>-8450</v>
      </c>
      <c r="E34" s="449"/>
      <c r="F34" s="28" t="s">
        <v>467</v>
      </c>
      <c r="G34" s="106">
        <v>-1170</v>
      </c>
      <c r="H34" s="157">
        <v>7280</v>
      </c>
      <c r="I34" s="205"/>
      <c r="J34" s="161" t="s">
        <v>464</v>
      </c>
      <c r="K34" s="208">
        <f>D15</f>
        <v>117650</v>
      </c>
      <c r="L34" s="208">
        <f>G15</f>
        <v>182919.6</v>
      </c>
      <c r="M34" s="208">
        <f>L34-K34</f>
        <v>65269.600000000006</v>
      </c>
      <c r="N34" s="208">
        <f>((L34*100)/K34)-100</f>
        <v>55.477773055673595</v>
      </c>
      <c r="O34" s="156"/>
      <c r="P34" s="146"/>
      <c r="Q34" s="146"/>
      <c r="R34" s="146"/>
      <c r="S34" s="146"/>
      <c r="T34" s="146"/>
      <c r="U34" s="146"/>
      <c r="V34" s="146"/>
      <c r="W34" s="146"/>
      <c r="X34" s="146"/>
      <c r="Y34" s="146"/>
      <c r="Z34" s="146"/>
      <c r="AA34" s="146"/>
      <c r="AB34" s="146"/>
      <c r="AC34" s="146"/>
      <c r="AD34" s="146"/>
      <c r="AE34" s="146"/>
      <c r="AF34" s="146"/>
      <c r="AG34" s="146"/>
      <c r="AH34" s="146"/>
    </row>
    <row r="35" spans="1:34" ht="15.75" customHeight="1" x14ac:dyDescent="0.25">
      <c r="A35" s="453"/>
      <c r="B35" s="450"/>
      <c r="C35" s="28" t="s">
        <v>494</v>
      </c>
      <c r="D35" s="171">
        <v>0</v>
      </c>
      <c r="E35" s="450"/>
      <c r="F35" s="28" t="s">
        <v>469</v>
      </c>
      <c r="G35" s="99">
        <v>440.74380000000002</v>
      </c>
      <c r="H35" s="157">
        <v>440.74380000000002</v>
      </c>
      <c r="I35" s="205"/>
      <c r="J35" s="161" t="s">
        <v>466</v>
      </c>
      <c r="K35" s="208">
        <f>D16</f>
        <v>9310</v>
      </c>
      <c r="L35" s="208">
        <f>G16</f>
        <v>188800.604444444</v>
      </c>
      <c r="M35" s="208">
        <f>L35-K35</f>
        <v>179490.604444444</v>
      </c>
      <c r="N35" s="208">
        <f>((L35*100)/K35)-100</f>
        <v>1927.9334526793125</v>
      </c>
      <c r="O35" s="156"/>
      <c r="P35" s="146"/>
      <c r="Q35" s="146"/>
      <c r="R35" s="146"/>
      <c r="S35" s="146"/>
      <c r="T35" s="146"/>
      <c r="U35" s="146"/>
      <c r="V35" s="146"/>
      <c r="W35" s="146"/>
      <c r="X35" s="146"/>
      <c r="Y35" s="146"/>
      <c r="Z35" s="146"/>
      <c r="AA35" s="146"/>
      <c r="AB35" s="146"/>
      <c r="AC35" s="146"/>
      <c r="AD35" s="146"/>
      <c r="AE35" s="146"/>
      <c r="AF35" s="146"/>
      <c r="AG35" s="146"/>
      <c r="AH35" s="146"/>
    </row>
    <row r="36" spans="1:34" ht="15.75" customHeight="1" x14ac:dyDescent="0.25">
      <c r="A36" s="451" t="s">
        <v>196</v>
      </c>
      <c r="B36" s="443">
        <v>1</v>
      </c>
      <c r="C36" s="83" t="s">
        <v>486</v>
      </c>
      <c r="D36" s="92">
        <f>10.96*1000</f>
        <v>10960</v>
      </c>
      <c r="E36" s="443">
        <v>1</v>
      </c>
      <c r="F36" s="83" t="s">
        <v>7</v>
      </c>
      <c r="G36" s="85">
        <v>168555.51060000001</v>
      </c>
      <c r="H36" s="157">
        <v>157595.51060000001</v>
      </c>
      <c r="I36" s="205"/>
      <c r="J36" s="161" t="s">
        <v>95</v>
      </c>
      <c r="K36" s="208">
        <f>D17</f>
        <v>25160</v>
      </c>
      <c r="L36" s="208">
        <f>G17</f>
        <v>4782.5847000000003</v>
      </c>
      <c r="M36" s="157">
        <f>L36-K36</f>
        <v>-20377.415300000001</v>
      </c>
      <c r="N36" s="208">
        <f>((L36*100)/K36)-100</f>
        <v>-80.991316772655011</v>
      </c>
      <c r="O36" s="156"/>
      <c r="P36" s="146"/>
      <c r="Q36" s="146"/>
      <c r="R36" s="146"/>
      <c r="S36" s="146"/>
      <c r="T36" s="146"/>
      <c r="U36" s="146"/>
      <c r="V36" s="146"/>
      <c r="W36" s="146"/>
      <c r="X36" s="146"/>
      <c r="Y36" s="146"/>
      <c r="Z36" s="146"/>
      <c r="AA36" s="146"/>
      <c r="AB36" s="146"/>
      <c r="AC36" s="146"/>
      <c r="AD36" s="146"/>
      <c r="AE36" s="146"/>
      <c r="AF36" s="146"/>
      <c r="AG36" s="146"/>
      <c r="AH36" s="146"/>
    </row>
    <row r="37" spans="1:34" ht="15.75" customHeight="1" x14ac:dyDescent="0.25">
      <c r="A37" s="452"/>
      <c r="B37" s="444"/>
      <c r="C37" s="83" t="s">
        <v>488</v>
      </c>
      <c r="D37" s="92">
        <f>65.39*1000</f>
        <v>65390</v>
      </c>
      <c r="E37" s="444"/>
      <c r="F37" s="83" t="s">
        <v>461</v>
      </c>
      <c r="G37" s="114">
        <v>45230</v>
      </c>
      <c r="H37" s="157">
        <v>0</v>
      </c>
      <c r="I37" s="205"/>
      <c r="J37" s="161" t="s">
        <v>467</v>
      </c>
      <c r="K37" s="157">
        <f>D18</f>
        <v>0</v>
      </c>
      <c r="L37" s="208">
        <f>G18</f>
        <v>-3010</v>
      </c>
      <c r="M37" s="157">
        <f>L37+K37</f>
        <v>-3010</v>
      </c>
      <c r="N37" s="141" t="s">
        <v>521</v>
      </c>
      <c r="O37" s="156"/>
      <c r="P37" s="146"/>
      <c r="Q37" s="146"/>
      <c r="R37" s="146"/>
      <c r="S37" s="146"/>
      <c r="T37" s="146"/>
      <c r="U37" s="146"/>
      <c r="V37" s="146"/>
      <c r="W37" s="146"/>
      <c r="X37" s="146"/>
      <c r="Y37" s="146"/>
      <c r="Z37" s="146"/>
      <c r="AA37" s="146"/>
      <c r="AB37" s="146"/>
      <c r="AC37" s="146"/>
      <c r="AD37" s="146"/>
      <c r="AE37" s="146"/>
      <c r="AF37" s="146"/>
      <c r="AG37" s="146"/>
      <c r="AH37" s="146"/>
    </row>
    <row r="38" spans="1:34" ht="15" customHeight="1" x14ac:dyDescent="0.25">
      <c r="A38" s="452"/>
      <c r="B38" s="445"/>
      <c r="C38" s="83" t="s">
        <v>490</v>
      </c>
      <c r="D38" s="92">
        <f>45.23*1000</f>
        <v>45230</v>
      </c>
      <c r="E38" s="445"/>
      <c r="F38" s="83" t="s">
        <v>463</v>
      </c>
      <c r="G38" s="84">
        <v>505</v>
      </c>
      <c r="H38" s="164"/>
      <c r="I38" s="156"/>
      <c r="J38" s="210"/>
      <c r="K38" s="210"/>
      <c r="L38" s="210"/>
      <c r="M38" s="210"/>
      <c r="N38" s="210"/>
      <c r="O38" s="146"/>
      <c r="P38" s="146"/>
      <c r="Q38" s="146"/>
      <c r="R38" s="146"/>
      <c r="S38" s="146"/>
      <c r="T38" s="146"/>
      <c r="U38" s="146"/>
      <c r="V38" s="146"/>
      <c r="W38" s="146"/>
      <c r="X38" s="146"/>
      <c r="Y38" s="146"/>
      <c r="Z38" s="146"/>
      <c r="AA38" s="146"/>
      <c r="AB38" s="146"/>
      <c r="AC38" s="146"/>
      <c r="AD38" s="146"/>
      <c r="AE38" s="146"/>
      <c r="AF38" s="146"/>
      <c r="AG38" s="146"/>
      <c r="AH38" s="146"/>
    </row>
    <row r="39" spans="1:34" ht="15.75" customHeight="1" x14ac:dyDescent="0.25">
      <c r="A39" s="452"/>
      <c r="B39" s="169">
        <v>2</v>
      </c>
      <c r="C39" s="64" t="s">
        <v>464</v>
      </c>
      <c r="D39" s="170">
        <f>193.63*1000</f>
        <v>193630</v>
      </c>
      <c r="E39" s="169">
        <v>2</v>
      </c>
      <c r="F39" s="64" t="s">
        <v>464</v>
      </c>
      <c r="G39" s="66">
        <v>261421.83</v>
      </c>
      <c r="H39" s="157">
        <v>67791.83</v>
      </c>
      <c r="I39" s="205"/>
      <c r="J39" s="161" t="s">
        <v>233</v>
      </c>
      <c r="K39" s="207">
        <v>2017</v>
      </c>
      <c r="L39" s="207">
        <v>2018</v>
      </c>
      <c r="M39" s="161" t="s">
        <v>501</v>
      </c>
      <c r="N39" s="161" t="s">
        <v>517</v>
      </c>
      <c r="O39" s="156"/>
      <c r="P39" s="146"/>
      <c r="Q39" s="146"/>
      <c r="R39" s="146"/>
      <c r="S39" s="146"/>
      <c r="T39" s="146"/>
      <c r="U39" s="146"/>
      <c r="V39" s="146"/>
      <c r="W39" s="146"/>
      <c r="X39" s="146"/>
      <c r="Y39" s="146"/>
      <c r="Z39" s="146"/>
      <c r="AA39" s="146"/>
      <c r="AB39" s="146"/>
      <c r="AC39" s="146"/>
      <c r="AD39" s="146"/>
      <c r="AE39" s="146"/>
      <c r="AF39" s="146"/>
      <c r="AG39" s="146"/>
      <c r="AH39" s="146"/>
    </row>
    <row r="40" spans="1:34" ht="15.75" customHeight="1" x14ac:dyDescent="0.25">
      <c r="A40" s="452"/>
      <c r="B40" s="448">
        <v>3</v>
      </c>
      <c r="C40" s="28" t="s">
        <v>58</v>
      </c>
      <c r="D40" s="171">
        <f>173.57*1000</f>
        <v>173570</v>
      </c>
      <c r="E40" s="448">
        <v>3</v>
      </c>
      <c r="F40" s="28" t="s">
        <v>466</v>
      </c>
      <c r="G40" s="106">
        <v>647302.1</v>
      </c>
      <c r="H40" s="157">
        <v>473732.1</v>
      </c>
      <c r="I40" s="205"/>
      <c r="J40" s="161" t="s">
        <v>7</v>
      </c>
      <c r="K40" s="208">
        <f>D20+D21</f>
        <v>81000</v>
      </c>
      <c r="L40" s="208">
        <f>G20</f>
        <v>1664.5765799999999</v>
      </c>
      <c r="M40" s="157">
        <f>L40-K40</f>
        <v>-79335.423420000006</v>
      </c>
      <c r="N40" s="208">
        <f t="shared" ref="N40:N44" si="4">((L40*100)/K40)-100</f>
        <v>-97.944967185185192</v>
      </c>
      <c r="O40" s="156"/>
      <c r="P40" s="146"/>
      <c r="Q40" s="146"/>
      <c r="R40" s="146"/>
      <c r="S40" s="146"/>
      <c r="T40" s="146"/>
      <c r="U40" s="146"/>
      <c r="V40" s="146"/>
      <c r="W40" s="146"/>
      <c r="X40" s="146"/>
      <c r="Y40" s="146"/>
      <c r="Z40" s="146"/>
      <c r="AA40" s="146"/>
      <c r="AB40" s="146"/>
      <c r="AC40" s="146"/>
      <c r="AD40" s="146"/>
      <c r="AE40" s="146"/>
      <c r="AF40" s="146"/>
      <c r="AG40" s="146"/>
      <c r="AH40" s="146"/>
    </row>
    <row r="41" spans="1:34" ht="15.75" customHeight="1" x14ac:dyDescent="0.25">
      <c r="A41" s="452"/>
      <c r="B41" s="449"/>
      <c r="C41" s="28" t="s">
        <v>95</v>
      </c>
      <c r="D41" s="171">
        <f>104.07*1000</f>
        <v>104070</v>
      </c>
      <c r="E41" s="449"/>
      <c r="F41" s="28" t="s">
        <v>95</v>
      </c>
      <c r="G41" s="106">
        <v>9469.32</v>
      </c>
      <c r="H41" s="157">
        <v>-94600.68</v>
      </c>
      <c r="I41" s="205"/>
      <c r="J41" s="161" t="s">
        <v>464</v>
      </c>
      <c r="K41" s="208">
        <f>D23</f>
        <v>31230</v>
      </c>
      <c r="L41" s="208">
        <f>G23</f>
        <v>46291.56</v>
      </c>
      <c r="M41" s="208">
        <f>L41-K41</f>
        <v>15061.559999999998</v>
      </c>
      <c r="N41" s="208">
        <f t="shared" si="4"/>
        <v>48.22785782901056</v>
      </c>
      <c r="O41" s="156"/>
      <c r="P41" s="146"/>
      <c r="Q41" s="146"/>
      <c r="R41" s="146"/>
      <c r="S41" s="146"/>
      <c r="T41" s="146"/>
      <c r="U41" s="146"/>
      <c r="V41" s="146"/>
      <c r="W41" s="146"/>
      <c r="X41" s="146"/>
      <c r="Y41" s="146"/>
      <c r="Z41" s="146"/>
      <c r="AA41" s="146"/>
      <c r="AB41" s="146"/>
      <c r="AC41" s="146"/>
      <c r="AD41" s="146"/>
      <c r="AE41" s="146"/>
      <c r="AF41" s="146"/>
      <c r="AG41" s="146"/>
      <c r="AH41" s="146"/>
    </row>
    <row r="42" spans="1:34" ht="15.75" customHeight="1" x14ac:dyDescent="0.25">
      <c r="A42" s="452"/>
      <c r="B42" s="449"/>
      <c r="C42" s="28" t="s">
        <v>493</v>
      </c>
      <c r="D42" s="171">
        <f>-51.34*1000</f>
        <v>-51340</v>
      </c>
      <c r="E42" s="449"/>
      <c r="F42" s="28" t="s">
        <v>467</v>
      </c>
      <c r="G42" s="106">
        <v>-21401</v>
      </c>
      <c r="H42" s="157">
        <v>29939</v>
      </c>
      <c r="I42" s="205"/>
      <c r="J42" s="161" t="s">
        <v>466</v>
      </c>
      <c r="K42" s="208">
        <f>D24</f>
        <v>169740</v>
      </c>
      <c r="L42" s="208">
        <f>G24</f>
        <v>203207.6</v>
      </c>
      <c r="M42" s="208">
        <f>L42-K42</f>
        <v>33467.600000000006</v>
      </c>
      <c r="N42" s="208">
        <f t="shared" si="4"/>
        <v>19.716978908919529</v>
      </c>
      <c r="O42" s="156"/>
      <c r="P42" s="146"/>
      <c r="Q42" s="146"/>
      <c r="R42" s="146"/>
      <c r="S42" s="146"/>
      <c r="T42" s="146"/>
      <c r="U42" s="146"/>
      <c r="V42" s="146"/>
      <c r="W42" s="146"/>
      <c r="X42" s="146"/>
      <c r="Y42" s="146"/>
      <c r="Z42" s="146"/>
      <c r="AA42" s="146"/>
      <c r="AB42" s="146"/>
      <c r="AC42" s="146"/>
      <c r="AD42" s="146"/>
      <c r="AE42" s="146"/>
      <c r="AF42" s="146"/>
      <c r="AG42" s="146"/>
      <c r="AH42" s="146"/>
    </row>
    <row r="43" spans="1:34" ht="15.75" customHeight="1" x14ac:dyDescent="0.25">
      <c r="A43" s="453"/>
      <c r="B43" s="450"/>
      <c r="C43" s="28" t="s">
        <v>494</v>
      </c>
      <c r="D43" s="171">
        <v>0</v>
      </c>
      <c r="E43" s="450"/>
      <c r="F43" s="28" t="s">
        <v>469</v>
      </c>
      <c r="G43" s="106">
        <v>30</v>
      </c>
      <c r="H43" s="157">
        <v>30</v>
      </c>
      <c r="I43" s="205"/>
      <c r="J43" s="161" t="s">
        <v>95</v>
      </c>
      <c r="K43" s="208">
        <f>D25</f>
        <v>35930</v>
      </c>
      <c r="L43" s="208">
        <f>G25</f>
        <v>3671.123</v>
      </c>
      <c r="M43" s="157">
        <f>L43-K43</f>
        <v>-32258.877</v>
      </c>
      <c r="N43" s="208">
        <f t="shared" si="4"/>
        <v>-89.782568883940996</v>
      </c>
      <c r="O43" s="156"/>
      <c r="P43" s="146"/>
      <c r="Q43" s="146"/>
      <c r="R43" s="146"/>
      <c r="S43" s="146"/>
      <c r="T43" s="146"/>
      <c r="U43" s="146"/>
      <c r="V43" s="146"/>
      <c r="W43" s="146"/>
      <c r="X43" s="146"/>
      <c r="Y43" s="146"/>
      <c r="Z43" s="146"/>
      <c r="AA43" s="146"/>
      <c r="AB43" s="146"/>
      <c r="AC43" s="146"/>
      <c r="AD43" s="146"/>
      <c r="AE43" s="146"/>
      <c r="AF43" s="146"/>
      <c r="AG43" s="146"/>
      <c r="AH43" s="146"/>
    </row>
    <row r="44" spans="1:34" ht="15.75" customHeight="1" x14ac:dyDescent="0.25">
      <c r="A44" s="454" t="s">
        <v>425</v>
      </c>
      <c r="B44" s="213">
        <v>2</v>
      </c>
      <c r="C44" s="64" t="s">
        <v>464</v>
      </c>
      <c r="D44" s="170">
        <f>22.02*1000</f>
        <v>22020</v>
      </c>
      <c r="E44" s="169">
        <v>2</v>
      </c>
      <c r="F44" s="64" t="s">
        <v>464</v>
      </c>
      <c r="G44" s="66">
        <v>30531.119999999999</v>
      </c>
      <c r="H44" s="157">
        <v>8511.1200000000008</v>
      </c>
      <c r="I44" s="205"/>
      <c r="J44" s="161" t="s">
        <v>467</v>
      </c>
      <c r="K44" s="157">
        <f>D26</f>
        <v>-7570</v>
      </c>
      <c r="L44" s="208">
        <f>G26</f>
        <v>-2980</v>
      </c>
      <c r="M44" s="157">
        <f>L44+K44</f>
        <v>-10550</v>
      </c>
      <c r="N44" s="208">
        <f t="shared" si="4"/>
        <v>-60.634081902245704</v>
      </c>
      <c r="O44" s="156"/>
      <c r="P44" s="146"/>
      <c r="Q44" s="146"/>
      <c r="R44" s="146"/>
      <c r="S44" s="146"/>
      <c r="T44" s="146"/>
      <c r="U44" s="146"/>
      <c r="V44" s="146"/>
      <c r="W44" s="146"/>
      <c r="X44" s="146"/>
      <c r="Y44" s="146"/>
      <c r="Z44" s="146"/>
      <c r="AA44" s="146"/>
      <c r="AB44" s="146"/>
      <c r="AC44" s="146"/>
      <c r="AD44" s="146"/>
      <c r="AE44" s="146"/>
      <c r="AF44" s="146"/>
      <c r="AG44" s="146"/>
      <c r="AH44" s="146"/>
    </row>
    <row r="45" spans="1:34" ht="15.75" customHeight="1" x14ac:dyDescent="0.25">
      <c r="A45" s="455"/>
      <c r="B45" s="121">
        <v>3</v>
      </c>
      <c r="C45" s="28" t="s">
        <v>466</v>
      </c>
      <c r="D45" s="171">
        <f>75.79*1000</f>
        <v>75790</v>
      </c>
      <c r="E45" s="214">
        <v>3</v>
      </c>
      <c r="F45" s="28" t="s">
        <v>466</v>
      </c>
      <c r="G45" s="106">
        <v>8749</v>
      </c>
      <c r="H45" s="157">
        <v>8749</v>
      </c>
      <c r="I45" s="205"/>
      <c r="J45" s="210"/>
      <c r="K45" s="210"/>
      <c r="L45" s="210"/>
      <c r="M45" s="210"/>
      <c r="N45" s="210"/>
      <c r="O45" s="156"/>
      <c r="P45" s="146"/>
      <c r="Q45" s="146"/>
      <c r="R45" s="146"/>
      <c r="S45" s="146"/>
      <c r="T45" s="146"/>
      <c r="U45" s="146"/>
      <c r="V45" s="146"/>
      <c r="W45" s="146"/>
      <c r="X45" s="146"/>
      <c r="Y45" s="146"/>
      <c r="Z45" s="146"/>
      <c r="AA45" s="146"/>
      <c r="AB45" s="146"/>
      <c r="AC45" s="146"/>
      <c r="AD45" s="146"/>
      <c r="AE45" s="146"/>
      <c r="AF45" s="146"/>
      <c r="AG45" s="146"/>
      <c r="AH45" s="146"/>
    </row>
    <row r="46" spans="1:34" ht="15" customHeight="1" x14ac:dyDescent="0.25">
      <c r="A46" s="175"/>
      <c r="B46" s="175"/>
      <c r="C46" s="175"/>
      <c r="D46" s="175"/>
      <c r="E46" s="175"/>
      <c r="F46" s="175"/>
      <c r="G46" s="175"/>
      <c r="H46" s="175"/>
      <c r="I46" s="146"/>
      <c r="J46" s="161" t="s">
        <v>75</v>
      </c>
      <c r="K46" s="207">
        <v>2017</v>
      </c>
      <c r="L46" s="207">
        <v>2018</v>
      </c>
      <c r="M46" s="161" t="s">
        <v>501</v>
      </c>
      <c r="N46" s="161" t="s">
        <v>517</v>
      </c>
      <c r="O46" s="146"/>
      <c r="P46" s="146"/>
      <c r="Q46" s="146"/>
      <c r="R46" s="146"/>
      <c r="S46" s="146"/>
      <c r="T46" s="146"/>
      <c r="U46" s="146"/>
      <c r="V46" s="146"/>
      <c r="W46" s="146"/>
      <c r="X46" s="146"/>
      <c r="Y46" s="146"/>
      <c r="Z46" s="146"/>
      <c r="AA46" s="146"/>
      <c r="AB46" s="146"/>
      <c r="AC46" s="146"/>
      <c r="AD46" s="146"/>
      <c r="AE46" s="146"/>
      <c r="AF46" s="146"/>
      <c r="AG46" s="146"/>
      <c r="AH46" s="146"/>
    </row>
    <row r="47" spans="1:34" ht="15.75" customHeight="1" x14ac:dyDescent="0.25">
      <c r="A47" s="146"/>
      <c r="B47" s="146"/>
      <c r="C47" s="146"/>
      <c r="D47" s="146"/>
      <c r="E47" s="146"/>
      <c r="F47" s="146"/>
      <c r="G47" s="146"/>
      <c r="H47" s="146"/>
      <c r="I47" s="140"/>
      <c r="J47" s="161" t="s">
        <v>7</v>
      </c>
      <c r="K47" s="208">
        <f>D28+D29</f>
        <v>63700</v>
      </c>
      <c r="L47" s="208">
        <f>G28</f>
        <v>75348.850978999995</v>
      </c>
      <c r="M47" s="208">
        <f>L47-K47</f>
        <v>11648.850978999995</v>
      </c>
      <c r="N47" s="208">
        <f t="shared" ref="N47:N52" si="5">((L47*100)/K47)-100</f>
        <v>18.287050202511764</v>
      </c>
      <c r="O47" s="156"/>
      <c r="P47" s="146"/>
      <c r="Q47" s="146"/>
      <c r="R47" s="146"/>
      <c r="S47" s="146"/>
      <c r="T47" s="146"/>
      <c r="U47" s="146"/>
      <c r="V47" s="146"/>
      <c r="W47" s="146"/>
      <c r="X47" s="146"/>
      <c r="Y47" s="146"/>
      <c r="Z47" s="146"/>
      <c r="AA47" s="146"/>
      <c r="AB47" s="146"/>
      <c r="AC47" s="146"/>
      <c r="AD47" s="146"/>
      <c r="AE47" s="146"/>
      <c r="AF47" s="146"/>
      <c r="AG47" s="146"/>
      <c r="AH47" s="146"/>
    </row>
    <row r="48" spans="1:34" ht="15.75" customHeight="1" x14ac:dyDescent="0.25">
      <c r="A48" s="146"/>
      <c r="B48" s="146"/>
      <c r="C48" s="146"/>
      <c r="D48" s="146"/>
      <c r="E48" s="146"/>
      <c r="F48" s="146"/>
      <c r="G48" s="146"/>
      <c r="H48" s="146"/>
      <c r="I48" s="140"/>
      <c r="J48" s="161" t="s">
        <v>461</v>
      </c>
      <c r="K48" s="208">
        <f>D30</f>
        <v>57940</v>
      </c>
      <c r="L48" s="208">
        <f>G29</f>
        <v>9484.2000000000007</v>
      </c>
      <c r="M48" s="157">
        <f>L48-K48</f>
        <v>-48455.8</v>
      </c>
      <c r="N48" s="208">
        <f t="shared" si="5"/>
        <v>-83.630997583707284</v>
      </c>
      <c r="O48" s="156"/>
      <c r="P48" s="146"/>
      <c r="Q48" s="146"/>
      <c r="R48" s="146"/>
      <c r="S48" s="146"/>
      <c r="T48" s="146"/>
      <c r="U48" s="146"/>
      <c r="V48" s="146"/>
      <c r="W48" s="146"/>
      <c r="X48" s="146"/>
      <c r="Y48" s="146"/>
      <c r="Z48" s="146"/>
      <c r="AA48" s="146"/>
      <c r="AB48" s="146"/>
      <c r="AC48" s="146"/>
      <c r="AD48" s="146"/>
      <c r="AE48" s="146"/>
      <c r="AF48" s="146"/>
      <c r="AG48" s="146"/>
      <c r="AH48" s="146"/>
    </row>
    <row r="49" spans="1:34" ht="15.75" customHeight="1" x14ac:dyDescent="0.25">
      <c r="A49" s="146"/>
      <c r="B49" s="146"/>
      <c r="C49" s="146"/>
      <c r="D49" s="146"/>
      <c r="E49" s="146"/>
      <c r="F49" s="146"/>
      <c r="G49" s="146"/>
      <c r="H49" s="146"/>
      <c r="I49" s="140"/>
      <c r="J49" s="161" t="s">
        <v>464</v>
      </c>
      <c r="K49" s="208">
        <f>D31</f>
        <v>203160</v>
      </c>
      <c r="L49" s="208">
        <f>G31</f>
        <v>274977.71999999997</v>
      </c>
      <c r="M49" s="208">
        <f>L49-K49</f>
        <v>71817.719999999972</v>
      </c>
      <c r="N49" s="208">
        <f t="shared" si="5"/>
        <v>35.3503248670998</v>
      </c>
      <c r="O49" s="156"/>
      <c r="P49" s="146"/>
      <c r="Q49" s="146"/>
      <c r="R49" s="146"/>
      <c r="S49" s="146"/>
      <c r="T49" s="146"/>
      <c r="U49" s="146"/>
      <c r="V49" s="146"/>
      <c r="W49" s="146"/>
      <c r="X49" s="146"/>
      <c r="Y49" s="146"/>
      <c r="Z49" s="146"/>
      <c r="AA49" s="146"/>
      <c r="AB49" s="146"/>
      <c r="AC49" s="146"/>
      <c r="AD49" s="146"/>
      <c r="AE49" s="146"/>
      <c r="AF49" s="146"/>
      <c r="AG49" s="146"/>
      <c r="AH49" s="146"/>
    </row>
    <row r="50" spans="1:34" ht="15.75" customHeight="1" x14ac:dyDescent="0.25">
      <c r="A50" s="146"/>
      <c r="B50" s="146"/>
      <c r="C50" s="146"/>
      <c r="D50" s="146"/>
      <c r="E50" s="146"/>
      <c r="F50" s="146"/>
      <c r="G50" s="146"/>
      <c r="H50" s="146"/>
      <c r="I50" s="140"/>
      <c r="J50" s="161" t="s">
        <v>466</v>
      </c>
      <c r="K50" s="208">
        <f>D32</f>
        <v>143970</v>
      </c>
      <c r="L50" s="208">
        <f>G32</f>
        <v>97673.9</v>
      </c>
      <c r="M50" s="157">
        <f>L50-K50</f>
        <v>-46296.100000000006</v>
      </c>
      <c r="N50" s="208">
        <f t="shared" si="5"/>
        <v>-32.1567687712718</v>
      </c>
      <c r="O50" s="156"/>
      <c r="P50" s="146"/>
      <c r="Q50" s="146"/>
      <c r="R50" s="146"/>
      <c r="S50" s="146"/>
      <c r="T50" s="146"/>
      <c r="U50" s="146"/>
      <c r="V50" s="146"/>
      <c r="W50" s="146"/>
      <c r="X50" s="146"/>
      <c r="Y50" s="146"/>
      <c r="Z50" s="146"/>
      <c r="AA50" s="146"/>
      <c r="AB50" s="146"/>
      <c r="AC50" s="146"/>
      <c r="AD50" s="146"/>
      <c r="AE50" s="146"/>
      <c r="AF50" s="146"/>
      <c r="AG50" s="146"/>
      <c r="AH50" s="146"/>
    </row>
    <row r="51" spans="1:34" ht="15.75" customHeight="1" x14ac:dyDescent="0.25">
      <c r="A51" s="146"/>
      <c r="B51" s="146"/>
      <c r="C51" s="146"/>
      <c r="D51" s="146"/>
      <c r="E51" s="146"/>
      <c r="F51" s="146"/>
      <c r="G51" s="146"/>
      <c r="H51" s="146"/>
      <c r="I51" s="140"/>
      <c r="J51" s="161" t="s">
        <v>95</v>
      </c>
      <c r="K51" s="208">
        <f>D33</f>
        <v>201020</v>
      </c>
      <c r="L51" s="208">
        <f>G33</f>
        <v>6669.99</v>
      </c>
      <c r="M51" s="157">
        <f>L51-K51</f>
        <v>-194350.01</v>
      </c>
      <c r="N51" s="208">
        <f t="shared" si="5"/>
        <v>-96.681927171425727</v>
      </c>
      <c r="O51" s="156"/>
      <c r="P51" s="146"/>
      <c r="Q51" s="146"/>
      <c r="R51" s="146"/>
      <c r="S51" s="146"/>
      <c r="T51" s="146"/>
      <c r="U51" s="146"/>
      <c r="V51" s="146"/>
      <c r="W51" s="146"/>
      <c r="X51" s="146"/>
      <c r="Y51" s="146"/>
      <c r="Z51" s="146"/>
      <c r="AA51" s="146"/>
      <c r="AB51" s="146"/>
      <c r="AC51" s="146"/>
      <c r="AD51" s="146"/>
      <c r="AE51" s="146"/>
      <c r="AF51" s="146"/>
      <c r="AG51" s="146"/>
      <c r="AH51" s="146"/>
    </row>
    <row r="52" spans="1:34" ht="15.75" customHeight="1" x14ac:dyDescent="0.25">
      <c r="A52" s="146"/>
      <c r="B52" s="146"/>
      <c r="C52" s="146"/>
      <c r="D52" s="146"/>
      <c r="E52" s="146"/>
      <c r="F52" s="146"/>
      <c r="G52" s="146"/>
      <c r="H52" s="146"/>
      <c r="I52" s="140"/>
      <c r="J52" s="161" t="s">
        <v>467</v>
      </c>
      <c r="K52" s="157">
        <f>D34</f>
        <v>-8450</v>
      </c>
      <c r="L52" s="208">
        <f>G34</f>
        <v>-1170</v>
      </c>
      <c r="M52" s="157">
        <f>L52+K52</f>
        <v>-9620</v>
      </c>
      <c r="N52" s="208">
        <f t="shared" si="5"/>
        <v>-86.15384615384616</v>
      </c>
      <c r="O52" s="156"/>
      <c r="P52" s="146"/>
      <c r="Q52" s="146"/>
      <c r="R52" s="146"/>
      <c r="S52" s="146"/>
      <c r="T52" s="146"/>
      <c r="U52" s="146"/>
      <c r="V52" s="146"/>
      <c r="W52" s="146"/>
      <c r="X52" s="146"/>
      <c r="Y52" s="146"/>
      <c r="Z52" s="146"/>
      <c r="AA52" s="146"/>
      <c r="AB52" s="146"/>
      <c r="AC52" s="146"/>
      <c r="AD52" s="146"/>
      <c r="AE52" s="146"/>
      <c r="AF52" s="146"/>
      <c r="AG52" s="146"/>
      <c r="AH52" s="146"/>
    </row>
    <row r="53" spans="1:34" ht="15.75" customHeight="1" x14ac:dyDescent="0.25">
      <c r="A53" s="146"/>
      <c r="B53" s="146"/>
      <c r="C53" s="146"/>
      <c r="D53" s="146"/>
      <c r="E53" s="146"/>
      <c r="F53" s="146"/>
      <c r="G53" s="146"/>
      <c r="H53" s="146"/>
      <c r="I53" s="140"/>
      <c r="J53" s="210"/>
      <c r="K53" s="210"/>
      <c r="L53" s="210"/>
      <c r="M53" s="210"/>
      <c r="N53" s="210"/>
      <c r="O53" s="156"/>
      <c r="P53" s="146"/>
      <c r="Q53" s="146"/>
      <c r="R53" s="146"/>
      <c r="S53" s="146"/>
      <c r="T53" s="146"/>
      <c r="U53" s="146"/>
      <c r="V53" s="146"/>
      <c r="W53" s="146"/>
      <c r="X53" s="146"/>
      <c r="Y53" s="146"/>
      <c r="Z53" s="146"/>
      <c r="AA53" s="146"/>
      <c r="AB53" s="146"/>
      <c r="AC53" s="146"/>
      <c r="AD53" s="146"/>
      <c r="AE53" s="146"/>
      <c r="AF53" s="146"/>
      <c r="AG53" s="146"/>
      <c r="AH53" s="146"/>
    </row>
    <row r="54" spans="1:34" ht="15" customHeight="1" x14ac:dyDescent="0.25">
      <c r="A54" s="146"/>
      <c r="B54" s="146"/>
      <c r="C54" s="146"/>
      <c r="D54" s="146"/>
      <c r="E54" s="146"/>
      <c r="F54" s="146"/>
      <c r="G54" s="146"/>
      <c r="H54" s="146"/>
      <c r="I54" s="146"/>
      <c r="J54" s="161" t="s">
        <v>196</v>
      </c>
      <c r="K54" s="207">
        <v>2017</v>
      </c>
      <c r="L54" s="207">
        <v>2018</v>
      </c>
      <c r="M54" s="161" t="s">
        <v>501</v>
      </c>
      <c r="N54" s="161" t="s">
        <v>517</v>
      </c>
      <c r="O54" s="146"/>
      <c r="P54" s="146"/>
      <c r="Q54" s="146"/>
      <c r="R54" s="146"/>
      <c r="S54" s="146"/>
      <c r="T54" s="146"/>
      <c r="U54" s="146"/>
      <c r="V54" s="146"/>
      <c r="W54" s="146"/>
      <c r="X54" s="146"/>
      <c r="Y54" s="146"/>
      <c r="Z54" s="146"/>
      <c r="AA54" s="146"/>
      <c r="AB54" s="146"/>
      <c r="AC54" s="146"/>
      <c r="AD54" s="146"/>
      <c r="AE54" s="146"/>
      <c r="AF54" s="146"/>
      <c r="AG54" s="146"/>
      <c r="AH54" s="146"/>
    </row>
    <row r="55" spans="1:34" ht="15.75" customHeight="1" x14ac:dyDescent="0.25">
      <c r="A55" s="146"/>
      <c r="B55" s="146"/>
      <c r="C55" s="146"/>
      <c r="D55" s="146"/>
      <c r="E55" s="146"/>
      <c r="F55" s="146"/>
      <c r="G55" s="146"/>
      <c r="H55" s="146"/>
      <c r="I55" s="140"/>
      <c r="J55" s="161" t="s">
        <v>7</v>
      </c>
      <c r="K55" s="208">
        <f>D36+D37</f>
        <v>76350</v>
      </c>
      <c r="L55" s="208">
        <f>G36</f>
        <v>168555.51060000001</v>
      </c>
      <c r="M55" s="208">
        <f>L55-K55</f>
        <v>92205.510600000009</v>
      </c>
      <c r="N55" s="208">
        <f t="shared" ref="N55:N60" si="6">((L55*100)/K55)-100</f>
        <v>120.76687701375249</v>
      </c>
      <c r="O55" s="156"/>
      <c r="P55" s="146"/>
      <c r="Q55" s="146"/>
      <c r="R55" s="146"/>
      <c r="S55" s="146"/>
      <c r="T55" s="146"/>
      <c r="U55" s="146"/>
      <c r="V55" s="146"/>
      <c r="W55" s="146"/>
      <c r="X55" s="146"/>
      <c r="Y55" s="146"/>
      <c r="Z55" s="146"/>
      <c r="AA55" s="146"/>
      <c r="AB55" s="146"/>
      <c r="AC55" s="146"/>
      <c r="AD55" s="146"/>
      <c r="AE55" s="146"/>
      <c r="AF55" s="146"/>
      <c r="AG55" s="146"/>
      <c r="AH55" s="146"/>
    </row>
    <row r="56" spans="1:34" ht="15.75" customHeight="1" x14ac:dyDescent="0.25">
      <c r="A56" s="146"/>
      <c r="B56" s="146"/>
      <c r="C56" s="146"/>
      <c r="D56" s="146"/>
      <c r="E56" s="146"/>
      <c r="F56" s="146"/>
      <c r="G56" s="146"/>
      <c r="H56" s="146"/>
      <c r="I56" s="140"/>
      <c r="J56" s="161" t="s">
        <v>461</v>
      </c>
      <c r="K56" s="208">
        <f>D38</f>
        <v>45230</v>
      </c>
      <c r="L56" s="208">
        <f>G37</f>
        <v>45230</v>
      </c>
      <c r="M56" s="157">
        <f>L56-K56</f>
        <v>0</v>
      </c>
      <c r="N56" s="208">
        <f t="shared" si="6"/>
        <v>0</v>
      </c>
      <c r="O56" s="156"/>
      <c r="P56" s="146"/>
      <c r="Q56" s="146"/>
      <c r="R56" s="146"/>
      <c r="S56" s="146"/>
      <c r="T56" s="146"/>
      <c r="U56" s="146"/>
      <c r="V56" s="146"/>
      <c r="W56" s="146"/>
      <c r="X56" s="146"/>
      <c r="Y56" s="146"/>
      <c r="Z56" s="146"/>
      <c r="AA56" s="146"/>
      <c r="AB56" s="146"/>
      <c r="AC56" s="146"/>
      <c r="AD56" s="146"/>
      <c r="AE56" s="146"/>
      <c r="AF56" s="146"/>
      <c r="AG56" s="146"/>
      <c r="AH56" s="146"/>
    </row>
    <row r="57" spans="1:34" ht="15.75" customHeight="1" x14ac:dyDescent="0.25">
      <c r="A57" s="146"/>
      <c r="B57" s="146"/>
      <c r="C57" s="146"/>
      <c r="D57" s="146"/>
      <c r="E57" s="146"/>
      <c r="F57" s="146"/>
      <c r="G57" s="146"/>
      <c r="H57" s="146"/>
      <c r="I57" s="140"/>
      <c r="J57" s="161" t="s">
        <v>464</v>
      </c>
      <c r="K57" s="208">
        <f>D39</f>
        <v>193630</v>
      </c>
      <c r="L57" s="208">
        <f>G39</f>
        <v>261421.83</v>
      </c>
      <c r="M57" s="208">
        <f>L57-K57</f>
        <v>67791.829999999987</v>
      </c>
      <c r="N57" s="208">
        <f t="shared" si="6"/>
        <v>35.011015854981139</v>
      </c>
      <c r="O57" s="156"/>
      <c r="P57" s="146"/>
      <c r="Q57" s="146"/>
      <c r="R57" s="146"/>
      <c r="S57" s="146"/>
      <c r="T57" s="146"/>
      <c r="U57" s="146"/>
      <c r="V57" s="146"/>
      <c r="W57" s="146"/>
      <c r="X57" s="146"/>
      <c r="Y57" s="146"/>
      <c r="Z57" s="146"/>
      <c r="AA57" s="146"/>
      <c r="AB57" s="146"/>
      <c r="AC57" s="146"/>
      <c r="AD57" s="146"/>
      <c r="AE57" s="146"/>
      <c r="AF57" s="146"/>
      <c r="AG57" s="146"/>
      <c r="AH57" s="146"/>
    </row>
    <row r="58" spans="1:34" ht="15.75" customHeight="1" x14ac:dyDescent="0.25">
      <c r="A58" s="146"/>
      <c r="B58" s="146"/>
      <c r="C58" s="146"/>
      <c r="D58" s="146"/>
      <c r="E58" s="146"/>
      <c r="F58" s="146"/>
      <c r="G58" s="146"/>
      <c r="H58" s="146"/>
      <c r="I58" s="140"/>
      <c r="J58" s="161" t="s">
        <v>466</v>
      </c>
      <c r="K58" s="208">
        <f>D40</f>
        <v>173570</v>
      </c>
      <c r="L58" s="208">
        <f>G40</f>
        <v>647302.1</v>
      </c>
      <c r="M58" s="208">
        <f>L58-K58</f>
        <v>473732.1</v>
      </c>
      <c r="N58" s="165">
        <f t="shared" si="6"/>
        <v>272.93432044708186</v>
      </c>
      <c r="O58" s="156"/>
      <c r="P58" s="146"/>
      <c r="Q58" s="146"/>
      <c r="R58" s="146"/>
      <c r="S58" s="146"/>
      <c r="T58" s="146"/>
      <c r="U58" s="146"/>
      <c r="V58" s="146"/>
      <c r="W58" s="146"/>
      <c r="X58" s="146"/>
      <c r="Y58" s="146"/>
      <c r="Z58" s="146"/>
      <c r="AA58" s="146"/>
      <c r="AB58" s="146"/>
      <c r="AC58" s="146"/>
      <c r="AD58" s="146"/>
      <c r="AE58" s="146"/>
      <c r="AF58" s="146"/>
      <c r="AG58" s="146"/>
      <c r="AH58" s="146"/>
    </row>
    <row r="59" spans="1:34" ht="15.75" customHeight="1" x14ac:dyDescent="0.25">
      <c r="A59" s="146"/>
      <c r="B59" s="146"/>
      <c r="C59" s="146"/>
      <c r="D59" s="146"/>
      <c r="E59" s="146"/>
      <c r="F59" s="146"/>
      <c r="G59" s="146"/>
      <c r="H59" s="146"/>
      <c r="I59" s="140"/>
      <c r="J59" s="161" t="s">
        <v>95</v>
      </c>
      <c r="K59" s="208">
        <f>D41</f>
        <v>104070</v>
      </c>
      <c r="L59" s="208">
        <f>G41</f>
        <v>9469.32</v>
      </c>
      <c r="M59" s="157">
        <f>L59-K59</f>
        <v>-94600.68</v>
      </c>
      <c r="N59" s="208">
        <f t="shared" si="6"/>
        <v>-90.901008936292882</v>
      </c>
      <c r="O59" s="156"/>
      <c r="P59" s="146"/>
      <c r="Q59" s="146"/>
      <c r="R59" s="146"/>
      <c r="S59" s="146"/>
      <c r="T59" s="146"/>
      <c r="U59" s="146"/>
      <c r="V59" s="146"/>
      <c r="W59" s="146"/>
      <c r="X59" s="146"/>
      <c r="Y59" s="146"/>
      <c r="Z59" s="146"/>
      <c r="AA59" s="146"/>
      <c r="AB59" s="146"/>
      <c r="AC59" s="146"/>
      <c r="AD59" s="146"/>
      <c r="AE59" s="146"/>
      <c r="AF59" s="146"/>
      <c r="AG59" s="146"/>
      <c r="AH59" s="146"/>
    </row>
    <row r="60" spans="1:34" ht="15.75" customHeight="1" x14ac:dyDescent="0.25">
      <c r="A60" s="146"/>
      <c r="B60" s="146"/>
      <c r="C60" s="146"/>
      <c r="D60" s="146"/>
      <c r="E60" s="146"/>
      <c r="F60" s="146"/>
      <c r="G60" s="146"/>
      <c r="H60" s="146"/>
      <c r="I60" s="140"/>
      <c r="J60" s="161" t="s">
        <v>467</v>
      </c>
      <c r="K60" s="157">
        <f>D42</f>
        <v>-51340</v>
      </c>
      <c r="L60" s="208">
        <f>G42</f>
        <v>-21401</v>
      </c>
      <c r="M60" s="157">
        <f>L60+K60</f>
        <v>-72741</v>
      </c>
      <c r="N60" s="208">
        <f t="shared" si="6"/>
        <v>-58.315153876119986</v>
      </c>
      <c r="O60" s="156"/>
      <c r="P60" s="146"/>
      <c r="Q60" s="146"/>
      <c r="R60" s="146"/>
      <c r="S60" s="146"/>
      <c r="T60" s="146"/>
      <c r="U60" s="146"/>
      <c r="V60" s="146"/>
      <c r="W60" s="146"/>
      <c r="X60" s="146"/>
      <c r="Y60" s="146"/>
      <c r="Z60" s="146"/>
      <c r="AA60" s="146"/>
      <c r="AB60" s="146"/>
      <c r="AC60" s="146"/>
      <c r="AD60" s="146"/>
      <c r="AE60" s="146"/>
      <c r="AF60" s="146"/>
      <c r="AG60" s="146"/>
      <c r="AH60" s="146"/>
    </row>
    <row r="61" spans="1:34" ht="15.75" customHeight="1" x14ac:dyDescent="0.25">
      <c r="A61" s="146"/>
      <c r="B61" s="146"/>
      <c r="C61" s="146"/>
      <c r="D61" s="146"/>
      <c r="E61" s="146"/>
      <c r="F61" s="146"/>
      <c r="G61" s="146"/>
      <c r="H61" s="146"/>
      <c r="I61" s="140"/>
      <c r="J61" s="210"/>
      <c r="K61" s="210"/>
      <c r="L61" s="210"/>
      <c r="M61" s="210"/>
      <c r="N61" s="210"/>
      <c r="O61" s="156"/>
      <c r="P61" s="146"/>
      <c r="Q61" s="146"/>
      <c r="R61" s="146"/>
      <c r="S61" s="146"/>
      <c r="T61" s="146"/>
      <c r="U61" s="146"/>
      <c r="V61" s="146"/>
      <c r="W61" s="146"/>
      <c r="X61" s="146"/>
      <c r="Y61" s="146"/>
      <c r="Z61" s="146"/>
      <c r="AA61" s="146"/>
      <c r="AB61" s="146"/>
      <c r="AC61" s="146"/>
      <c r="AD61" s="146"/>
      <c r="AE61" s="146"/>
      <c r="AF61" s="146"/>
      <c r="AG61" s="146"/>
      <c r="AH61" s="146"/>
    </row>
    <row r="62" spans="1:34" ht="15" customHeight="1" x14ac:dyDescent="0.25">
      <c r="A62" s="146"/>
      <c r="B62" s="146"/>
      <c r="C62" s="146"/>
      <c r="D62" s="146"/>
      <c r="E62" s="146"/>
      <c r="F62" s="146"/>
      <c r="G62" s="146"/>
      <c r="H62" s="146"/>
      <c r="I62" s="146"/>
      <c r="J62" s="161" t="s">
        <v>425</v>
      </c>
      <c r="K62" s="207">
        <v>2017</v>
      </c>
      <c r="L62" s="207">
        <v>2018</v>
      </c>
      <c r="M62" s="161" t="s">
        <v>501</v>
      </c>
      <c r="N62" s="161" t="s">
        <v>517</v>
      </c>
      <c r="O62" s="146"/>
      <c r="P62" s="146"/>
      <c r="Q62" s="146"/>
      <c r="R62" s="146"/>
      <c r="S62" s="146"/>
      <c r="T62" s="146"/>
      <c r="U62" s="146"/>
      <c r="V62" s="146"/>
      <c r="W62" s="146"/>
      <c r="X62" s="146"/>
      <c r="Y62" s="146"/>
      <c r="Z62" s="146"/>
      <c r="AA62" s="146"/>
      <c r="AB62" s="146"/>
      <c r="AC62" s="146"/>
      <c r="AD62" s="146"/>
      <c r="AE62" s="146"/>
      <c r="AF62" s="146"/>
      <c r="AG62" s="146"/>
      <c r="AH62" s="146"/>
    </row>
    <row r="63" spans="1:34" ht="15.75" customHeight="1" x14ac:dyDescent="0.25">
      <c r="A63" s="146"/>
      <c r="B63" s="146"/>
      <c r="C63" s="146"/>
      <c r="D63" s="146"/>
      <c r="E63" s="146"/>
      <c r="F63" s="146"/>
      <c r="G63" s="146"/>
      <c r="H63" s="146"/>
      <c r="I63" s="140"/>
      <c r="J63" s="161" t="s">
        <v>464</v>
      </c>
      <c r="K63" s="208">
        <f>D44</f>
        <v>22020</v>
      </c>
      <c r="L63" s="208">
        <f>G44</f>
        <v>30531.119999999999</v>
      </c>
      <c r="M63" s="208">
        <f>L63-K63</f>
        <v>8511.119999999999</v>
      </c>
      <c r="N63" s="208">
        <f>((L63*100)/K63)-100</f>
        <v>38.65177111716622</v>
      </c>
      <c r="O63" s="156"/>
      <c r="P63" s="146"/>
      <c r="Q63" s="146"/>
      <c r="R63" s="146"/>
      <c r="S63" s="146"/>
      <c r="T63" s="146"/>
      <c r="U63" s="146"/>
      <c r="V63" s="146"/>
      <c r="W63" s="146"/>
      <c r="X63" s="146"/>
      <c r="Y63" s="146"/>
      <c r="Z63" s="146"/>
      <c r="AA63" s="146"/>
      <c r="AB63" s="146"/>
      <c r="AC63" s="146"/>
      <c r="AD63" s="146"/>
      <c r="AE63" s="146"/>
      <c r="AF63" s="146"/>
      <c r="AG63" s="146"/>
      <c r="AH63" s="146"/>
    </row>
    <row r="64" spans="1:34" ht="15.75" customHeight="1" x14ac:dyDescent="0.25">
      <c r="A64" s="146"/>
      <c r="B64" s="146"/>
      <c r="C64" s="146"/>
      <c r="D64" s="146"/>
      <c r="E64" s="146"/>
      <c r="F64" s="146"/>
      <c r="G64" s="146"/>
      <c r="H64" s="146"/>
      <c r="I64" s="140"/>
      <c r="J64" s="161" t="s">
        <v>58</v>
      </c>
      <c r="K64" s="208">
        <f>D45</f>
        <v>75790</v>
      </c>
      <c r="L64" s="208">
        <f>G45</f>
        <v>8749</v>
      </c>
      <c r="M64" s="157">
        <f>L64-K64</f>
        <v>-67041</v>
      </c>
      <c r="N64" s="208">
        <f>((L64*100)/K64)-100</f>
        <v>-88.456260720411663</v>
      </c>
      <c r="O64" s="156"/>
      <c r="P64" s="146"/>
      <c r="Q64" s="146"/>
      <c r="R64" s="146"/>
      <c r="S64" s="146"/>
      <c r="T64" s="146"/>
      <c r="U64" s="146"/>
      <c r="V64" s="146"/>
      <c r="W64" s="146"/>
      <c r="X64" s="146"/>
      <c r="Y64" s="146"/>
      <c r="Z64" s="146"/>
      <c r="AA64" s="146"/>
      <c r="AB64" s="146"/>
      <c r="AC64" s="146"/>
      <c r="AD64" s="146"/>
      <c r="AE64" s="146"/>
      <c r="AF64" s="146"/>
      <c r="AG64" s="146"/>
      <c r="AH64" s="146"/>
    </row>
    <row r="65" spans="1:34" ht="15.75" customHeight="1" x14ac:dyDescent="0.25">
      <c r="A65" s="146"/>
      <c r="B65" s="146"/>
      <c r="C65" s="146"/>
      <c r="D65" s="146"/>
      <c r="E65" s="146"/>
      <c r="F65" s="146"/>
      <c r="G65" s="146"/>
      <c r="H65" s="146"/>
      <c r="I65" s="140"/>
      <c r="J65" s="175"/>
      <c r="K65" s="175"/>
      <c r="L65" s="175"/>
      <c r="M65" s="175"/>
      <c r="N65" s="175"/>
      <c r="O65" s="156"/>
      <c r="P65" s="146"/>
      <c r="Q65" s="146"/>
      <c r="R65" s="146"/>
      <c r="S65" s="146"/>
      <c r="T65" s="146"/>
      <c r="U65" s="146"/>
      <c r="V65" s="146"/>
      <c r="W65" s="146"/>
      <c r="X65" s="146"/>
      <c r="Y65" s="146"/>
      <c r="Z65" s="146"/>
      <c r="AA65" s="146"/>
      <c r="AB65" s="146"/>
      <c r="AC65" s="146"/>
      <c r="AD65" s="146"/>
      <c r="AE65" s="146"/>
      <c r="AF65" s="146"/>
      <c r="AG65" s="146"/>
      <c r="AH65" s="146"/>
    </row>
    <row r="66" spans="1:34" ht="15" customHeight="1" x14ac:dyDescent="0.25">
      <c r="A66" s="146"/>
      <c r="B66" s="146"/>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row>
    <row r="67" spans="1:34" ht="15" customHeight="1" x14ac:dyDescent="0.25">
      <c r="A67" s="146"/>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row>
    <row r="68" spans="1:34" ht="15" customHeight="1" x14ac:dyDescent="0.25">
      <c r="A68" s="146"/>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row>
    <row r="69" spans="1:34" ht="15" customHeight="1" x14ac:dyDescent="0.25">
      <c r="A69" s="146"/>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row>
    <row r="70" spans="1:34" ht="15" customHeight="1" x14ac:dyDescent="0.25">
      <c r="A70" s="146"/>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row>
    <row r="71" spans="1:34" ht="15" customHeight="1" x14ac:dyDescent="0.25">
      <c r="A71" s="146"/>
      <c r="B71" s="146"/>
      <c r="C71" s="146"/>
      <c r="D71" s="146"/>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row>
    <row r="72" spans="1:34" ht="15" customHeight="1" x14ac:dyDescent="0.25">
      <c r="A72" s="146"/>
      <c r="B72" s="146"/>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row>
    <row r="73" spans="1:34" ht="15" customHeight="1" x14ac:dyDescent="0.25">
      <c r="A73" s="146"/>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row>
    <row r="74" spans="1:34" ht="15" customHeight="1" x14ac:dyDescent="0.25">
      <c r="A74" s="146"/>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row>
    <row r="75" spans="1:34" ht="15" customHeight="1" x14ac:dyDescent="0.25">
      <c r="A75" s="146"/>
      <c r="B75" s="146"/>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row>
    <row r="76" spans="1:34" ht="15" customHeight="1" x14ac:dyDescent="0.25">
      <c r="A76" s="146"/>
      <c r="B76" s="146"/>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row>
    <row r="77" spans="1:34" ht="15" customHeight="1" x14ac:dyDescent="0.25">
      <c r="A77" s="146"/>
      <c r="B77" s="146"/>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row>
    <row r="78" spans="1:34" ht="15" customHeight="1" x14ac:dyDescent="0.25">
      <c r="A78" s="146"/>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row>
    <row r="79" spans="1:34" ht="15" customHeight="1" x14ac:dyDescent="0.25">
      <c r="A79" s="146"/>
      <c r="B79" s="146"/>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row>
    <row r="80" spans="1:34" ht="15" customHeight="1" x14ac:dyDescent="0.25">
      <c r="A80" s="146"/>
      <c r="B80" s="146"/>
      <c r="C80" s="146"/>
      <c r="D80" s="146"/>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row>
    <row r="81" spans="1:34" ht="15" customHeight="1" x14ac:dyDescent="0.25">
      <c r="A81" s="146"/>
      <c r="B81" s="146"/>
      <c r="C81" s="146"/>
      <c r="D81" s="146"/>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row>
    <row r="82" spans="1:34" ht="15" customHeight="1" x14ac:dyDescent="0.25">
      <c r="A82" s="146"/>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row>
    <row r="83" spans="1:34" ht="15" customHeight="1" x14ac:dyDescent="0.25">
      <c r="A83" s="146"/>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row>
    <row r="84" spans="1:34" ht="15" customHeight="1" x14ac:dyDescent="0.25">
      <c r="A84" s="146"/>
      <c r="B84" s="146"/>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row>
    <row r="85" spans="1:34" ht="15" customHeight="1" x14ac:dyDescent="0.25">
      <c r="A85" s="146"/>
      <c r="B85" s="146"/>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row>
    <row r="86" spans="1:34" ht="15" customHeight="1" x14ac:dyDescent="0.25">
      <c r="A86" s="146"/>
      <c r="B86" s="146"/>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row>
    <row r="87" spans="1:34" ht="15" customHeight="1" x14ac:dyDescent="0.25">
      <c r="A87" s="146"/>
      <c r="B87" s="146"/>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row>
    <row r="88" spans="1:34" ht="15" customHeight="1" x14ac:dyDescent="0.25">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row>
    <row r="89" spans="1:34" ht="15" customHeight="1" x14ac:dyDescent="0.25">
      <c r="A89" s="146"/>
      <c r="B89" s="146"/>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row>
    <row r="90" spans="1:34" ht="15" customHeight="1" x14ac:dyDescent="0.25">
      <c r="A90" s="146"/>
      <c r="B90" s="146"/>
      <c r="C90" s="146"/>
      <c r="D90" s="146"/>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row>
    <row r="91" spans="1:34" ht="15" customHeight="1" x14ac:dyDescent="0.25">
      <c r="A91" s="146"/>
      <c r="B91" s="146"/>
      <c r="C91" s="146"/>
      <c r="D91" s="146"/>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row>
    <row r="92" spans="1:34" ht="15" customHeight="1" x14ac:dyDescent="0.25">
      <c r="A92" s="146"/>
      <c r="B92" s="146"/>
      <c r="C92" s="146"/>
      <c r="D92" s="146"/>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row>
    <row r="93" spans="1:34" ht="15" customHeight="1" x14ac:dyDescent="0.25">
      <c r="A93" s="146"/>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row>
    <row r="94" spans="1:34" ht="15" customHeight="1" x14ac:dyDescent="0.25">
      <c r="A94" s="146"/>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row>
    <row r="95" spans="1:34" ht="15" customHeight="1" x14ac:dyDescent="0.25">
      <c r="A95" s="146"/>
      <c r="B95" s="146"/>
      <c r="C95" s="146"/>
      <c r="D95" s="146"/>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row>
    <row r="96" spans="1:34" ht="15" customHeight="1" x14ac:dyDescent="0.25">
      <c r="A96" s="146"/>
      <c r="B96" s="146"/>
      <c r="C96" s="146"/>
      <c r="D96" s="146"/>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row>
    <row r="97" spans="1:34" ht="15" customHeight="1" x14ac:dyDescent="0.25">
      <c r="A97" s="146"/>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row>
    <row r="98" spans="1:34" ht="15" customHeight="1" x14ac:dyDescent="0.25">
      <c r="A98" s="146"/>
      <c r="B98" s="146"/>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row>
    <row r="99" spans="1:34" ht="15" customHeight="1" x14ac:dyDescent="0.25">
      <c r="A99" s="146"/>
      <c r="B99" s="146"/>
      <c r="C99" s="146"/>
      <c r="D99" s="146"/>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row>
    <row r="100" spans="1:34" ht="15" customHeight="1" x14ac:dyDescent="0.25">
      <c r="A100" s="146"/>
      <c r="B100" s="146"/>
      <c r="C100" s="146"/>
      <c r="D100" s="146"/>
      <c r="E100" s="146"/>
      <c r="F100" s="146"/>
      <c r="G100" s="146"/>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row>
    <row r="101" spans="1:34" ht="15" customHeight="1" x14ac:dyDescent="0.25">
      <c r="A101" s="146"/>
      <c r="B101" s="146"/>
      <c r="C101" s="146"/>
      <c r="D101" s="146"/>
      <c r="E101" s="146"/>
      <c r="F101" s="146"/>
      <c r="G101" s="146"/>
      <c r="H101" s="146"/>
      <c r="I101" s="146"/>
      <c r="J101" s="146"/>
      <c r="K101" s="146"/>
      <c r="L101" s="146"/>
      <c r="M101" s="146"/>
      <c r="N101" s="146"/>
      <c r="O101" s="146"/>
      <c r="P101" s="146"/>
      <c r="Q101" s="146"/>
      <c r="R101" s="146"/>
      <c r="S101" s="146"/>
      <c r="T101" s="146"/>
      <c r="U101" s="146"/>
      <c r="V101" s="146"/>
      <c r="W101" s="146"/>
      <c r="X101" s="146"/>
      <c r="Y101" s="146"/>
      <c r="Z101" s="146"/>
      <c r="AA101" s="146"/>
      <c r="AB101" s="146"/>
      <c r="AC101" s="146"/>
      <c r="AD101" s="146"/>
      <c r="AE101" s="146"/>
      <c r="AF101" s="146"/>
      <c r="AG101" s="146"/>
      <c r="AH101" s="146"/>
    </row>
    <row r="102" spans="1:34" ht="15" customHeight="1" x14ac:dyDescent="0.25">
      <c r="A102" s="146"/>
      <c r="B102" s="146"/>
      <c r="C102" s="146"/>
      <c r="D102" s="146"/>
      <c r="E102" s="146"/>
      <c r="F102" s="146"/>
      <c r="G102" s="146"/>
      <c r="H102" s="146"/>
      <c r="I102" s="146"/>
      <c r="J102" s="146"/>
      <c r="K102" s="146"/>
      <c r="L102" s="146"/>
      <c r="M102" s="146"/>
      <c r="N102" s="146"/>
      <c r="O102" s="146"/>
      <c r="P102" s="146"/>
      <c r="Q102" s="146"/>
      <c r="R102" s="146"/>
      <c r="S102" s="146"/>
      <c r="T102" s="146"/>
      <c r="U102" s="146"/>
      <c r="V102" s="146"/>
      <c r="W102" s="146"/>
      <c r="X102" s="146"/>
      <c r="Y102" s="146"/>
      <c r="Z102" s="146"/>
      <c r="AA102" s="146"/>
      <c r="AB102" s="146"/>
      <c r="AC102" s="146"/>
      <c r="AD102" s="146"/>
      <c r="AE102" s="146"/>
      <c r="AF102" s="146"/>
      <c r="AG102" s="146"/>
      <c r="AH102" s="146"/>
    </row>
    <row r="103" spans="1:34" ht="15" customHeight="1" x14ac:dyDescent="0.25">
      <c r="A103" s="146"/>
      <c r="B103" s="146"/>
      <c r="C103" s="146"/>
      <c r="D103" s="146"/>
      <c r="E103" s="146"/>
      <c r="F103" s="146"/>
      <c r="G103" s="146"/>
      <c r="H103" s="146"/>
      <c r="I103" s="146"/>
      <c r="J103" s="146"/>
      <c r="K103" s="146"/>
      <c r="L103" s="146"/>
      <c r="M103" s="146"/>
      <c r="N103" s="146"/>
      <c r="O103" s="146"/>
      <c r="P103" s="146"/>
      <c r="Q103" s="146"/>
      <c r="R103" s="146"/>
      <c r="S103" s="146"/>
      <c r="T103" s="146"/>
      <c r="U103" s="146"/>
      <c r="V103" s="146"/>
      <c r="W103" s="146"/>
      <c r="X103" s="146"/>
      <c r="Y103" s="146"/>
      <c r="Z103" s="146"/>
      <c r="AA103" s="146"/>
      <c r="AB103" s="146"/>
      <c r="AC103" s="146"/>
      <c r="AD103" s="146"/>
      <c r="AE103" s="146"/>
      <c r="AF103" s="146"/>
      <c r="AG103" s="146"/>
      <c r="AH103" s="146"/>
    </row>
    <row r="104" spans="1:34" ht="15" customHeight="1" x14ac:dyDescent="0.25">
      <c r="A104" s="146"/>
      <c r="B104" s="146"/>
      <c r="C104" s="146"/>
      <c r="D104" s="146"/>
      <c r="E104" s="146"/>
      <c r="F104" s="146"/>
      <c r="G104" s="146"/>
      <c r="H104" s="146"/>
      <c r="I104" s="146"/>
      <c r="J104" s="146"/>
      <c r="K104" s="146"/>
      <c r="L104" s="146"/>
      <c r="M104" s="146"/>
      <c r="N104" s="146"/>
      <c r="O104" s="146"/>
      <c r="P104" s="146"/>
      <c r="Q104" s="146"/>
      <c r="R104" s="146"/>
      <c r="S104" s="146"/>
      <c r="T104" s="146"/>
      <c r="U104" s="146"/>
      <c r="V104" s="146"/>
      <c r="W104" s="146"/>
      <c r="X104" s="146"/>
      <c r="Y104" s="146"/>
      <c r="Z104" s="146"/>
      <c r="AA104" s="146"/>
      <c r="AB104" s="146"/>
      <c r="AC104" s="146"/>
      <c r="AD104" s="146"/>
      <c r="AE104" s="146"/>
      <c r="AF104" s="146"/>
      <c r="AG104" s="146"/>
      <c r="AH104" s="146"/>
    </row>
    <row r="105" spans="1:34" ht="15" customHeight="1" x14ac:dyDescent="0.25">
      <c r="A105" s="146"/>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row>
    <row r="106" spans="1:34" ht="15" customHeight="1" x14ac:dyDescent="0.25">
      <c r="A106" s="146"/>
      <c r="B106" s="146"/>
      <c r="C106" s="146"/>
      <c r="D106" s="146"/>
      <c r="E106" s="146"/>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row>
    <row r="107" spans="1:34" ht="15" customHeight="1" x14ac:dyDescent="0.25">
      <c r="A107" s="146"/>
      <c r="B107" s="146"/>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row>
    <row r="108" spans="1:34" ht="15" customHeight="1" x14ac:dyDescent="0.25">
      <c r="A108" s="146"/>
      <c r="B108" s="146"/>
      <c r="C108" s="146"/>
      <c r="D108" s="146"/>
      <c r="E108" s="146"/>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row>
    <row r="109" spans="1:34" ht="15" customHeight="1" x14ac:dyDescent="0.25">
      <c r="A109" s="146"/>
      <c r="B109" s="146"/>
      <c r="C109" s="146"/>
      <c r="D109" s="146"/>
      <c r="E109" s="146"/>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row>
    <row r="110" spans="1:34" ht="15" customHeight="1" x14ac:dyDescent="0.25">
      <c r="A110" s="146"/>
      <c r="B110" s="146"/>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row>
    <row r="111" spans="1:34" ht="15" customHeight="1" x14ac:dyDescent="0.25">
      <c r="A111" s="146"/>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row>
    <row r="112" spans="1:34" ht="15" customHeight="1" x14ac:dyDescent="0.25">
      <c r="A112" s="146"/>
      <c r="B112" s="146"/>
      <c r="C112" s="146"/>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row>
    <row r="113" spans="1:34" ht="15" customHeight="1" x14ac:dyDescent="0.25">
      <c r="A113" s="146"/>
      <c r="B113" s="146"/>
      <c r="C113" s="146"/>
      <c r="D113" s="146"/>
      <c r="E113" s="146"/>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row>
    <row r="114" spans="1:34" ht="15" customHeight="1" x14ac:dyDescent="0.25">
      <c r="A114" s="146"/>
      <c r="B114" s="146"/>
      <c r="C114" s="146"/>
      <c r="D114" s="146"/>
      <c r="E114" s="146"/>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row>
    <row r="115" spans="1:34" ht="15" customHeight="1" x14ac:dyDescent="0.25">
      <c r="A115" s="146"/>
      <c r="B115" s="146"/>
      <c r="C115" s="146"/>
      <c r="D115" s="146"/>
      <c r="E115" s="146"/>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row>
    <row r="116" spans="1:34" ht="15" customHeight="1" x14ac:dyDescent="0.25">
      <c r="A116" s="146"/>
      <c r="B116" s="146"/>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row>
    <row r="117" spans="1:34" ht="15" customHeight="1" x14ac:dyDescent="0.25">
      <c r="A117" s="146"/>
      <c r="B117" s="146"/>
      <c r="C117" s="146"/>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row>
    <row r="118" spans="1:34" ht="15" customHeight="1" x14ac:dyDescent="0.25">
      <c r="A118" s="146"/>
      <c r="B118" s="146"/>
      <c r="C118" s="146"/>
      <c r="D118" s="146"/>
      <c r="E118" s="146"/>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row>
    <row r="119" spans="1:34" ht="15" customHeight="1" x14ac:dyDescent="0.25">
      <c r="A119" s="146"/>
      <c r="B119" s="146"/>
      <c r="C119" s="146"/>
      <c r="D119" s="146"/>
      <c r="E119" s="146"/>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row>
    <row r="120" spans="1:34" ht="15" customHeight="1" x14ac:dyDescent="0.25">
      <c r="A120" s="146"/>
      <c r="B120" s="146"/>
      <c r="C120" s="146"/>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row>
    <row r="121" spans="1:34" ht="15" customHeight="1" x14ac:dyDescent="0.25">
      <c r="A121" s="146"/>
      <c r="B121" s="146"/>
      <c r="C121" s="146"/>
      <c r="D121" s="146"/>
      <c r="E121" s="146"/>
      <c r="F121" s="146"/>
      <c r="G121" s="146"/>
      <c r="H121" s="146"/>
      <c r="I121" s="146"/>
      <c r="O121" s="146"/>
      <c r="P121" s="146"/>
      <c r="Q121" s="146"/>
      <c r="R121" s="146"/>
      <c r="S121" s="146"/>
      <c r="T121" s="146"/>
      <c r="U121" s="146"/>
      <c r="V121" s="146"/>
      <c r="W121" s="146"/>
      <c r="X121" s="146"/>
      <c r="Y121" s="146"/>
      <c r="Z121" s="146"/>
      <c r="AA121" s="146"/>
      <c r="AB121" s="146"/>
      <c r="AC121" s="146"/>
      <c r="AD121" s="146"/>
      <c r="AE121" s="146"/>
      <c r="AF121" s="146"/>
      <c r="AG121" s="146"/>
      <c r="AH121" s="146"/>
    </row>
  </sheetData>
  <mergeCells count="76">
    <mergeCell ref="B32:B35"/>
    <mergeCell ref="A4:A11"/>
    <mergeCell ref="B4:B6"/>
    <mergeCell ref="B8:B11"/>
    <mergeCell ref="A12:A19"/>
    <mergeCell ref="B12:B14"/>
    <mergeCell ref="A36:A43"/>
    <mergeCell ref="B36:B38"/>
    <mergeCell ref="B40:B43"/>
    <mergeCell ref="A44:A45"/>
    <mergeCell ref="E2:G2"/>
    <mergeCell ref="B2:D2"/>
    <mergeCell ref="E4:E6"/>
    <mergeCell ref="E8:E11"/>
    <mergeCell ref="E12:E14"/>
    <mergeCell ref="E16:E19"/>
    <mergeCell ref="B16:B19"/>
    <mergeCell ref="A20:A27"/>
    <mergeCell ref="B20:B22"/>
    <mergeCell ref="B24:B27"/>
    <mergeCell ref="A28:A35"/>
    <mergeCell ref="B28:B30"/>
    <mergeCell ref="E24:E27"/>
    <mergeCell ref="E28:E30"/>
    <mergeCell ref="E32:E35"/>
    <mergeCell ref="E36:E38"/>
    <mergeCell ref="E40:E43"/>
    <mergeCell ref="B1:C1"/>
    <mergeCell ref="E1:F1"/>
    <mergeCell ref="J3:N3"/>
    <mergeCell ref="J4:N4"/>
    <mergeCell ref="E20:E22"/>
    <mergeCell ref="N14:N15"/>
    <mergeCell ref="K5:L5"/>
    <mergeCell ref="J6:J10"/>
    <mergeCell ref="K6:L6"/>
    <mergeCell ref="K7:L7"/>
    <mergeCell ref="K8:L8"/>
    <mergeCell ref="K9:L9"/>
    <mergeCell ref="T11:T13"/>
    <mergeCell ref="Q14:R15"/>
    <mergeCell ref="S14:S15"/>
    <mergeCell ref="T14:T15"/>
    <mergeCell ref="J16:J20"/>
    <mergeCell ref="K16:L16"/>
    <mergeCell ref="K17:L17"/>
    <mergeCell ref="K18:L18"/>
    <mergeCell ref="K19:L19"/>
    <mergeCell ref="K20:L20"/>
    <mergeCell ref="J11:J15"/>
    <mergeCell ref="K11:L13"/>
    <mergeCell ref="M11:M13"/>
    <mergeCell ref="N11:N13"/>
    <mergeCell ref="K14:L15"/>
    <mergeCell ref="M14:M15"/>
    <mergeCell ref="Q5:R5"/>
    <mergeCell ref="P6:P10"/>
    <mergeCell ref="P11:P15"/>
    <mergeCell ref="Q11:R13"/>
    <mergeCell ref="S11:S13"/>
    <mergeCell ref="V3:X3"/>
    <mergeCell ref="W5:W7"/>
    <mergeCell ref="X5:X7"/>
    <mergeCell ref="Q8:R8"/>
    <mergeCell ref="P16:P21"/>
    <mergeCell ref="Q20:R20"/>
    <mergeCell ref="P4:T4"/>
    <mergeCell ref="Q9:R9"/>
    <mergeCell ref="Q6:R6"/>
    <mergeCell ref="Q7:R7"/>
    <mergeCell ref="Q16:R16"/>
    <mergeCell ref="Q17:R17"/>
    <mergeCell ref="Q18:R18"/>
    <mergeCell ref="Q19:R19"/>
    <mergeCell ref="Q21:R21"/>
    <mergeCell ref="P3:T3"/>
  </mergeCells>
  <pageMargins left="0.7" right="0.7" top="0.75" bottom="0.75" header="0.3" footer="0.3"/>
  <pageSetup orientation="portrait"/>
  <headerFooter>
    <oddFooter>&amp;C&amp;"Helvetica Neue,Regular"&amp;12&amp;K000000&amp;P</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7"/>
  <sheetViews>
    <sheetView showGridLines="0" workbookViewId="0"/>
  </sheetViews>
  <sheetFormatPr baseColWidth="10" defaultColWidth="10.875" defaultRowHeight="15.75" customHeight="1" x14ac:dyDescent="0.25"/>
  <cols>
    <col min="1" max="1" width="13.875" style="5" customWidth="1"/>
    <col min="2" max="2" width="22.125" style="5" customWidth="1"/>
    <col min="3" max="3" width="20" style="5" customWidth="1"/>
    <col min="4" max="4" width="15.875" style="5" customWidth="1"/>
    <col min="5" max="5" width="20.125" style="5" customWidth="1"/>
    <col min="6" max="6" width="10.875" style="5" customWidth="1"/>
    <col min="7" max="7" width="14" style="5" customWidth="1"/>
    <col min="8" max="8" width="12.5" style="5" customWidth="1"/>
    <col min="9" max="11" width="10.875" style="5" customWidth="1"/>
    <col min="12" max="12" width="9.625" style="5" customWidth="1"/>
    <col min="13" max="13" width="36.375" style="5" customWidth="1"/>
    <col min="14" max="256" width="10.875" style="5" customWidth="1"/>
  </cols>
  <sheetData>
    <row r="1" spans="1:14" ht="17.100000000000001" customHeight="1" x14ac:dyDescent="0.25">
      <c r="A1" s="6"/>
      <c r="B1" s="6"/>
      <c r="C1" s="6"/>
      <c r="D1" s="6"/>
      <c r="E1" s="6"/>
      <c r="F1" s="6"/>
      <c r="G1" s="6"/>
      <c r="H1" s="6"/>
      <c r="I1" s="6"/>
      <c r="J1" s="6"/>
      <c r="K1" s="6"/>
      <c r="L1" s="6"/>
      <c r="M1" s="6"/>
      <c r="N1" s="6"/>
    </row>
    <row r="2" spans="1:14" ht="17.100000000000001" customHeight="1" x14ac:dyDescent="0.25">
      <c r="A2" s="7"/>
      <c r="B2" s="7"/>
      <c r="C2" s="7"/>
      <c r="D2" s="7"/>
      <c r="E2" s="7"/>
      <c r="F2" s="7"/>
      <c r="G2" s="7"/>
      <c r="H2" s="6"/>
      <c r="I2" s="6"/>
      <c r="J2" s="6"/>
      <c r="K2" s="6"/>
      <c r="L2" s="6"/>
      <c r="M2" s="6"/>
      <c r="N2" s="6"/>
    </row>
    <row r="3" spans="1:14" ht="17.100000000000001" customHeight="1" x14ac:dyDescent="0.25">
      <c r="A3" s="257" t="s">
        <v>6</v>
      </c>
      <c r="B3" s="258"/>
      <c r="C3" s="258"/>
      <c r="D3" s="258"/>
      <c r="E3" s="258"/>
      <c r="F3" s="258"/>
      <c r="G3" s="258"/>
      <c r="H3" s="8"/>
      <c r="I3" s="6"/>
      <c r="J3" s="6"/>
      <c r="K3" s="6"/>
      <c r="L3" s="6"/>
      <c r="M3" s="6"/>
      <c r="N3" s="6"/>
    </row>
    <row r="4" spans="1:14" ht="17.100000000000001" customHeight="1" x14ac:dyDescent="0.25">
      <c r="A4" s="259" t="s">
        <v>7</v>
      </c>
      <c r="B4" s="9" t="s">
        <v>8</v>
      </c>
      <c r="C4" s="9" t="s">
        <v>9</v>
      </c>
      <c r="D4" s="9" t="s">
        <v>10</v>
      </c>
      <c r="E4" s="9" t="s">
        <v>11</v>
      </c>
      <c r="F4" s="9" t="s">
        <v>12</v>
      </c>
      <c r="G4" s="9" t="s">
        <v>13</v>
      </c>
      <c r="H4" s="8"/>
      <c r="I4" s="6"/>
      <c r="J4" s="6"/>
      <c r="K4" s="6"/>
      <c r="L4" s="6"/>
      <c r="M4" s="6"/>
      <c r="N4" s="6"/>
    </row>
    <row r="5" spans="1:14" ht="17.100000000000001" customHeight="1" x14ac:dyDescent="0.25">
      <c r="A5" s="260"/>
      <c r="B5" s="10" t="s">
        <v>14</v>
      </c>
      <c r="C5" s="11">
        <v>18</v>
      </c>
      <c r="D5" s="10" t="s">
        <v>15</v>
      </c>
      <c r="E5" s="12"/>
      <c r="F5" s="11">
        <v>7.6181000000000001</v>
      </c>
      <c r="G5" s="11">
        <f>F5*C5</f>
        <v>137.1258</v>
      </c>
      <c r="H5" s="8"/>
      <c r="I5" s="6"/>
      <c r="J5" s="6"/>
      <c r="K5" s="6"/>
      <c r="L5" s="6"/>
      <c r="M5" s="6"/>
      <c r="N5" s="6"/>
    </row>
    <row r="6" spans="1:14" ht="17.100000000000001" customHeight="1" x14ac:dyDescent="0.25">
      <c r="A6" s="260"/>
      <c r="B6" s="10" t="s">
        <v>16</v>
      </c>
      <c r="C6" s="11">
        <v>1187</v>
      </c>
      <c r="D6" s="10" t="s">
        <v>17</v>
      </c>
      <c r="E6" s="12"/>
      <c r="F6" s="11">
        <v>1.9801</v>
      </c>
      <c r="G6" s="11">
        <f>F6*C6</f>
        <v>2350.3786999999998</v>
      </c>
      <c r="H6" s="8"/>
      <c r="I6" s="6"/>
      <c r="J6" s="6"/>
      <c r="K6" s="6"/>
      <c r="L6" s="6"/>
      <c r="M6" s="6"/>
      <c r="N6" s="6"/>
    </row>
    <row r="7" spans="1:14" ht="17.100000000000001" customHeight="1" x14ac:dyDescent="0.25">
      <c r="A7" s="261"/>
      <c r="B7" s="10" t="s">
        <v>18</v>
      </c>
      <c r="C7" s="11">
        <v>1</v>
      </c>
      <c r="D7" s="10" t="s">
        <v>15</v>
      </c>
      <c r="E7" s="12"/>
      <c r="F7" s="11">
        <v>8.8085000000000004</v>
      </c>
      <c r="G7" s="11">
        <f>F7*C7</f>
        <v>8.8085000000000004</v>
      </c>
      <c r="H7" s="8"/>
      <c r="I7" s="6"/>
      <c r="J7" s="7"/>
      <c r="K7" s="7"/>
      <c r="L7" s="6"/>
      <c r="M7" s="6"/>
      <c r="N7" s="6"/>
    </row>
    <row r="8" spans="1:14" ht="17.100000000000001" customHeight="1" x14ac:dyDescent="0.25">
      <c r="A8" s="13" t="s">
        <v>19</v>
      </c>
      <c r="B8" s="9" t="s">
        <v>20</v>
      </c>
      <c r="C8" s="250" t="s">
        <v>21</v>
      </c>
      <c r="D8" s="252"/>
      <c r="E8" s="251"/>
      <c r="F8" s="9" t="s">
        <v>12</v>
      </c>
      <c r="G8" s="9" t="s">
        <v>13</v>
      </c>
      <c r="H8" s="8"/>
      <c r="I8" s="14"/>
      <c r="J8" s="10" t="s">
        <v>22</v>
      </c>
      <c r="K8" s="11">
        <v>1</v>
      </c>
      <c r="L8" s="8"/>
      <c r="M8" s="6"/>
      <c r="N8" s="6"/>
    </row>
    <row r="9" spans="1:14" ht="17.100000000000001" customHeight="1" x14ac:dyDescent="0.25">
      <c r="A9" s="248" t="s">
        <v>23</v>
      </c>
      <c r="B9" s="9" t="s">
        <v>20</v>
      </c>
      <c r="C9" s="9" t="s">
        <v>24</v>
      </c>
      <c r="D9" s="9" t="s">
        <v>25</v>
      </c>
      <c r="E9" s="9" t="s">
        <v>26</v>
      </c>
      <c r="F9" s="9" t="s">
        <v>12</v>
      </c>
      <c r="G9" s="9" t="s">
        <v>13</v>
      </c>
      <c r="H9" s="8"/>
      <c r="I9" s="14"/>
      <c r="J9" s="10" t="s">
        <v>27</v>
      </c>
      <c r="K9" s="11">
        <v>0</v>
      </c>
      <c r="L9" s="253"/>
      <c r="M9" s="254"/>
      <c r="N9" s="6"/>
    </row>
    <row r="10" spans="1:14" ht="17.100000000000001" customHeight="1" x14ac:dyDescent="0.25">
      <c r="A10" s="249"/>
      <c r="B10" s="10" t="s">
        <v>28</v>
      </c>
      <c r="C10" s="11">
        <v>12</v>
      </c>
      <c r="D10" s="11">
        <v>10</v>
      </c>
      <c r="E10" s="11">
        <f>C10*D10</f>
        <v>120</v>
      </c>
      <c r="F10" s="11">
        <v>0</v>
      </c>
      <c r="G10" s="11">
        <f>F10*E10</f>
        <v>0</v>
      </c>
      <c r="H10" s="8"/>
      <c r="I10" s="6"/>
      <c r="J10" s="15"/>
      <c r="K10" s="15"/>
      <c r="L10" s="6"/>
      <c r="M10" s="6"/>
      <c r="N10" s="6"/>
    </row>
    <row r="11" spans="1:14" ht="17.100000000000001" customHeight="1" x14ac:dyDescent="0.25">
      <c r="A11" s="248" t="s">
        <v>29</v>
      </c>
      <c r="B11" s="9" t="s">
        <v>20</v>
      </c>
      <c r="C11" s="9" t="s">
        <v>9</v>
      </c>
      <c r="D11" s="9" t="s">
        <v>30</v>
      </c>
      <c r="E11" s="250" t="s">
        <v>12</v>
      </c>
      <c r="F11" s="251"/>
      <c r="G11" s="9" t="s">
        <v>13</v>
      </c>
      <c r="H11" s="8"/>
      <c r="I11" s="14"/>
      <c r="J11" s="11">
        <v>0.4</v>
      </c>
      <c r="K11" s="10" t="s">
        <v>31</v>
      </c>
      <c r="L11" s="253"/>
      <c r="M11" s="6"/>
      <c r="N11" s="6"/>
    </row>
    <row r="12" spans="1:14" ht="17.100000000000001" customHeight="1" x14ac:dyDescent="0.25">
      <c r="A12" s="249"/>
      <c r="B12" s="10" t="s">
        <v>32</v>
      </c>
      <c r="C12" s="11">
        <v>50</v>
      </c>
      <c r="D12" s="10" t="s">
        <v>33</v>
      </c>
      <c r="E12" s="220">
        <v>298</v>
      </c>
      <c r="F12" s="221"/>
      <c r="G12" s="11">
        <f>C12*E12</f>
        <v>14900</v>
      </c>
      <c r="H12" s="8"/>
      <c r="I12" s="14"/>
      <c r="J12" s="11">
        <v>298</v>
      </c>
      <c r="K12" s="10" t="s">
        <v>34</v>
      </c>
      <c r="L12" s="253"/>
      <c r="M12" s="6"/>
      <c r="N12" s="6"/>
    </row>
    <row r="13" spans="1:14" ht="17.100000000000001" customHeight="1" x14ac:dyDescent="0.25">
      <c r="A13" s="255" t="s">
        <v>35</v>
      </c>
      <c r="B13" s="256"/>
      <c r="C13" s="256"/>
      <c r="D13" s="256"/>
      <c r="E13" s="256"/>
      <c r="F13" s="256"/>
      <c r="G13" s="11">
        <f>G5+G6+G7+G10+G12</f>
        <v>17396.312999999998</v>
      </c>
      <c r="H13" s="8"/>
      <c r="I13" s="14"/>
      <c r="J13" s="11">
        <v>3.6</v>
      </c>
      <c r="K13" s="10" t="s">
        <v>36</v>
      </c>
      <c r="L13" s="8"/>
      <c r="M13" s="6"/>
      <c r="N13" s="6"/>
    </row>
    <row r="14" spans="1:14" ht="17.100000000000001" customHeight="1" x14ac:dyDescent="0.25">
      <c r="A14" s="17"/>
      <c r="B14" s="17"/>
      <c r="C14" s="17"/>
      <c r="D14" s="17"/>
      <c r="E14" s="17"/>
      <c r="F14" s="17"/>
      <c r="G14" s="17"/>
      <c r="H14" s="6"/>
      <c r="I14" s="6"/>
      <c r="J14" s="17"/>
      <c r="K14" s="17"/>
      <c r="L14" s="6"/>
      <c r="M14" s="18"/>
      <c r="N14" s="6"/>
    </row>
    <row r="15" spans="1:14" ht="17.100000000000001" customHeight="1" x14ac:dyDescent="0.25">
      <c r="A15" s="7"/>
      <c r="B15" s="7"/>
      <c r="C15" s="7"/>
      <c r="D15" s="7"/>
      <c r="E15" s="7"/>
      <c r="F15" s="7"/>
      <c r="G15" s="7"/>
      <c r="H15" s="6"/>
      <c r="I15" s="6"/>
      <c r="J15" s="6"/>
      <c r="K15" s="6"/>
      <c r="L15" s="6"/>
      <c r="M15" s="6"/>
      <c r="N15" s="6"/>
    </row>
    <row r="16" spans="1:14" ht="17.100000000000001" customHeight="1" x14ac:dyDescent="0.25">
      <c r="A16" s="246" t="s">
        <v>37</v>
      </c>
      <c r="B16" s="247"/>
      <c r="C16" s="247"/>
      <c r="D16" s="247"/>
      <c r="E16" s="247"/>
      <c r="F16" s="247"/>
      <c r="G16" s="247"/>
      <c r="H16" s="8"/>
      <c r="I16" s="6"/>
      <c r="J16" s="6"/>
      <c r="K16" s="6"/>
      <c r="L16" s="6"/>
      <c r="M16" s="6"/>
      <c r="N16" s="6"/>
    </row>
    <row r="17" spans="1:14" ht="17.100000000000001" customHeight="1" x14ac:dyDescent="0.25">
      <c r="A17" s="217" t="s">
        <v>38</v>
      </c>
      <c r="B17" s="233" t="s">
        <v>39</v>
      </c>
      <c r="C17" s="234"/>
      <c r="D17" s="20" t="s">
        <v>40</v>
      </c>
      <c r="E17" s="20" t="s">
        <v>41</v>
      </c>
      <c r="F17" s="20" t="s">
        <v>42</v>
      </c>
      <c r="G17" s="20" t="s">
        <v>13</v>
      </c>
      <c r="H17" s="8"/>
      <c r="I17" s="6"/>
      <c r="J17" s="6"/>
      <c r="K17" s="6"/>
      <c r="L17" s="6"/>
      <c r="M17" s="6"/>
      <c r="N17" s="6"/>
    </row>
    <row r="18" spans="1:14" ht="30.95" customHeight="1" x14ac:dyDescent="0.25">
      <c r="A18" s="218"/>
      <c r="B18" s="22" t="s">
        <v>43</v>
      </c>
      <c r="C18" s="23"/>
      <c r="D18" s="11">
        <v>9252</v>
      </c>
      <c r="E18" s="10" t="s">
        <v>44</v>
      </c>
      <c r="F18" s="24">
        <v>0.12</v>
      </c>
      <c r="G18" s="11">
        <f>D18*F18</f>
        <v>1110.24</v>
      </c>
      <c r="H18" s="8"/>
      <c r="I18" s="6"/>
      <c r="J18" s="6"/>
      <c r="K18" s="6"/>
      <c r="L18" s="6"/>
      <c r="M18" s="6"/>
      <c r="N18" s="6"/>
    </row>
    <row r="19" spans="1:14" ht="30.95" customHeight="1" x14ac:dyDescent="0.25">
      <c r="A19" s="218"/>
      <c r="B19" s="22" t="s">
        <v>43</v>
      </c>
      <c r="C19" s="23"/>
      <c r="D19" s="11">
        <v>9995</v>
      </c>
      <c r="E19" s="10" t="s">
        <v>45</v>
      </c>
      <c r="F19" s="24">
        <v>0.12</v>
      </c>
      <c r="G19" s="11">
        <f t="shared" ref="G19:G29" si="0">D19*F18</f>
        <v>1199.3999999999999</v>
      </c>
      <c r="H19" s="8"/>
      <c r="I19" s="6"/>
      <c r="J19" s="6"/>
      <c r="K19" s="6"/>
      <c r="L19" s="6"/>
      <c r="M19" s="6"/>
      <c r="N19" s="6"/>
    </row>
    <row r="20" spans="1:14" ht="30.95" customHeight="1" x14ac:dyDescent="0.25">
      <c r="A20" s="218"/>
      <c r="B20" s="22" t="s">
        <v>43</v>
      </c>
      <c r="C20" s="23"/>
      <c r="D20" s="11">
        <v>13508</v>
      </c>
      <c r="E20" s="10" t="s">
        <v>46</v>
      </c>
      <c r="F20" s="24">
        <v>0.12</v>
      </c>
      <c r="G20" s="11">
        <f t="shared" si="0"/>
        <v>1620.96</v>
      </c>
      <c r="H20" s="8"/>
      <c r="I20" s="6"/>
      <c r="J20" s="6"/>
      <c r="K20" s="6"/>
      <c r="L20" s="6"/>
      <c r="M20" s="6"/>
      <c r="N20" s="6"/>
    </row>
    <row r="21" spans="1:14" ht="30.95" customHeight="1" x14ac:dyDescent="0.25">
      <c r="A21" s="218"/>
      <c r="B21" s="22" t="s">
        <v>43</v>
      </c>
      <c r="C21" s="23"/>
      <c r="D21" s="11">
        <v>15704</v>
      </c>
      <c r="E21" s="10" t="s">
        <v>47</v>
      </c>
      <c r="F21" s="24">
        <v>0.12</v>
      </c>
      <c r="G21" s="11">
        <f t="shared" si="0"/>
        <v>1884.48</v>
      </c>
      <c r="H21" s="8"/>
      <c r="I21" s="6"/>
      <c r="J21" s="6"/>
      <c r="K21" s="6"/>
      <c r="L21" s="6"/>
      <c r="M21" s="6"/>
      <c r="N21" s="6"/>
    </row>
    <row r="22" spans="1:14" ht="30.95" customHeight="1" x14ac:dyDescent="0.25">
      <c r="A22" s="218"/>
      <c r="B22" s="22" t="s">
        <v>43</v>
      </c>
      <c r="C22" s="23"/>
      <c r="D22" s="11">
        <v>15708</v>
      </c>
      <c r="E22" s="10" t="s">
        <v>48</v>
      </c>
      <c r="F22" s="24">
        <v>0.12</v>
      </c>
      <c r="G22" s="11">
        <f t="shared" si="0"/>
        <v>1884.96</v>
      </c>
      <c r="H22" s="8"/>
      <c r="I22" s="6"/>
      <c r="J22" s="6"/>
      <c r="K22" s="6"/>
      <c r="L22" s="6"/>
      <c r="M22" s="6"/>
      <c r="N22" s="6"/>
    </row>
    <row r="23" spans="1:14" ht="30.95" customHeight="1" x14ac:dyDescent="0.25">
      <c r="A23" s="218"/>
      <c r="B23" s="22" t="s">
        <v>43</v>
      </c>
      <c r="C23" s="23"/>
      <c r="D23" s="11">
        <v>11240</v>
      </c>
      <c r="E23" s="10" t="s">
        <v>49</v>
      </c>
      <c r="F23" s="24">
        <v>0.12</v>
      </c>
      <c r="G23" s="11">
        <f t="shared" si="0"/>
        <v>1348.8</v>
      </c>
      <c r="H23" s="8"/>
      <c r="I23" s="6"/>
      <c r="J23" s="6"/>
      <c r="K23" s="6"/>
      <c r="L23" s="6"/>
      <c r="M23" s="6"/>
      <c r="N23" s="6"/>
    </row>
    <row r="24" spans="1:14" ht="30.95" customHeight="1" x14ac:dyDescent="0.25">
      <c r="A24" s="218"/>
      <c r="B24" s="22" t="s">
        <v>43</v>
      </c>
      <c r="C24" s="23"/>
      <c r="D24" s="11">
        <v>10920</v>
      </c>
      <c r="E24" s="10" t="s">
        <v>50</v>
      </c>
      <c r="F24" s="24">
        <v>0.12</v>
      </c>
      <c r="G24" s="11">
        <f t="shared" si="0"/>
        <v>1310.3999999999999</v>
      </c>
      <c r="H24" s="8"/>
      <c r="I24" s="6"/>
      <c r="J24" s="6"/>
      <c r="K24" s="6"/>
      <c r="L24" s="6"/>
      <c r="M24" s="6"/>
      <c r="N24" s="6"/>
    </row>
    <row r="25" spans="1:14" ht="30.95" customHeight="1" x14ac:dyDescent="0.25">
      <c r="A25" s="218"/>
      <c r="B25" s="22" t="s">
        <v>43</v>
      </c>
      <c r="C25" s="23"/>
      <c r="D25" s="11">
        <v>15032</v>
      </c>
      <c r="E25" s="10" t="s">
        <v>51</v>
      </c>
      <c r="F25" s="24">
        <v>0.12</v>
      </c>
      <c r="G25" s="11">
        <f t="shared" si="0"/>
        <v>1803.84</v>
      </c>
      <c r="H25" s="8"/>
      <c r="I25" s="6"/>
      <c r="J25" s="6"/>
      <c r="K25" s="6"/>
      <c r="L25" s="6"/>
      <c r="M25" s="6"/>
      <c r="N25" s="6"/>
    </row>
    <row r="26" spans="1:14" ht="30.95" customHeight="1" x14ac:dyDescent="0.25">
      <c r="A26" s="218"/>
      <c r="B26" s="22" t="s">
        <v>43</v>
      </c>
      <c r="C26" s="23"/>
      <c r="D26" s="11">
        <v>14616</v>
      </c>
      <c r="E26" s="10" t="s">
        <v>52</v>
      </c>
      <c r="F26" s="24">
        <v>0.12</v>
      </c>
      <c r="G26" s="11">
        <f t="shared" si="0"/>
        <v>1753.9199999999998</v>
      </c>
      <c r="H26" s="8"/>
      <c r="I26" s="6"/>
      <c r="J26" s="6"/>
      <c r="K26" s="6"/>
      <c r="L26" s="6"/>
      <c r="M26" s="6"/>
      <c r="N26" s="6"/>
    </row>
    <row r="27" spans="1:14" ht="30.95" customHeight="1" x14ac:dyDescent="0.25">
      <c r="A27" s="218"/>
      <c r="B27" s="22" t="s">
        <v>43</v>
      </c>
      <c r="C27" s="23"/>
      <c r="D27" s="11">
        <v>14552</v>
      </c>
      <c r="E27" s="10" t="s">
        <v>53</v>
      </c>
      <c r="F27" s="24">
        <v>0.12</v>
      </c>
      <c r="G27" s="11">
        <f t="shared" si="0"/>
        <v>1746.24</v>
      </c>
      <c r="H27" s="8"/>
      <c r="I27" s="6"/>
      <c r="J27" s="6"/>
      <c r="K27" s="6"/>
      <c r="L27" s="6"/>
      <c r="M27" s="6"/>
      <c r="N27" s="6"/>
    </row>
    <row r="28" spans="1:14" ht="30.95" customHeight="1" x14ac:dyDescent="0.25">
      <c r="A28" s="218"/>
      <c r="B28" s="22" t="s">
        <v>43</v>
      </c>
      <c r="C28" s="23"/>
      <c r="D28" s="11">
        <v>13690</v>
      </c>
      <c r="E28" s="10" t="s">
        <v>54</v>
      </c>
      <c r="F28" s="24">
        <v>0.12</v>
      </c>
      <c r="G28" s="11">
        <f t="shared" si="0"/>
        <v>1642.8</v>
      </c>
      <c r="H28" s="8"/>
      <c r="I28" s="6"/>
      <c r="J28" s="6"/>
      <c r="K28" s="6"/>
      <c r="L28" s="6"/>
      <c r="M28" s="6"/>
      <c r="N28" s="6"/>
    </row>
    <row r="29" spans="1:14" ht="30.95" customHeight="1" x14ac:dyDescent="0.25">
      <c r="A29" s="218"/>
      <c r="B29" s="22" t="s">
        <v>43</v>
      </c>
      <c r="C29" s="23"/>
      <c r="D29" s="11">
        <v>6602</v>
      </c>
      <c r="E29" s="10" t="s">
        <v>55</v>
      </c>
      <c r="F29" s="24">
        <v>0.12</v>
      </c>
      <c r="G29" s="11">
        <f t="shared" si="0"/>
        <v>792.24</v>
      </c>
      <c r="H29" s="8"/>
      <c r="I29" s="6"/>
      <c r="J29" s="6"/>
      <c r="K29" s="6"/>
      <c r="L29" s="6"/>
      <c r="M29" s="6"/>
      <c r="N29" s="6"/>
    </row>
    <row r="30" spans="1:14" ht="17.100000000000001" customHeight="1" x14ac:dyDescent="0.25">
      <c r="A30" s="219"/>
      <c r="B30" s="222" t="s">
        <v>56</v>
      </c>
      <c r="C30" s="223"/>
      <c r="D30" s="223"/>
      <c r="E30" s="221"/>
      <c r="F30" s="220">
        <f>SUM(G18:G29)</f>
        <v>18098.280000000002</v>
      </c>
      <c r="G30" s="221"/>
      <c r="H30" s="8"/>
      <c r="I30" s="6"/>
      <c r="J30" s="6"/>
      <c r="K30" s="6"/>
      <c r="L30" s="6"/>
      <c r="M30" s="6"/>
      <c r="N30" s="6"/>
    </row>
    <row r="31" spans="1:14" ht="17.100000000000001" customHeight="1" x14ac:dyDescent="0.25">
      <c r="A31" s="17"/>
      <c r="B31" s="17"/>
      <c r="C31" s="17"/>
      <c r="D31" s="17"/>
      <c r="E31" s="17"/>
      <c r="F31" s="17"/>
      <c r="G31" s="17"/>
      <c r="H31" s="6"/>
      <c r="I31" s="6"/>
      <c r="J31" s="6"/>
      <c r="K31" s="6"/>
      <c r="L31" s="6"/>
      <c r="M31" s="6"/>
      <c r="N31" s="6"/>
    </row>
    <row r="32" spans="1:14" ht="17.100000000000001" customHeight="1" x14ac:dyDescent="0.25">
      <c r="A32" s="7"/>
      <c r="B32" s="7"/>
      <c r="C32" s="7"/>
      <c r="D32" s="7"/>
      <c r="E32" s="7"/>
      <c r="F32" s="7"/>
      <c r="G32" s="7"/>
      <c r="H32" s="7"/>
      <c r="I32" s="7"/>
      <c r="J32" s="6"/>
      <c r="K32" s="6"/>
      <c r="L32" s="6"/>
      <c r="M32" s="6"/>
      <c r="N32" s="6"/>
    </row>
    <row r="33" spans="1:14" ht="17.100000000000001" customHeight="1" x14ac:dyDescent="0.25">
      <c r="A33" s="224" t="s">
        <v>57</v>
      </c>
      <c r="B33" s="225"/>
      <c r="C33" s="225"/>
      <c r="D33" s="225"/>
      <c r="E33" s="225"/>
      <c r="F33" s="225"/>
      <c r="G33" s="225"/>
      <c r="H33" s="225"/>
      <c r="I33" s="226"/>
      <c r="J33" s="8"/>
      <c r="K33" s="6"/>
      <c r="L33" s="6"/>
      <c r="M33" s="6"/>
      <c r="N33" s="6"/>
    </row>
    <row r="34" spans="1:14" ht="17.100000000000001" customHeight="1" x14ac:dyDescent="0.25">
      <c r="A34" s="227" t="s">
        <v>58</v>
      </c>
      <c r="B34" s="25" t="s">
        <v>59</v>
      </c>
      <c r="C34" s="25" t="s">
        <v>60</v>
      </c>
      <c r="D34" s="25" t="s">
        <v>61</v>
      </c>
      <c r="E34" s="25" t="s">
        <v>60</v>
      </c>
      <c r="F34" s="25" t="s">
        <v>62</v>
      </c>
      <c r="G34" s="25" t="s">
        <v>63</v>
      </c>
      <c r="H34" s="25" t="s">
        <v>64</v>
      </c>
      <c r="I34" s="25" t="s">
        <v>13</v>
      </c>
      <c r="J34" s="8"/>
      <c r="K34" s="6"/>
      <c r="L34" s="6"/>
      <c r="M34" s="6"/>
      <c r="N34" s="6"/>
    </row>
    <row r="35" spans="1:14" ht="17.100000000000001" customHeight="1" x14ac:dyDescent="0.25">
      <c r="A35" s="228"/>
      <c r="B35" s="10" t="s">
        <v>65</v>
      </c>
      <c r="C35" s="10" t="s">
        <v>66</v>
      </c>
      <c r="D35" s="10" t="s">
        <v>67</v>
      </c>
      <c r="E35" s="10" t="s">
        <v>68</v>
      </c>
      <c r="F35" s="10" t="s">
        <v>69</v>
      </c>
      <c r="G35" s="10" t="s">
        <v>70</v>
      </c>
      <c r="H35" s="11">
        <v>1</v>
      </c>
      <c r="I35" s="11">
        <v>72.900000000000006</v>
      </c>
      <c r="J35" s="8"/>
      <c r="K35" s="6"/>
      <c r="L35" s="6"/>
      <c r="M35" s="6"/>
      <c r="N35" s="6"/>
    </row>
    <row r="36" spans="1:14" ht="17.100000000000001" customHeight="1" x14ac:dyDescent="0.25">
      <c r="A36" s="228"/>
      <c r="B36" s="10" t="s">
        <v>65</v>
      </c>
      <c r="C36" s="10" t="s">
        <v>71</v>
      </c>
      <c r="D36" s="10" t="s">
        <v>72</v>
      </c>
      <c r="E36" s="10" t="s">
        <v>73</v>
      </c>
      <c r="F36" s="10" t="s">
        <v>69</v>
      </c>
      <c r="G36" s="10" t="s">
        <v>70</v>
      </c>
      <c r="H36" s="11">
        <v>2</v>
      </c>
      <c r="I36" s="11">
        <v>147.80000000000001</v>
      </c>
      <c r="J36" s="8"/>
      <c r="K36" s="6"/>
      <c r="L36" s="6"/>
      <c r="M36" s="6"/>
      <c r="N36" s="6"/>
    </row>
    <row r="37" spans="1:14" ht="17.100000000000001" customHeight="1" x14ac:dyDescent="0.25">
      <c r="A37" s="228"/>
      <c r="B37" s="10" t="s">
        <v>65</v>
      </c>
      <c r="C37" s="10" t="s">
        <v>66</v>
      </c>
      <c r="D37" s="10" t="s">
        <v>67</v>
      </c>
      <c r="E37" s="10" t="s">
        <v>68</v>
      </c>
      <c r="F37" s="10" t="s">
        <v>69</v>
      </c>
      <c r="G37" s="10" t="s">
        <v>70</v>
      </c>
      <c r="H37" s="11">
        <v>1</v>
      </c>
      <c r="I37" s="11">
        <v>72.900000000000006</v>
      </c>
      <c r="J37" s="8"/>
      <c r="K37" s="6"/>
      <c r="L37" s="6"/>
      <c r="M37" s="6"/>
      <c r="N37" s="6"/>
    </row>
    <row r="38" spans="1:14" ht="17.100000000000001" customHeight="1" x14ac:dyDescent="0.25">
      <c r="A38" s="228"/>
      <c r="B38" s="10" t="s">
        <v>65</v>
      </c>
      <c r="C38" s="10" t="s">
        <v>66</v>
      </c>
      <c r="D38" s="10" t="s">
        <v>67</v>
      </c>
      <c r="E38" s="10" t="s">
        <v>68</v>
      </c>
      <c r="F38" s="10" t="s">
        <v>69</v>
      </c>
      <c r="G38" s="10" t="s">
        <v>70</v>
      </c>
      <c r="H38" s="11">
        <v>1</v>
      </c>
      <c r="I38" s="11">
        <v>72.900000000000006</v>
      </c>
      <c r="J38" s="8"/>
      <c r="K38" s="6"/>
      <c r="L38" s="6"/>
      <c r="M38" s="6"/>
      <c r="N38" s="6"/>
    </row>
    <row r="39" spans="1:14" ht="17.100000000000001" customHeight="1" x14ac:dyDescent="0.25">
      <c r="A39" s="228"/>
      <c r="B39" s="10" t="s">
        <v>65</v>
      </c>
      <c r="C39" s="10" t="s">
        <v>66</v>
      </c>
      <c r="D39" s="10" t="s">
        <v>67</v>
      </c>
      <c r="E39" s="10" t="s">
        <v>68</v>
      </c>
      <c r="F39" s="10" t="s">
        <v>69</v>
      </c>
      <c r="G39" s="10" t="s">
        <v>70</v>
      </c>
      <c r="H39" s="11">
        <v>1</v>
      </c>
      <c r="I39" s="11">
        <v>72.900000000000006</v>
      </c>
      <c r="J39" s="8"/>
      <c r="K39" s="6"/>
      <c r="L39" s="6"/>
      <c r="M39" s="6"/>
      <c r="N39" s="6"/>
    </row>
    <row r="40" spans="1:14" ht="17.100000000000001" customHeight="1" x14ac:dyDescent="0.25">
      <c r="A40" s="228"/>
      <c r="B40" s="10" t="s">
        <v>74</v>
      </c>
      <c r="C40" s="10" t="s">
        <v>68</v>
      </c>
      <c r="D40" s="10" t="s">
        <v>75</v>
      </c>
      <c r="E40" s="10" t="s">
        <v>76</v>
      </c>
      <c r="F40" s="10" t="s">
        <v>69</v>
      </c>
      <c r="G40" s="10" t="s">
        <v>70</v>
      </c>
      <c r="H40" s="11">
        <v>1</v>
      </c>
      <c r="I40" s="11">
        <v>100.3</v>
      </c>
      <c r="J40" s="8"/>
      <c r="K40" s="6"/>
      <c r="L40" s="6"/>
      <c r="M40" s="6"/>
      <c r="N40" s="6"/>
    </row>
    <row r="41" spans="1:14" ht="17.100000000000001" customHeight="1" x14ac:dyDescent="0.25">
      <c r="A41" s="228"/>
      <c r="B41" s="10" t="s">
        <v>65</v>
      </c>
      <c r="C41" s="10" t="s">
        <v>66</v>
      </c>
      <c r="D41" s="10" t="s">
        <v>67</v>
      </c>
      <c r="E41" s="10" t="s">
        <v>68</v>
      </c>
      <c r="F41" s="10" t="s">
        <v>69</v>
      </c>
      <c r="G41" s="10" t="s">
        <v>70</v>
      </c>
      <c r="H41" s="11">
        <v>1</v>
      </c>
      <c r="I41" s="11">
        <v>72.900000000000006</v>
      </c>
      <c r="J41" s="8"/>
      <c r="K41" s="6"/>
      <c r="L41" s="6"/>
      <c r="M41" s="6"/>
      <c r="N41" s="6"/>
    </row>
    <row r="42" spans="1:14" ht="17.100000000000001" customHeight="1" x14ac:dyDescent="0.25">
      <c r="A42" s="228"/>
      <c r="B42" s="10" t="s">
        <v>74</v>
      </c>
      <c r="C42" s="10" t="s">
        <v>68</v>
      </c>
      <c r="D42" s="10" t="s">
        <v>65</v>
      </c>
      <c r="E42" s="10" t="s">
        <v>66</v>
      </c>
      <c r="F42" s="10" t="s">
        <v>69</v>
      </c>
      <c r="G42" s="10" t="s">
        <v>70</v>
      </c>
      <c r="H42" s="11">
        <v>1</v>
      </c>
      <c r="I42" s="11">
        <v>72.900000000000006</v>
      </c>
      <c r="J42" s="8"/>
      <c r="K42" s="6"/>
      <c r="L42" s="6"/>
      <c r="M42" s="6"/>
      <c r="N42" s="6"/>
    </row>
    <row r="43" spans="1:14" ht="17.100000000000001" customHeight="1" x14ac:dyDescent="0.25">
      <c r="A43" s="228"/>
      <c r="B43" s="10" t="s">
        <v>65</v>
      </c>
      <c r="C43" s="10" t="s">
        <v>71</v>
      </c>
      <c r="D43" s="10" t="s">
        <v>72</v>
      </c>
      <c r="E43" s="10" t="s">
        <v>73</v>
      </c>
      <c r="F43" s="10" t="s">
        <v>69</v>
      </c>
      <c r="G43" s="10" t="s">
        <v>70</v>
      </c>
      <c r="H43" s="11">
        <v>2</v>
      </c>
      <c r="I43" s="11">
        <v>147.80000000000001</v>
      </c>
      <c r="J43" s="8"/>
      <c r="K43" s="6"/>
      <c r="L43" s="6"/>
      <c r="M43" s="6"/>
      <c r="N43" s="6"/>
    </row>
    <row r="44" spans="1:14" ht="17.100000000000001" customHeight="1" x14ac:dyDescent="0.25">
      <c r="A44" s="228"/>
      <c r="B44" s="10" t="s">
        <v>77</v>
      </c>
      <c r="C44" s="10" t="s">
        <v>78</v>
      </c>
      <c r="D44" s="10" t="s">
        <v>65</v>
      </c>
      <c r="E44" s="10" t="s">
        <v>66</v>
      </c>
      <c r="F44" s="10" t="s">
        <v>69</v>
      </c>
      <c r="G44" s="10" t="s">
        <v>79</v>
      </c>
      <c r="H44" s="11">
        <v>1</v>
      </c>
      <c r="I44" s="11">
        <v>49.3</v>
      </c>
      <c r="J44" s="8"/>
      <c r="K44" s="6"/>
      <c r="L44" s="6"/>
      <c r="M44" s="6"/>
      <c r="N44" s="6"/>
    </row>
    <row r="45" spans="1:14" ht="17.100000000000001" customHeight="1" x14ac:dyDescent="0.25">
      <c r="A45" s="228"/>
      <c r="B45" s="10" t="s">
        <v>65</v>
      </c>
      <c r="C45" s="10" t="s">
        <v>66</v>
      </c>
      <c r="D45" s="10" t="s">
        <v>67</v>
      </c>
      <c r="E45" s="10" t="s">
        <v>68</v>
      </c>
      <c r="F45" s="10" t="s">
        <v>69</v>
      </c>
      <c r="G45" s="10" t="s">
        <v>70</v>
      </c>
      <c r="H45" s="11">
        <v>1</v>
      </c>
      <c r="I45" s="11">
        <v>72.900000000000006</v>
      </c>
      <c r="J45" s="8"/>
      <c r="K45" s="6"/>
      <c r="L45" s="6"/>
      <c r="M45" s="6"/>
      <c r="N45" s="6"/>
    </row>
    <row r="46" spans="1:14" ht="17.100000000000001" customHeight="1" x14ac:dyDescent="0.25">
      <c r="A46" s="228"/>
      <c r="B46" s="10" t="s">
        <v>65</v>
      </c>
      <c r="C46" s="10" t="s">
        <v>66</v>
      </c>
      <c r="D46" s="10" t="s">
        <v>67</v>
      </c>
      <c r="E46" s="10" t="s">
        <v>68</v>
      </c>
      <c r="F46" s="10" t="s">
        <v>69</v>
      </c>
      <c r="G46" s="10" t="s">
        <v>70</v>
      </c>
      <c r="H46" s="11">
        <v>1</v>
      </c>
      <c r="I46" s="11">
        <v>72.900000000000006</v>
      </c>
      <c r="J46" s="8"/>
      <c r="K46" s="6"/>
      <c r="L46" s="6"/>
      <c r="M46" s="6"/>
      <c r="N46" s="6"/>
    </row>
    <row r="47" spans="1:14" ht="17.100000000000001" customHeight="1" x14ac:dyDescent="0.25">
      <c r="A47" s="228"/>
      <c r="B47" s="10" t="s">
        <v>65</v>
      </c>
      <c r="C47" s="10" t="s">
        <v>66</v>
      </c>
      <c r="D47" s="10" t="s">
        <v>67</v>
      </c>
      <c r="E47" s="10" t="s">
        <v>68</v>
      </c>
      <c r="F47" s="10" t="s">
        <v>69</v>
      </c>
      <c r="G47" s="10" t="s">
        <v>70</v>
      </c>
      <c r="H47" s="11">
        <v>1</v>
      </c>
      <c r="I47" s="11">
        <v>72.900000000000006</v>
      </c>
      <c r="J47" s="8"/>
      <c r="K47" s="6"/>
      <c r="L47" s="6"/>
      <c r="M47" s="6"/>
      <c r="N47" s="6"/>
    </row>
    <row r="48" spans="1:14" ht="17.100000000000001" customHeight="1" x14ac:dyDescent="0.25">
      <c r="A48" s="228"/>
      <c r="B48" s="10" t="s">
        <v>65</v>
      </c>
      <c r="C48" s="10" t="s">
        <v>66</v>
      </c>
      <c r="D48" s="10" t="s">
        <v>67</v>
      </c>
      <c r="E48" s="10" t="s">
        <v>68</v>
      </c>
      <c r="F48" s="10" t="s">
        <v>69</v>
      </c>
      <c r="G48" s="10" t="s">
        <v>70</v>
      </c>
      <c r="H48" s="11">
        <v>1</v>
      </c>
      <c r="I48" s="11">
        <v>72.900000000000006</v>
      </c>
      <c r="J48" s="8"/>
      <c r="K48" s="6"/>
      <c r="L48" s="6"/>
      <c r="M48" s="6"/>
      <c r="N48" s="6"/>
    </row>
    <row r="49" spans="1:14" ht="17.100000000000001" customHeight="1" x14ac:dyDescent="0.25">
      <c r="A49" s="228"/>
      <c r="B49" s="10" t="s">
        <v>65</v>
      </c>
      <c r="C49" s="10" t="s">
        <v>66</v>
      </c>
      <c r="D49" s="10" t="s">
        <v>67</v>
      </c>
      <c r="E49" s="10" t="s">
        <v>68</v>
      </c>
      <c r="F49" s="10" t="s">
        <v>69</v>
      </c>
      <c r="G49" s="10" t="s">
        <v>70</v>
      </c>
      <c r="H49" s="11">
        <v>1</v>
      </c>
      <c r="I49" s="11">
        <v>72.900000000000006</v>
      </c>
      <c r="J49" s="8"/>
      <c r="K49" s="6"/>
      <c r="L49" s="6"/>
      <c r="M49" s="6"/>
      <c r="N49" s="6"/>
    </row>
    <row r="50" spans="1:14" ht="17.100000000000001" customHeight="1" x14ac:dyDescent="0.25">
      <c r="A50" s="228"/>
      <c r="B50" s="10" t="s">
        <v>65</v>
      </c>
      <c r="C50" s="10" t="s">
        <v>71</v>
      </c>
      <c r="D50" s="10" t="s">
        <v>72</v>
      </c>
      <c r="E50" s="10" t="s">
        <v>73</v>
      </c>
      <c r="F50" s="10" t="s">
        <v>69</v>
      </c>
      <c r="G50" s="10" t="s">
        <v>70</v>
      </c>
      <c r="H50" s="11">
        <v>1</v>
      </c>
      <c r="I50" s="11">
        <f t="shared" ref="I50:I141" si="1">147.8/2</f>
        <v>73.900000000000006</v>
      </c>
      <c r="J50" s="8"/>
      <c r="K50" s="6"/>
      <c r="L50" s="6"/>
      <c r="M50" s="6"/>
      <c r="N50" s="6"/>
    </row>
    <row r="51" spans="1:14" ht="17.100000000000001" customHeight="1" x14ac:dyDescent="0.25">
      <c r="A51" s="228"/>
      <c r="B51" s="10" t="s">
        <v>65</v>
      </c>
      <c r="C51" s="10" t="s">
        <v>66</v>
      </c>
      <c r="D51" s="10" t="s">
        <v>80</v>
      </c>
      <c r="E51" s="10" t="s">
        <v>81</v>
      </c>
      <c r="F51" s="10" t="s">
        <v>69</v>
      </c>
      <c r="G51" s="10" t="s">
        <v>70</v>
      </c>
      <c r="H51" s="11">
        <v>1</v>
      </c>
      <c r="I51" s="11">
        <v>140.1</v>
      </c>
      <c r="J51" s="8"/>
      <c r="K51" s="6"/>
      <c r="L51" s="6"/>
      <c r="M51" s="6"/>
      <c r="N51" s="6"/>
    </row>
    <row r="52" spans="1:14" ht="17.100000000000001" customHeight="1" x14ac:dyDescent="0.25">
      <c r="A52" s="228"/>
      <c r="B52" s="10" t="s">
        <v>65</v>
      </c>
      <c r="C52" s="10" t="s">
        <v>66</v>
      </c>
      <c r="D52" s="10" t="s">
        <v>67</v>
      </c>
      <c r="E52" s="10" t="s">
        <v>68</v>
      </c>
      <c r="F52" s="10" t="s">
        <v>69</v>
      </c>
      <c r="G52" s="10" t="s">
        <v>70</v>
      </c>
      <c r="H52" s="11">
        <v>1</v>
      </c>
      <c r="I52" s="11">
        <v>72.900000000000006</v>
      </c>
      <c r="J52" s="8"/>
      <c r="K52" s="6"/>
      <c r="L52" s="6"/>
      <c r="M52" s="6"/>
      <c r="N52" s="6"/>
    </row>
    <row r="53" spans="1:14" ht="17.100000000000001" customHeight="1" x14ac:dyDescent="0.25">
      <c r="A53" s="228"/>
      <c r="B53" s="10" t="s">
        <v>65</v>
      </c>
      <c r="C53" s="10" t="s">
        <v>66</v>
      </c>
      <c r="D53" s="10" t="s">
        <v>67</v>
      </c>
      <c r="E53" s="10" t="s">
        <v>68</v>
      </c>
      <c r="F53" s="10" t="s">
        <v>69</v>
      </c>
      <c r="G53" s="10" t="s">
        <v>70</v>
      </c>
      <c r="H53" s="11">
        <v>1</v>
      </c>
      <c r="I53" s="11">
        <v>72.900000000000006</v>
      </c>
      <c r="J53" s="8"/>
      <c r="K53" s="6"/>
      <c r="L53" s="6"/>
      <c r="M53" s="6"/>
      <c r="N53" s="6"/>
    </row>
    <row r="54" spans="1:14" ht="17.100000000000001" customHeight="1" x14ac:dyDescent="0.25">
      <c r="A54" s="228"/>
      <c r="B54" s="10" t="s">
        <v>65</v>
      </c>
      <c r="C54" s="10" t="s">
        <v>66</v>
      </c>
      <c r="D54" s="10" t="s">
        <v>67</v>
      </c>
      <c r="E54" s="10" t="s">
        <v>68</v>
      </c>
      <c r="F54" s="10" t="s">
        <v>69</v>
      </c>
      <c r="G54" s="10" t="s">
        <v>70</v>
      </c>
      <c r="H54" s="11">
        <v>1</v>
      </c>
      <c r="I54" s="11">
        <v>72.900000000000006</v>
      </c>
      <c r="J54" s="8"/>
      <c r="K54" s="6"/>
      <c r="L54" s="6"/>
      <c r="M54" s="6"/>
      <c r="N54" s="6"/>
    </row>
    <row r="55" spans="1:14" ht="17.100000000000001" customHeight="1" x14ac:dyDescent="0.25">
      <c r="A55" s="228"/>
      <c r="B55" s="10" t="s">
        <v>65</v>
      </c>
      <c r="C55" s="10" t="s">
        <v>71</v>
      </c>
      <c r="D55" s="10" t="s">
        <v>82</v>
      </c>
      <c r="E55" s="10" t="s">
        <v>83</v>
      </c>
      <c r="F55" s="10" t="s">
        <v>69</v>
      </c>
      <c r="G55" s="10" t="s">
        <v>70</v>
      </c>
      <c r="H55" s="11">
        <v>1</v>
      </c>
      <c r="I55" s="11">
        <v>39</v>
      </c>
      <c r="J55" s="8"/>
      <c r="K55" s="6"/>
      <c r="L55" s="6"/>
      <c r="M55" s="6"/>
      <c r="N55" s="6"/>
    </row>
    <row r="56" spans="1:14" ht="17.100000000000001" customHeight="1" x14ac:dyDescent="0.25">
      <c r="A56" s="228"/>
      <c r="B56" s="10" t="s">
        <v>65</v>
      </c>
      <c r="C56" s="10" t="s">
        <v>66</v>
      </c>
      <c r="D56" s="10" t="s">
        <v>67</v>
      </c>
      <c r="E56" s="10" t="s">
        <v>68</v>
      </c>
      <c r="F56" s="10" t="s">
        <v>69</v>
      </c>
      <c r="G56" s="10" t="s">
        <v>70</v>
      </c>
      <c r="H56" s="11">
        <v>1</v>
      </c>
      <c r="I56" s="11">
        <v>72.900000000000006</v>
      </c>
      <c r="J56" s="8"/>
      <c r="K56" s="6"/>
      <c r="L56" s="6"/>
      <c r="M56" s="6"/>
      <c r="N56" s="6"/>
    </row>
    <row r="57" spans="1:14" ht="17.100000000000001" customHeight="1" x14ac:dyDescent="0.25">
      <c r="A57" s="228"/>
      <c r="B57" s="10" t="s">
        <v>65</v>
      </c>
      <c r="C57" s="10" t="s">
        <v>66</v>
      </c>
      <c r="D57" s="10" t="s">
        <v>67</v>
      </c>
      <c r="E57" s="10" t="s">
        <v>68</v>
      </c>
      <c r="F57" s="10" t="s">
        <v>69</v>
      </c>
      <c r="G57" s="10" t="s">
        <v>70</v>
      </c>
      <c r="H57" s="11">
        <v>1</v>
      </c>
      <c r="I57" s="11">
        <v>72.900000000000006</v>
      </c>
      <c r="J57" s="8"/>
      <c r="K57" s="6"/>
      <c r="L57" s="6"/>
      <c r="M57" s="6"/>
      <c r="N57" s="6"/>
    </row>
    <row r="58" spans="1:14" ht="17.100000000000001" customHeight="1" x14ac:dyDescent="0.25">
      <c r="A58" s="228"/>
      <c r="B58" s="10" t="s">
        <v>74</v>
      </c>
      <c r="C58" s="10" t="s">
        <v>68</v>
      </c>
      <c r="D58" s="10" t="s">
        <v>65</v>
      </c>
      <c r="E58" s="10" t="s">
        <v>66</v>
      </c>
      <c r="F58" s="10" t="s">
        <v>69</v>
      </c>
      <c r="G58" s="10" t="s">
        <v>70</v>
      </c>
      <c r="H58" s="11">
        <v>1</v>
      </c>
      <c r="I58" s="11">
        <v>72.900000000000006</v>
      </c>
      <c r="J58" s="8"/>
      <c r="K58" s="6"/>
      <c r="L58" s="6"/>
      <c r="M58" s="6"/>
      <c r="N58" s="6"/>
    </row>
    <row r="59" spans="1:14" ht="17.100000000000001" customHeight="1" x14ac:dyDescent="0.25">
      <c r="A59" s="228"/>
      <c r="B59" s="10" t="s">
        <v>74</v>
      </c>
      <c r="C59" s="10" t="s">
        <v>68</v>
      </c>
      <c r="D59" s="10" t="s">
        <v>65</v>
      </c>
      <c r="E59" s="10" t="s">
        <v>66</v>
      </c>
      <c r="F59" s="10" t="s">
        <v>69</v>
      </c>
      <c r="G59" s="10" t="s">
        <v>84</v>
      </c>
      <c r="H59" s="11">
        <v>1</v>
      </c>
      <c r="I59" s="11">
        <f>I58/2</f>
        <v>36.450000000000003</v>
      </c>
      <c r="J59" s="8"/>
      <c r="K59" s="6"/>
      <c r="L59" s="6"/>
      <c r="M59" s="6"/>
      <c r="N59" s="6"/>
    </row>
    <row r="60" spans="1:14" ht="17.100000000000001" customHeight="1" x14ac:dyDescent="0.25">
      <c r="A60" s="228"/>
      <c r="B60" s="10" t="s">
        <v>65</v>
      </c>
      <c r="C60" s="10" t="s">
        <v>66</v>
      </c>
      <c r="D60" s="10" t="s">
        <v>67</v>
      </c>
      <c r="E60" s="10" t="s">
        <v>68</v>
      </c>
      <c r="F60" s="10" t="s">
        <v>69</v>
      </c>
      <c r="G60" s="10" t="s">
        <v>70</v>
      </c>
      <c r="H60" s="11">
        <v>1</v>
      </c>
      <c r="I60" s="11">
        <v>72.900000000000006</v>
      </c>
      <c r="J60" s="8"/>
      <c r="K60" s="6"/>
      <c r="L60" s="6"/>
      <c r="M60" s="6"/>
      <c r="N60" s="6"/>
    </row>
    <row r="61" spans="1:14" ht="17.100000000000001" customHeight="1" x14ac:dyDescent="0.25">
      <c r="A61" s="228"/>
      <c r="B61" s="10" t="s">
        <v>65</v>
      </c>
      <c r="C61" s="10" t="s">
        <v>71</v>
      </c>
      <c r="D61" s="10" t="s">
        <v>82</v>
      </c>
      <c r="E61" s="10" t="s">
        <v>83</v>
      </c>
      <c r="F61" s="10" t="s">
        <v>69</v>
      </c>
      <c r="G61" s="10" t="s">
        <v>70</v>
      </c>
      <c r="H61" s="11">
        <v>1</v>
      </c>
      <c r="I61" s="11">
        <v>39</v>
      </c>
      <c r="J61" s="8"/>
      <c r="K61" s="6"/>
      <c r="L61" s="6"/>
      <c r="M61" s="6"/>
      <c r="N61" s="6"/>
    </row>
    <row r="62" spans="1:14" ht="17.100000000000001" customHeight="1" x14ac:dyDescent="0.25">
      <c r="A62" s="228"/>
      <c r="B62" s="10" t="s">
        <v>65</v>
      </c>
      <c r="C62" s="10" t="s">
        <v>66</v>
      </c>
      <c r="D62" s="10" t="s">
        <v>67</v>
      </c>
      <c r="E62" s="10" t="s">
        <v>68</v>
      </c>
      <c r="F62" s="10" t="s">
        <v>69</v>
      </c>
      <c r="G62" s="10" t="s">
        <v>70</v>
      </c>
      <c r="H62" s="11">
        <v>1</v>
      </c>
      <c r="I62" s="11">
        <v>72.900000000000006</v>
      </c>
      <c r="J62" s="8"/>
      <c r="K62" s="6"/>
      <c r="L62" s="6"/>
      <c r="M62" s="6"/>
      <c r="N62" s="6"/>
    </row>
    <row r="63" spans="1:14" ht="17.100000000000001" customHeight="1" x14ac:dyDescent="0.25">
      <c r="A63" s="228"/>
      <c r="B63" s="10" t="s">
        <v>65</v>
      </c>
      <c r="C63" s="10" t="s">
        <v>66</v>
      </c>
      <c r="D63" s="10" t="s">
        <v>67</v>
      </c>
      <c r="E63" s="10" t="s">
        <v>68</v>
      </c>
      <c r="F63" s="10" t="s">
        <v>69</v>
      </c>
      <c r="G63" s="10" t="s">
        <v>70</v>
      </c>
      <c r="H63" s="11">
        <v>1</v>
      </c>
      <c r="I63" s="11">
        <v>72.900000000000006</v>
      </c>
      <c r="J63" s="8"/>
      <c r="K63" s="6"/>
      <c r="L63" s="6"/>
      <c r="M63" s="6"/>
      <c r="N63" s="6"/>
    </row>
    <row r="64" spans="1:14" ht="17.100000000000001" customHeight="1" x14ac:dyDescent="0.25">
      <c r="A64" s="228"/>
      <c r="B64" s="10" t="s">
        <v>65</v>
      </c>
      <c r="C64" s="10" t="s">
        <v>66</v>
      </c>
      <c r="D64" s="10" t="s">
        <v>67</v>
      </c>
      <c r="E64" s="10" t="s">
        <v>68</v>
      </c>
      <c r="F64" s="10" t="s">
        <v>69</v>
      </c>
      <c r="G64" s="10" t="s">
        <v>70</v>
      </c>
      <c r="H64" s="11">
        <v>1</v>
      </c>
      <c r="I64" s="11">
        <v>72.900000000000006</v>
      </c>
      <c r="J64" s="8"/>
      <c r="K64" s="6"/>
      <c r="L64" s="6"/>
      <c r="M64" s="6"/>
      <c r="N64" s="6"/>
    </row>
    <row r="65" spans="1:14" ht="17.100000000000001" customHeight="1" x14ac:dyDescent="0.25">
      <c r="A65" s="228"/>
      <c r="B65" s="10" t="s">
        <v>65</v>
      </c>
      <c r="C65" s="10" t="s">
        <v>66</v>
      </c>
      <c r="D65" s="10" t="s">
        <v>67</v>
      </c>
      <c r="E65" s="10" t="s">
        <v>68</v>
      </c>
      <c r="F65" s="10" t="s">
        <v>69</v>
      </c>
      <c r="G65" s="10" t="s">
        <v>70</v>
      </c>
      <c r="H65" s="11">
        <v>1</v>
      </c>
      <c r="I65" s="11">
        <v>72.900000000000006</v>
      </c>
      <c r="J65" s="8"/>
      <c r="K65" s="6"/>
      <c r="L65" s="6"/>
      <c r="M65" s="6"/>
      <c r="N65" s="6"/>
    </row>
    <row r="66" spans="1:14" ht="17.100000000000001" customHeight="1" x14ac:dyDescent="0.25">
      <c r="A66" s="228"/>
      <c r="B66" s="10" t="s">
        <v>65</v>
      </c>
      <c r="C66" s="10" t="s">
        <v>66</v>
      </c>
      <c r="D66" s="10" t="s">
        <v>67</v>
      </c>
      <c r="E66" s="10" t="s">
        <v>68</v>
      </c>
      <c r="F66" s="10" t="s">
        <v>69</v>
      </c>
      <c r="G66" s="10" t="s">
        <v>70</v>
      </c>
      <c r="H66" s="11">
        <v>2</v>
      </c>
      <c r="I66" s="11">
        <f>72.9*H66</f>
        <v>145.80000000000001</v>
      </c>
      <c r="J66" s="8"/>
      <c r="K66" s="6"/>
      <c r="L66" s="6"/>
      <c r="M66" s="6"/>
      <c r="N66" s="6"/>
    </row>
    <row r="67" spans="1:14" ht="17.100000000000001" customHeight="1" x14ac:dyDescent="0.25">
      <c r="A67" s="228"/>
      <c r="B67" s="10" t="s">
        <v>65</v>
      </c>
      <c r="C67" s="10" t="s">
        <v>66</v>
      </c>
      <c r="D67" s="10" t="s">
        <v>67</v>
      </c>
      <c r="E67" s="10" t="s">
        <v>68</v>
      </c>
      <c r="F67" s="10" t="s">
        <v>69</v>
      </c>
      <c r="G67" s="10" t="s">
        <v>70</v>
      </c>
      <c r="H67" s="11">
        <v>1</v>
      </c>
      <c r="I67" s="11">
        <v>72.900000000000006</v>
      </c>
      <c r="J67" s="8"/>
      <c r="K67" s="6"/>
      <c r="L67" s="6"/>
      <c r="M67" s="6"/>
      <c r="N67" s="6"/>
    </row>
    <row r="68" spans="1:14" ht="17.100000000000001" customHeight="1" x14ac:dyDescent="0.25">
      <c r="A68" s="228"/>
      <c r="B68" s="10" t="s">
        <v>4</v>
      </c>
      <c r="C68" s="10" t="s">
        <v>66</v>
      </c>
      <c r="D68" s="10" t="s">
        <v>85</v>
      </c>
      <c r="E68" s="10" t="s">
        <v>86</v>
      </c>
      <c r="F68" s="10" t="s">
        <v>69</v>
      </c>
      <c r="G68" s="10" t="s">
        <v>70</v>
      </c>
      <c r="H68" s="11">
        <v>1</v>
      </c>
      <c r="I68" s="11">
        <v>755.4</v>
      </c>
      <c r="J68" s="8"/>
      <c r="K68" s="6"/>
      <c r="L68" s="6"/>
      <c r="M68" s="6"/>
      <c r="N68" s="6"/>
    </row>
    <row r="69" spans="1:14" ht="17.100000000000001" customHeight="1" x14ac:dyDescent="0.25">
      <c r="A69" s="228"/>
      <c r="B69" s="10" t="s">
        <v>85</v>
      </c>
      <c r="C69" s="10" t="s">
        <v>86</v>
      </c>
      <c r="D69" s="10" t="s">
        <v>87</v>
      </c>
      <c r="E69" s="10" t="s">
        <v>88</v>
      </c>
      <c r="F69" s="10" t="s">
        <v>69</v>
      </c>
      <c r="G69" s="10" t="s">
        <v>70</v>
      </c>
      <c r="H69" s="11">
        <v>1</v>
      </c>
      <c r="I69" s="11">
        <v>128.19999999999999</v>
      </c>
      <c r="J69" s="8"/>
      <c r="K69" s="6"/>
      <c r="L69" s="6"/>
      <c r="M69" s="6"/>
      <c r="N69" s="6"/>
    </row>
    <row r="70" spans="1:14" ht="17.100000000000001" customHeight="1" x14ac:dyDescent="0.25">
      <c r="A70" s="228"/>
      <c r="B70" s="10" t="s">
        <v>65</v>
      </c>
      <c r="C70" s="10" t="s">
        <v>66</v>
      </c>
      <c r="D70" s="10" t="s">
        <v>67</v>
      </c>
      <c r="E70" s="10" t="s">
        <v>68</v>
      </c>
      <c r="F70" s="10" t="s">
        <v>69</v>
      </c>
      <c r="G70" s="10" t="s">
        <v>70</v>
      </c>
      <c r="H70" s="11">
        <v>1</v>
      </c>
      <c r="I70" s="11">
        <v>72.900000000000006</v>
      </c>
      <c r="J70" s="8"/>
      <c r="K70" s="6"/>
      <c r="L70" s="6"/>
      <c r="M70" s="6"/>
      <c r="N70" s="6"/>
    </row>
    <row r="71" spans="1:14" ht="17.100000000000001" customHeight="1" x14ac:dyDescent="0.25">
      <c r="A71" s="228"/>
      <c r="B71" s="10" t="s">
        <v>65</v>
      </c>
      <c r="C71" s="10" t="s">
        <v>66</v>
      </c>
      <c r="D71" s="10" t="s">
        <v>67</v>
      </c>
      <c r="E71" s="10" t="s">
        <v>68</v>
      </c>
      <c r="F71" s="10" t="s">
        <v>69</v>
      </c>
      <c r="G71" s="10" t="s">
        <v>70</v>
      </c>
      <c r="H71" s="11">
        <v>7</v>
      </c>
      <c r="I71" s="11">
        <f>72.9*H71</f>
        <v>510.30000000000007</v>
      </c>
      <c r="J71" s="8"/>
      <c r="K71" s="6"/>
      <c r="L71" s="6"/>
      <c r="M71" s="6"/>
      <c r="N71" s="6"/>
    </row>
    <row r="72" spans="1:14" ht="17.100000000000001" customHeight="1" x14ac:dyDescent="0.25">
      <c r="A72" s="228"/>
      <c r="B72" s="10" t="s">
        <v>65</v>
      </c>
      <c r="C72" s="10" t="s">
        <v>66</v>
      </c>
      <c r="D72" s="10" t="s">
        <v>67</v>
      </c>
      <c r="E72" s="10" t="s">
        <v>68</v>
      </c>
      <c r="F72" s="10" t="s">
        <v>69</v>
      </c>
      <c r="G72" s="10" t="s">
        <v>70</v>
      </c>
      <c r="H72" s="11">
        <v>1</v>
      </c>
      <c r="I72" s="11">
        <v>72.900000000000006</v>
      </c>
      <c r="J72" s="8"/>
      <c r="K72" s="6"/>
      <c r="L72" s="6"/>
      <c r="M72" s="6"/>
      <c r="N72" s="6"/>
    </row>
    <row r="73" spans="1:14" ht="17.100000000000001" customHeight="1" x14ac:dyDescent="0.25">
      <c r="A73" s="228"/>
      <c r="B73" s="10" t="s">
        <v>65</v>
      </c>
      <c r="C73" s="10" t="s">
        <v>66</v>
      </c>
      <c r="D73" s="10" t="s">
        <v>89</v>
      </c>
      <c r="E73" s="10" t="s">
        <v>90</v>
      </c>
      <c r="F73" s="10" t="s">
        <v>69</v>
      </c>
      <c r="G73" s="10" t="s">
        <v>70</v>
      </c>
      <c r="H73" s="11">
        <v>7</v>
      </c>
      <c r="I73" s="11">
        <v>4184.7</v>
      </c>
      <c r="J73" s="8"/>
      <c r="K73" s="6"/>
      <c r="L73" s="6"/>
      <c r="M73" s="6"/>
      <c r="N73" s="6"/>
    </row>
    <row r="74" spans="1:14" ht="17.100000000000001" customHeight="1" x14ac:dyDescent="0.25">
      <c r="A74" s="228"/>
      <c r="B74" s="10" t="s">
        <v>65</v>
      </c>
      <c r="C74" s="10" t="s">
        <v>66</v>
      </c>
      <c r="D74" s="10" t="s">
        <v>91</v>
      </c>
      <c r="E74" s="10" t="s">
        <v>92</v>
      </c>
      <c r="F74" s="10" t="s">
        <v>69</v>
      </c>
      <c r="G74" s="10" t="s">
        <v>70</v>
      </c>
      <c r="H74" s="11">
        <v>1</v>
      </c>
      <c r="I74" s="11">
        <v>115.3</v>
      </c>
      <c r="J74" s="8"/>
      <c r="K74" s="6"/>
      <c r="L74" s="6"/>
      <c r="M74" s="6"/>
      <c r="N74" s="6"/>
    </row>
    <row r="75" spans="1:14" ht="17.100000000000001" customHeight="1" x14ac:dyDescent="0.25">
      <c r="A75" s="228"/>
      <c r="B75" s="10" t="s">
        <v>65</v>
      </c>
      <c r="C75" s="10" t="s">
        <v>66</v>
      </c>
      <c r="D75" s="10" t="s">
        <v>67</v>
      </c>
      <c r="E75" s="10" t="s">
        <v>68</v>
      </c>
      <c r="F75" s="10" t="s">
        <v>69</v>
      </c>
      <c r="G75" s="10" t="s">
        <v>70</v>
      </c>
      <c r="H75" s="11">
        <v>1</v>
      </c>
      <c r="I75" s="11">
        <v>72.900000000000006</v>
      </c>
      <c r="J75" s="8"/>
      <c r="K75" s="6"/>
      <c r="L75" s="6"/>
      <c r="M75" s="6"/>
      <c r="N75" s="6"/>
    </row>
    <row r="76" spans="1:14" ht="17.100000000000001" customHeight="1" x14ac:dyDescent="0.25">
      <c r="A76" s="228"/>
      <c r="B76" s="10" t="s">
        <v>65</v>
      </c>
      <c r="C76" s="10" t="s">
        <v>66</v>
      </c>
      <c r="D76" s="10" t="s">
        <v>67</v>
      </c>
      <c r="E76" s="10" t="s">
        <v>68</v>
      </c>
      <c r="F76" s="10" t="s">
        <v>69</v>
      </c>
      <c r="G76" s="10" t="s">
        <v>70</v>
      </c>
      <c r="H76" s="11">
        <v>1</v>
      </c>
      <c r="I76" s="11">
        <v>72.900000000000006</v>
      </c>
      <c r="J76" s="8"/>
      <c r="K76" s="6"/>
      <c r="L76" s="6"/>
      <c r="M76" s="6"/>
      <c r="N76" s="6"/>
    </row>
    <row r="77" spans="1:14" ht="17.100000000000001" customHeight="1" x14ac:dyDescent="0.25">
      <c r="A77" s="228"/>
      <c r="B77" s="10" t="s">
        <v>65</v>
      </c>
      <c r="C77" s="10" t="s">
        <v>66</v>
      </c>
      <c r="D77" s="10" t="s">
        <v>67</v>
      </c>
      <c r="E77" s="10" t="s">
        <v>68</v>
      </c>
      <c r="F77" s="10" t="s">
        <v>69</v>
      </c>
      <c r="G77" s="10" t="s">
        <v>70</v>
      </c>
      <c r="H77" s="11">
        <v>1</v>
      </c>
      <c r="I77" s="11">
        <v>72.900000000000006</v>
      </c>
      <c r="J77" s="8"/>
      <c r="K77" s="6"/>
      <c r="L77" s="6"/>
      <c r="M77" s="6"/>
      <c r="N77" s="6"/>
    </row>
    <row r="78" spans="1:14" ht="17.100000000000001" customHeight="1" x14ac:dyDescent="0.25">
      <c r="A78" s="228"/>
      <c r="B78" s="10" t="s">
        <v>74</v>
      </c>
      <c r="C78" s="10" t="s">
        <v>68</v>
      </c>
      <c r="D78" s="10" t="s">
        <v>65</v>
      </c>
      <c r="E78" s="10" t="s">
        <v>66</v>
      </c>
      <c r="F78" s="10" t="s">
        <v>69</v>
      </c>
      <c r="G78" s="10" t="s">
        <v>70</v>
      </c>
      <c r="H78" s="11">
        <v>1</v>
      </c>
      <c r="I78" s="11">
        <v>72.900000000000006</v>
      </c>
      <c r="J78" s="8"/>
      <c r="K78" s="6"/>
      <c r="L78" s="6"/>
      <c r="M78" s="6"/>
      <c r="N78" s="6"/>
    </row>
    <row r="79" spans="1:14" ht="17.100000000000001" customHeight="1" x14ac:dyDescent="0.25">
      <c r="A79" s="228"/>
      <c r="B79" s="10" t="s">
        <v>65</v>
      </c>
      <c r="C79" s="10" t="s">
        <v>66</v>
      </c>
      <c r="D79" s="10" t="s">
        <v>67</v>
      </c>
      <c r="E79" s="10" t="s">
        <v>68</v>
      </c>
      <c r="F79" s="10" t="s">
        <v>69</v>
      </c>
      <c r="G79" s="10" t="s">
        <v>70</v>
      </c>
      <c r="H79" s="11">
        <v>1</v>
      </c>
      <c r="I79" s="11">
        <v>72.900000000000006</v>
      </c>
      <c r="J79" s="8"/>
      <c r="K79" s="6"/>
      <c r="L79" s="6"/>
      <c r="M79" s="6"/>
      <c r="N79" s="6"/>
    </row>
    <row r="80" spans="1:14" ht="17.100000000000001" customHeight="1" x14ac:dyDescent="0.25">
      <c r="A80" s="228"/>
      <c r="B80" s="10" t="s">
        <v>74</v>
      </c>
      <c r="C80" s="10" t="s">
        <v>68</v>
      </c>
      <c r="D80" s="10" t="s">
        <v>75</v>
      </c>
      <c r="E80" s="10" t="s">
        <v>76</v>
      </c>
      <c r="F80" s="10" t="s">
        <v>69</v>
      </c>
      <c r="G80" s="10" t="s">
        <v>70</v>
      </c>
      <c r="H80" s="11">
        <v>1</v>
      </c>
      <c r="I80" s="11">
        <v>100.3</v>
      </c>
      <c r="J80" s="8"/>
      <c r="K80" s="6"/>
      <c r="L80" s="6"/>
      <c r="M80" s="6"/>
      <c r="N80" s="6"/>
    </row>
    <row r="81" spans="1:14" ht="17.100000000000001" customHeight="1" x14ac:dyDescent="0.25">
      <c r="A81" s="228"/>
      <c r="B81" s="10" t="s">
        <v>65</v>
      </c>
      <c r="C81" s="10" t="s">
        <v>66</v>
      </c>
      <c r="D81" s="10" t="s">
        <v>67</v>
      </c>
      <c r="E81" s="10" t="s">
        <v>68</v>
      </c>
      <c r="F81" s="10" t="s">
        <v>69</v>
      </c>
      <c r="G81" s="10" t="s">
        <v>70</v>
      </c>
      <c r="H81" s="11">
        <v>1</v>
      </c>
      <c r="I81" s="11">
        <v>72.900000000000006</v>
      </c>
      <c r="J81" s="8"/>
      <c r="K81" s="6"/>
      <c r="L81" s="6"/>
      <c r="M81" s="6"/>
      <c r="N81" s="6"/>
    </row>
    <row r="82" spans="1:14" ht="17.100000000000001" customHeight="1" x14ac:dyDescent="0.25">
      <c r="A82" s="228"/>
      <c r="B82" s="10" t="s">
        <v>65</v>
      </c>
      <c r="C82" s="10" t="s">
        <v>66</v>
      </c>
      <c r="D82" s="10" t="s">
        <v>67</v>
      </c>
      <c r="E82" s="10" t="s">
        <v>68</v>
      </c>
      <c r="F82" s="10" t="s">
        <v>69</v>
      </c>
      <c r="G82" s="10" t="s">
        <v>70</v>
      </c>
      <c r="H82" s="11">
        <v>1</v>
      </c>
      <c r="I82" s="11">
        <v>72.900000000000006</v>
      </c>
      <c r="J82" s="8"/>
      <c r="K82" s="6"/>
      <c r="L82" s="6"/>
      <c r="M82" s="6"/>
      <c r="N82" s="6"/>
    </row>
    <row r="83" spans="1:14" ht="17.100000000000001" customHeight="1" x14ac:dyDescent="0.25">
      <c r="A83" s="228"/>
      <c r="B83" s="10" t="s">
        <v>74</v>
      </c>
      <c r="C83" s="10" t="s">
        <v>68</v>
      </c>
      <c r="D83" s="10" t="s">
        <v>65</v>
      </c>
      <c r="E83" s="10" t="s">
        <v>66</v>
      </c>
      <c r="F83" s="10" t="s">
        <v>69</v>
      </c>
      <c r="G83" s="10" t="s">
        <v>70</v>
      </c>
      <c r="H83" s="11">
        <v>2</v>
      </c>
      <c r="I83" s="11">
        <f>72.9*H83</f>
        <v>145.80000000000001</v>
      </c>
      <c r="J83" s="8"/>
      <c r="K83" s="6"/>
      <c r="L83" s="6"/>
      <c r="M83" s="6"/>
      <c r="N83" s="6"/>
    </row>
    <row r="84" spans="1:14" ht="17.100000000000001" customHeight="1" x14ac:dyDescent="0.25">
      <c r="A84" s="228"/>
      <c r="B84" s="10" t="s">
        <v>65</v>
      </c>
      <c r="C84" s="10" t="s">
        <v>66</v>
      </c>
      <c r="D84" s="10" t="s">
        <v>67</v>
      </c>
      <c r="E84" s="10" t="s">
        <v>68</v>
      </c>
      <c r="F84" s="10" t="s">
        <v>69</v>
      </c>
      <c r="G84" s="10" t="s">
        <v>70</v>
      </c>
      <c r="H84" s="11">
        <v>1</v>
      </c>
      <c r="I84" s="11">
        <v>72.900000000000006</v>
      </c>
      <c r="J84" s="8"/>
      <c r="K84" s="6"/>
      <c r="L84" s="6"/>
      <c r="M84" s="6"/>
      <c r="N84" s="6"/>
    </row>
    <row r="85" spans="1:14" ht="17.100000000000001" customHeight="1" x14ac:dyDescent="0.25">
      <c r="A85" s="228"/>
      <c r="B85" s="10" t="s">
        <v>65</v>
      </c>
      <c r="C85" s="10" t="s">
        <v>66</v>
      </c>
      <c r="D85" s="10" t="s">
        <v>67</v>
      </c>
      <c r="E85" s="10" t="s">
        <v>68</v>
      </c>
      <c r="F85" s="10" t="s">
        <v>69</v>
      </c>
      <c r="G85" s="10" t="s">
        <v>70</v>
      </c>
      <c r="H85" s="11">
        <v>1</v>
      </c>
      <c r="I85" s="11">
        <v>72.900000000000006</v>
      </c>
      <c r="J85" s="8"/>
      <c r="K85" s="6"/>
      <c r="L85" s="6"/>
      <c r="M85" s="6"/>
      <c r="N85" s="6"/>
    </row>
    <row r="86" spans="1:14" ht="17.100000000000001" customHeight="1" x14ac:dyDescent="0.25">
      <c r="A86" s="228"/>
      <c r="B86" s="10" t="s">
        <v>65</v>
      </c>
      <c r="C86" s="10" t="s">
        <v>66</v>
      </c>
      <c r="D86" s="10" t="s">
        <v>67</v>
      </c>
      <c r="E86" s="10" t="s">
        <v>68</v>
      </c>
      <c r="F86" s="10" t="s">
        <v>69</v>
      </c>
      <c r="G86" s="10" t="s">
        <v>70</v>
      </c>
      <c r="H86" s="11">
        <v>1</v>
      </c>
      <c r="I86" s="11">
        <v>72.900000000000006</v>
      </c>
      <c r="J86" s="8"/>
      <c r="K86" s="6"/>
      <c r="L86" s="6"/>
      <c r="M86" s="6"/>
      <c r="N86" s="6"/>
    </row>
    <row r="87" spans="1:14" ht="17.100000000000001" customHeight="1" x14ac:dyDescent="0.25">
      <c r="A87" s="228"/>
      <c r="B87" s="10" t="s">
        <v>65</v>
      </c>
      <c r="C87" s="10" t="s">
        <v>66</v>
      </c>
      <c r="D87" s="10" t="s">
        <v>67</v>
      </c>
      <c r="E87" s="10" t="s">
        <v>68</v>
      </c>
      <c r="F87" s="10" t="s">
        <v>69</v>
      </c>
      <c r="G87" s="10" t="s">
        <v>70</v>
      </c>
      <c r="H87" s="11">
        <v>1</v>
      </c>
      <c r="I87" s="11">
        <v>72.900000000000006</v>
      </c>
      <c r="J87" s="8"/>
      <c r="K87" s="6"/>
      <c r="L87" s="6"/>
      <c r="M87" s="6"/>
      <c r="N87" s="6"/>
    </row>
    <row r="88" spans="1:14" ht="17.100000000000001" customHeight="1" x14ac:dyDescent="0.25">
      <c r="A88" s="228"/>
      <c r="B88" s="10" t="s">
        <v>74</v>
      </c>
      <c r="C88" s="10" t="s">
        <v>68</v>
      </c>
      <c r="D88" s="10" t="s">
        <v>65</v>
      </c>
      <c r="E88" s="10" t="s">
        <v>66</v>
      </c>
      <c r="F88" s="10" t="s">
        <v>69</v>
      </c>
      <c r="G88" s="10" t="s">
        <v>70</v>
      </c>
      <c r="H88" s="11">
        <v>1</v>
      </c>
      <c r="I88" s="11">
        <v>72.900000000000006</v>
      </c>
      <c r="J88" s="8"/>
      <c r="K88" s="6"/>
      <c r="L88" s="6"/>
      <c r="M88" s="6"/>
      <c r="N88" s="6"/>
    </row>
    <row r="89" spans="1:14" ht="17.100000000000001" customHeight="1" x14ac:dyDescent="0.25">
      <c r="A89" s="228"/>
      <c r="B89" s="10" t="s">
        <v>74</v>
      </c>
      <c r="C89" s="10" t="s">
        <v>68</v>
      </c>
      <c r="D89" s="10" t="s">
        <v>65</v>
      </c>
      <c r="E89" s="10" t="s">
        <v>66</v>
      </c>
      <c r="F89" s="10" t="s">
        <v>69</v>
      </c>
      <c r="G89" s="10" t="s">
        <v>70</v>
      </c>
      <c r="H89" s="11">
        <v>1</v>
      </c>
      <c r="I89" s="11">
        <v>72.900000000000006</v>
      </c>
      <c r="J89" s="8"/>
      <c r="K89" s="6"/>
      <c r="L89" s="6"/>
      <c r="M89" s="6"/>
      <c r="N89" s="6"/>
    </row>
    <row r="90" spans="1:14" ht="17.100000000000001" customHeight="1" x14ac:dyDescent="0.25">
      <c r="A90" s="228"/>
      <c r="B90" s="10" t="s">
        <v>65</v>
      </c>
      <c r="C90" s="10" t="s">
        <v>66</v>
      </c>
      <c r="D90" s="10" t="s">
        <v>67</v>
      </c>
      <c r="E90" s="10" t="s">
        <v>68</v>
      </c>
      <c r="F90" s="10" t="s">
        <v>69</v>
      </c>
      <c r="G90" s="10" t="s">
        <v>79</v>
      </c>
      <c r="H90" s="11">
        <v>2</v>
      </c>
      <c r="I90" s="11">
        <f>72.9*H90</f>
        <v>145.80000000000001</v>
      </c>
      <c r="J90" s="8"/>
      <c r="K90" s="6"/>
      <c r="L90" s="6"/>
      <c r="M90" s="6"/>
      <c r="N90" s="6"/>
    </row>
    <row r="91" spans="1:14" ht="17.100000000000001" customHeight="1" x14ac:dyDescent="0.25">
      <c r="A91" s="228"/>
      <c r="B91" s="10" t="s">
        <v>65</v>
      </c>
      <c r="C91" s="10" t="s">
        <v>66</v>
      </c>
      <c r="D91" s="10" t="s">
        <v>67</v>
      </c>
      <c r="E91" s="10" t="s">
        <v>68</v>
      </c>
      <c r="F91" s="10" t="s">
        <v>69</v>
      </c>
      <c r="G91" s="10" t="s">
        <v>70</v>
      </c>
      <c r="H91" s="11">
        <v>1</v>
      </c>
      <c r="I91" s="11">
        <v>72.900000000000006</v>
      </c>
      <c r="J91" s="8"/>
      <c r="K91" s="6"/>
      <c r="L91" s="6"/>
      <c r="M91" s="6"/>
      <c r="N91" s="6"/>
    </row>
    <row r="92" spans="1:14" ht="17.100000000000001" customHeight="1" x14ac:dyDescent="0.25">
      <c r="A92" s="228"/>
      <c r="B92" s="10" t="s">
        <v>65</v>
      </c>
      <c r="C92" s="10" t="s">
        <v>66</v>
      </c>
      <c r="D92" s="10" t="s">
        <v>67</v>
      </c>
      <c r="E92" s="10" t="s">
        <v>68</v>
      </c>
      <c r="F92" s="10" t="s">
        <v>69</v>
      </c>
      <c r="G92" s="10" t="s">
        <v>70</v>
      </c>
      <c r="H92" s="11">
        <v>1</v>
      </c>
      <c r="I92" s="11">
        <v>72.900000000000006</v>
      </c>
      <c r="J92" s="8"/>
      <c r="K92" s="6"/>
      <c r="L92" s="6"/>
      <c r="M92" s="6"/>
      <c r="N92" s="6"/>
    </row>
    <row r="93" spans="1:14" ht="17.100000000000001" customHeight="1" x14ac:dyDescent="0.25">
      <c r="A93" s="228"/>
      <c r="B93" s="10" t="s">
        <v>65</v>
      </c>
      <c r="C93" s="10" t="s">
        <v>66</v>
      </c>
      <c r="D93" s="10" t="s">
        <v>67</v>
      </c>
      <c r="E93" s="10" t="s">
        <v>68</v>
      </c>
      <c r="F93" s="10" t="s">
        <v>69</v>
      </c>
      <c r="G93" s="10" t="s">
        <v>70</v>
      </c>
      <c r="H93" s="11">
        <v>1</v>
      </c>
      <c r="I93" s="11">
        <v>72.900000000000006</v>
      </c>
      <c r="J93" s="8"/>
      <c r="K93" s="6"/>
      <c r="L93" s="6"/>
      <c r="M93" s="6"/>
      <c r="N93" s="6"/>
    </row>
    <row r="94" spans="1:14" ht="17.100000000000001" customHeight="1" x14ac:dyDescent="0.25">
      <c r="A94" s="228"/>
      <c r="B94" s="10" t="s">
        <v>65</v>
      </c>
      <c r="C94" s="10" t="s">
        <v>66</v>
      </c>
      <c r="D94" s="10" t="s">
        <v>67</v>
      </c>
      <c r="E94" s="10" t="s">
        <v>68</v>
      </c>
      <c r="F94" s="10" t="s">
        <v>69</v>
      </c>
      <c r="G94" s="10" t="s">
        <v>70</v>
      </c>
      <c r="H94" s="11">
        <v>4</v>
      </c>
      <c r="I94" s="11">
        <f>72.9*H94</f>
        <v>291.60000000000002</v>
      </c>
      <c r="J94" s="8"/>
      <c r="K94" s="6"/>
      <c r="L94" s="6"/>
      <c r="M94" s="6"/>
      <c r="N94" s="6"/>
    </row>
    <row r="95" spans="1:14" ht="17.100000000000001" customHeight="1" x14ac:dyDescent="0.25">
      <c r="A95" s="228"/>
      <c r="B95" s="10" t="s">
        <v>65</v>
      </c>
      <c r="C95" s="10" t="s">
        <v>66</v>
      </c>
      <c r="D95" s="10" t="s">
        <v>67</v>
      </c>
      <c r="E95" s="10" t="s">
        <v>68</v>
      </c>
      <c r="F95" s="10" t="s">
        <v>69</v>
      </c>
      <c r="G95" s="10" t="s">
        <v>70</v>
      </c>
      <c r="H95" s="11">
        <v>2</v>
      </c>
      <c r="I95" s="11">
        <f>72.9*H95</f>
        <v>145.80000000000001</v>
      </c>
      <c r="J95" s="8"/>
      <c r="K95" s="6"/>
      <c r="L95" s="6"/>
      <c r="M95" s="6"/>
      <c r="N95" s="6"/>
    </row>
    <row r="96" spans="1:14" ht="17.100000000000001" customHeight="1" x14ac:dyDescent="0.25">
      <c r="A96" s="228"/>
      <c r="B96" s="10" t="s">
        <v>74</v>
      </c>
      <c r="C96" s="10" t="s">
        <v>68</v>
      </c>
      <c r="D96" s="10" t="s">
        <v>65</v>
      </c>
      <c r="E96" s="10" t="s">
        <v>66</v>
      </c>
      <c r="F96" s="10" t="s">
        <v>69</v>
      </c>
      <c r="G96" s="10" t="s">
        <v>70</v>
      </c>
      <c r="H96" s="11">
        <v>2</v>
      </c>
      <c r="I96" s="11">
        <f>72.9*H96</f>
        <v>145.80000000000001</v>
      </c>
      <c r="J96" s="8"/>
      <c r="K96" s="6"/>
      <c r="L96" s="6"/>
      <c r="M96" s="6"/>
      <c r="N96" s="6"/>
    </row>
    <row r="97" spans="1:14" ht="17.100000000000001" customHeight="1" x14ac:dyDescent="0.25">
      <c r="A97" s="228"/>
      <c r="B97" s="10" t="s">
        <v>74</v>
      </c>
      <c r="C97" s="10" t="s">
        <v>68</v>
      </c>
      <c r="D97" s="10" t="s">
        <v>65</v>
      </c>
      <c r="E97" s="10" t="s">
        <v>66</v>
      </c>
      <c r="F97" s="10" t="s">
        <v>69</v>
      </c>
      <c r="G97" s="10" t="s">
        <v>70</v>
      </c>
      <c r="H97" s="11">
        <v>1</v>
      </c>
      <c r="I97" s="11">
        <v>72.900000000000006</v>
      </c>
      <c r="J97" s="8"/>
      <c r="K97" s="6"/>
      <c r="L97" s="6"/>
      <c r="M97" s="6"/>
      <c r="N97" s="6"/>
    </row>
    <row r="98" spans="1:14" ht="17.100000000000001" customHeight="1" x14ac:dyDescent="0.25">
      <c r="A98" s="228"/>
      <c r="B98" s="10" t="s">
        <v>74</v>
      </c>
      <c r="C98" s="10" t="s">
        <v>68</v>
      </c>
      <c r="D98" s="10" t="s">
        <v>65</v>
      </c>
      <c r="E98" s="10" t="s">
        <v>66</v>
      </c>
      <c r="F98" s="10" t="s">
        <v>69</v>
      </c>
      <c r="G98" s="10" t="s">
        <v>70</v>
      </c>
      <c r="H98" s="11">
        <v>1</v>
      </c>
      <c r="I98" s="11">
        <v>72.900000000000006</v>
      </c>
      <c r="J98" s="8"/>
      <c r="K98" s="6"/>
      <c r="L98" s="6"/>
      <c r="M98" s="6"/>
      <c r="N98" s="6"/>
    </row>
    <row r="99" spans="1:14" ht="17.100000000000001" customHeight="1" x14ac:dyDescent="0.25">
      <c r="A99" s="228"/>
      <c r="B99" s="10" t="s">
        <v>93</v>
      </c>
      <c r="C99" s="10" t="s">
        <v>94</v>
      </c>
      <c r="D99" s="10" t="s">
        <v>67</v>
      </c>
      <c r="E99" s="10" t="s">
        <v>68</v>
      </c>
      <c r="F99" s="10" t="s">
        <v>69</v>
      </c>
      <c r="G99" s="10" t="s">
        <v>70</v>
      </c>
      <c r="H99" s="11">
        <v>1</v>
      </c>
      <c r="I99" s="11">
        <v>464.4</v>
      </c>
      <c r="J99" s="8"/>
      <c r="K99" s="6"/>
      <c r="L99" s="6"/>
      <c r="M99" s="6"/>
      <c r="N99" s="6"/>
    </row>
    <row r="100" spans="1:14" ht="17.100000000000001" customHeight="1" x14ac:dyDescent="0.25">
      <c r="A100" s="228"/>
      <c r="B100" s="10" t="s">
        <v>74</v>
      </c>
      <c r="C100" s="10" t="s">
        <v>68</v>
      </c>
      <c r="D100" s="10" t="s">
        <v>65</v>
      </c>
      <c r="E100" s="10" t="s">
        <v>66</v>
      </c>
      <c r="F100" s="10" t="s">
        <v>69</v>
      </c>
      <c r="G100" s="10" t="s">
        <v>70</v>
      </c>
      <c r="H100" s="11">
        <v>1</v>
      </c>
      <c r="I100" s="11">
        <v>72.900000000000006</v>
      </c>
      <c r="J100" s="8"/>
      <c r="K100" s="6"/>
      <c r="L100" s="6"/>
      <c r="M100" s="6"/>
      <c r="N100" s="6"/>
    </row>
    <row r="101" spans="1:14" ht="17.100000000000001" customHeight="1" x14ac:dyDescent="0.25">
      <c r="A101" s="228"/>
      <c r="B101" s="10" t="s">
        <v>65</v>
      </c>
      <c r="C101" s="10" t="s">
        <v>66</v>
      </c>
      <c r="D101" s="10" t="s">
        <v>67</v>
      </c>
      <c r="E101" s="10" t="s">
        <v>68</v>
      </c>
      <c r="F101" s="10" t="s">
        <v>69</v>
      </c>
      <c r="G101" s="10" t="s">
        <v>70</v>
      </c>
      <c r="H101" s="11">
        <v>2</v>
      </c>
      <c r="I101" s="11">
        <f>72.9*H101</f>
        <v>145.80000000000001</v>
      </c>
      <c r="J101" s="8"/>
      <c r="K101" s="6"/>
      <c r="L101" s="6"/>
      <c r="M101" s="6"/>
      <c r="N101" s="6"/>
    </row>
    <row r="102" spans="1:14" ht="17.100000000000001" customHeight="1" x14ac:dyDescent="0.25">
      <c r="A102" s="228"/>
      <c r="B102" s="10" t="s">
        <v>74</v>
      </c>
      <c r="C102" s="10" t="s">
        <v>68</v>
      </c>
      <c r="D102" s="10" t="s">
        <v>65</v>
      </c>
      <c r="E102" s="10" t="s">
        <v>66</v>
      </c>
      <c r="F102" s="10" t="s">
        <v>69</v>
      </c>
      <c r="G102" s="10" t="s">
        <v>70</v>
      </c>
      <c r="H102" s="11">
        <v>7</v>
      </c>
      <c r="I102" s="11">
        <f>72.9*H102</f>
        <v>510.30000000000007</v>
      </c>
      <c r="J102" s="8"/>
      <c r="K102" s="6"/>
      <c r="L102" s="6"/>
      <c r="M102" s="6"/>
      <c r="N102" s="6"/>
    </row>
    <row r="103" spans="1:14" ht="17.100000000000001" customHeight="1" x14ac:dyDescent="0.25">
      <c r="A103" s="228"/>
      <c r="B103" s="10" t="s">
        <v>65</v>
      </c>
      <c r="C103" s="10" t="s">
        <v>66</v>
      </c>
      <c r="D103" s="10" t="s">
        <v>67</v>
      </c>
      <c r="E103" s="10" t="s">
        <v>68</v>
      </c>
      <c r="F103" s="10" t="s">
        <v>69</v>
      </c>
      <c r="G103" s="10" t="s">
        <v>70</v>
      </c>
      <c r="H103" s="11">
        <v>1</v>
      </c>
      <c r="I103" s="11">
        <v>72.900000000000006</v>
      </c>
      <c r="J103" s="8"/>
      <c r="K103" s="6"/>
      <c r="L103" s="6"/>
      <c r="M103" s="6"/>
      <c r="N103" s="6"/>
    </row>
    <row r="104" spans="1:14" ht="17.100000000000001" customHeight="1" x14ac:dyDescent="0.25">
      <c r="A104" s="228"/>
      <c r="B104" s="10" t="s">
        <v>65</v>
      </c>
      <c r="C104" s="10" t="s">
        <v>66</v>
      </c>
      <c r="D104" s="10" t="s">
        <v>67</v>
      </c>
      <c r="E104" s="10" t="s">
        <v>68</v>
      </c>
      <c r="F104" s="10" t="s">
        <v>69</v>
      </c>
      <c r="G104" s="10" t="s">
        <v>70</v>
      </c>
      <c r="H104" s="11">
        <v>1</v>
      </c>
      <c r="I104" s="11">
        <v>72.900000000000006</v>
      </c>
      <c r="J104" s="8"/>
      <c r="K104" s="6"/>
      <c r="L104" s="6"/>
      <c r="M104" s="6"/>
      <c r="N104" s="6"/>
    </row>
    <row r="105" spans="1:14" ht="17.100000000000001" customHeight="1" x14ac:dyDescent="0.25">
      <c r="A105" s="228"/>
      <c r="B105" s="10" t="s">
        <v>65</v>
      </c>
      <c r="C105" s="10" t="s">
        <v>66</v>
      </c>
      <c r="D105" s="10" t="s">
        <v>67</v>
      </c>
      <c r="E105" s="10" t="s">
        <v>68</v>
      </c>
      <c r="F105" s="10" t="s">
        <v>69</v>
      </c>
      <c r="G105" s="10" t="s">
        <v>70</v>
      </c>
      <c r="H105" s="11">
        <v>1</v>
      </c>
      <c r="I105" s="11">
        <v>72.900000000000006</v>
      </c>
      <c r="J105" s="8"/>
      <c r="K105" s="6"/>
      <c r="L105" s="6"/>
      <c r="M105" s="6"/>
      <c r="N105" s="6"/>
    </row>
    <row r="106" spans="1:14" ht="17.100000000000001" customHeight="1" x14ac:dyDescent="0.25">
      <c r="A106" s="228"/>
      <c r="B106" s="10" t="s">
        <v>74</v>
      </c>
      <c r="C106" s="10" t="s">
        <v>68</v>
      </c>
      <c r="D106" s="10" t="s">
        <v>65</v>
      </c>
      <c r="E106" s="10" t="s">
        <v>66</v>
      </c>
      <c r="F106" s="10" t="s">
        <v>69</v>
      </c>
      <c r="G106" s="10" t="s">
        <v>70</v>
      </c>
      <c r="H106" s="11">
        <v>1</v>
      </c>
      <c r="I106" s="11">
        <v>72.900000000000006</v>
      </c>
      <c r="J106" s="8"/>
      <c r="K106" s="6"/>
      <c r="L106" s="6"/>
      <c r="M106" s="6"/>
      <c r="N106" s="6"/>
    </row>
    <row r="107" spans="1:14" ht="17.100000000000001" customHeight="1" x14ac:dyDescent="0.25">
      <c r="A107" s="228"/>
      <c r="B107" s="10" t="s">
        <v>65</v>
      </c>
      <c r="C107" s="10" t="s">
        <v>66</v>
      </c>
      <c r="D107" s="10" t="s">
        <v>67</v>
      </c>
      <c r="E107" s="10" t="s">
        <v>68</v>
      </c>
      <c r="F107" s="10" t="s">
        <v>69</v>
      </c>
      <c r="G107" s="10" t="s">
        <v>70</v>
      </c>
      <c r="H107" s="11">
        <v>1</v>
      </c>
      <c r="I107" s="11">
        <v>72.900000000000006</v>
      </c>
      <c r="J107" s="8"/>
      <c r="K107" s="6"/>
      <c r="L107" s="6"/>
      <c r="M107" s="6"/>
      <c r="N107" s="6"/>
    </row>
    <row r="108" spans="1:14" ht="17.100000000000001" customHeight="1" x14ac:dyDescent="0.25">
      <c r="A108" s="228"/>
      <c r="B108" s="10" t="s">
        <v>74</v>
      </c>
      <c r="C108" s="10" t="s">
        <v>68</v>
      </c>
      <c r="D108" s="10" t="s">
        <v>65</v>
      </c>
      <c r="E108" s="10" t="s">
        <v>66</v>
      </c>
      <c r="F108" s="10" t="s">
        <v>69</v>
      </c>
      <c r="G108" s="10" t="s">
        <v>70</v>
      </c>
      <c r="H108" s="11">
        <v>1</v>
      </c>
      <c r="I108" s="11">
        <v>72.900000000000006</v>
      </c>
      <c r="J108" s="8"/>
      <c r="K108" s="6"/>
      <c r="L108" s="6"/>
      <c r="M108" s="6"/>
      <c r="N108" s="6"/>
    </row>
    <row r="109" spans="1:14" ht="17.100000000000001" customHeight="1" x14ac:dyDescent="0.25">
      <c r="A109" s="228"/>
      <c r="B109" s="10" t="s">
        <v>65</v>
      </c>
      <c r="C109" s="10" t="s">
        <v>66</v>
      </c>
      <c r="D109" s="10" t="s">
        <v>67</v>
      </c>
      <c r="E109" s="10" t="s">
        <v>68</v>
      </c>
      <c r="F109" s="10" t="s">
        <v>69</v>
      </c>
      <c r="G109" s="10" t="s">
        <v>70</v>
      </c>
      <c r="H109" s="11">
        <v>1</v>
      </c>
      <c r="I109" s="11">
        <v>72.900000000000006</v>
      </c>
      <c r="J109" s="8"/>
      <c r="K109" s="6"/>
      <c r="L109" s="6"/>
      <c r="M109" s="6"/>
      <c r="N109" s="6"/>
    </row>
    <row r="110" spans="1:14" ht="17.100000000000001" customHeight="1" x14ac:dyDescent="0.25">
      <c r="A110" s="228"/>
      <c r="B110" s="10" t="s">
        <v>65</v>
      </c>
      <c r="C110" s="10" t="s">
        <v>66</v>
      </c>
      <c r="D110" s="10" t="s">
        <v>67</v>
      </c>
      <c r="E110" s="10" t="s">
        <v>68</v>
      </c>
      <c r="F110" s="10" t="s">
        <v>69</v>
      </c>
      <c r="G110" s="10" t="s">
        <v>70</v>
      </c>
      <c r="H110" s="11">
        <v>1</v>
      </c>
      <c r="I110" s="11">
        <v>72.900000000000006</v>
      </c>
      <c r="J110" s="8"/>
      <c r="K110" s="6"/>
      <c r="L110" s="6"/>
      <c r="M110" s="6"/>
      <c r="N110" s="6"/>
    </row>
    <row r="111" spans="1:14" ht="17.100000000000001" customHeight="1" x14ac:dyDescent="0.25">
      <c r="A111" s="228"/>
      <c r="B111" s="10" t="s">
        <v>74</v>
      </c>
      <c r="C111" s="10" t="s">
        <v>68</v>
      </c>
      <c r="D111" s="10" t="s">
        <v>65</v>
      </c>
      <c r="E111" s="10" t="s">
        <v>66</v>
      </c>
      <c r="F111" s="10" t="s">
        <v>69</v>
      </c>
      <c r="G111" s="10" t="s">
        <v>70</v>
      </c>
      <c r="H111" s="11">
        <v>1</v>
      </c>
      <c r="I111" s="11">
        <v>72.900000000000006</v>
      </c>
      <c r="J111" s="8"/>
      <c r="K111" s="6"/>
      <c r="L111" s="6"/>
      <c r="M111" s="6"/>
      <c r="N111" s="6"/>
    </row>
    <row r="112" spans="1:14" ht="17.100000000000001" customHeight="1" x14ac:dyDescent="0.25">
      <c r="A112" s="228"/>
      <c r="B112" s="10" t="s">
        <v>65</v>
      </c>
      <c r="C112" s="10" t="s">
        <v>66</v>
      </c>
      <c r="D112" s="10" t="s">
        <v>67</v>
      </c>
      <c r="E112" s="10" t="s">
        <v>68</v>
      </c>
      <c r="F112" s="10" t="s">
        <v>69</v>
      </c>
      <c r="G112" s="10" t="s">
        <v>70</v>
      </c>
      <c r="H112" s="11">
        <v>1</v>
      </c>
      <c r="I112" s="11">
        <v>72.900000000000006</v>
      </c>
      <c r="J112" s="8"/>
      <c r="K112" s="6"/>
      <c r="L112" s="6"/>
      <c r="M112" s="6"/>
      <c r="N112" s="6"/>
    </row>
    <row r="113" spans="1:14" ht="17.100000000000001" customHeight="1" x14ac:dyDescent="0.25">
      <c r="A113" s="228"/>
      <c r="B113" s="10" t="s">
        <v>74</v>
      </c>
      <c r="C113" s="10" t="s">
        <v>68</v>
      </c>
      <c r="D113" s="10" t="s">
        <v>65</v>
      </c>
      <c r="E113" s="10" t="s">
        <v>66</v>
      </c>
      <c r="F113" s="10" t="s">
        <v>69</v>
      </c>
      <c r="G113" s="10" t="s">
        <v>70</v>
      </c>
      <c r="H113" s="11">
        <v>4</v>
      </c>
      <c r="I113" s="11">
        <f>72.9*H113</f>
        <v>291.60000000000002</v>
      </c>
      <c r="J113" s="8"/>
      <c r="K113" s="6"/>
      <c r="L113" s="6"/>
      <c r="M113" s="6"/>
      <c r="N113" s="6"/>
    </row>
    <row r="114" spans="1:14" ht="17.100000000000001" customHeight="1" x14ac:dyDescent="0.25">
      <c r="A114" s="228"/>
      <c r="B114" s="10" t="s">
        <v>65</v>
      </c>
      <c r="C114" s="10" t="s">
        <v>66</v>
      </c>
      <c r="D114" s="10" t="s">
        <v>67</v>
      </c>
      <c r="E114" s="10" t="s">
        <v>68</v>
      </c>
      <c r="F114" s="10" t="s">
        <v>69</v>
      </c>
      <c r="G114" s="10" t="s">
        <v>84</v>
      </c>
      <c r="H114" s="11">
        <v>1</v>
      </c>
      <c r="I114" s="11">
        <f t="shared" ref="I114:I146" si="2">72.9/2</f>
        <v>36.450000000000003</v>
      </c>
      <c r="J114" s="8"/>
      <c r="K114" s="6"/>
      <c r="L114" s="6"/>
      <c r="M114" s="6"/>
      <c r="N114" s="6"/>
    </row>
    <row r="115" spans="1:14" ht="17.100000000000001" customHeight="1" x14ac:dyDescent="0.25">
      <c r="A115" s="228"/>
      <c r="B115" s="10" t="s">
        <v>65</v>
      </c>
      <c r="C115" s="10" t="s">
        <v>66</v>
      </c>
      <c r="D115" s="10" t="s">
        <v>67</v>
      </c>
      <c r="E115" s="10" t="s">
        <v>68</v>
      </c>
      <c r="F115" s="10" t="s">
        <v>69</v>
      </c>
      <c r="G115" s="10" t="s">
        <v>70</v>
      </c>
      <c r="H115" s="11">
        <v>1</v>
      </c>
      <c r="I115" s="11">
        <v>72.900000000000006</v>
      </c>
      <c r="J115" s="8"/>
      <c r="K115" s="6"/>
      <c r="L115" s="6"/>
      <c r="M115" s="6"/>
      <c r="N115" s="6"/>
    </row>
    <row r="116" spans="1:14" ht="17.100000000000001" customHeight="1" x14ac:dyDescent="0.25">
      <c r="A116" s="228"/>
      <c r="B116" s="10" t="s">
        <v>65</v>
      </c>
      <c r="C116" s="10" t="s">
        <v>71</v>
      </c>
      <c r="D116" s="10" t="s">
        <v>72</v>
      </c>
      <c r="E116" s="10" t="s">
        <v>73</v>
      </c>
      <c r="F116" s="10" t="s">
        <v>69</v>
      </c>
      <c r="G116" s="10" t="s">
        <v>70</v>
      </c>
      <c r="H116" s="11">
        <v>2</v>
      </c>
      <c r="I116" s="11">
        <v>147.80000000000001</v>
      </c>
      <c r="J116" s="8"/>
      <c r="K116" s="6"/>
      <c r="L116" s="6"/>
      <c r="M116" s="6"/>
      <c r="N116" s="6"/>
    </row>
    <row r="117" spans="1:14" ht="17.100000000000001" customHeight="1" x14ac:dyDescent="0.25">
      <c r="A117" s="228"/>
      <c r="B117" s="10" t="s">
        <v>65</v>
      </c>
      <c r="C117" s="10" t="s">
        <v>71</v>
      </c>
      <c r="D117" s="10" t="s">
        <v>72</v>
      </c>
      <c r="E117" s="10" t="s">
        <v>73</v>
      </c>
      <c r="F117" s="10" t="s">
        <v>69</v>
      </c>
      <c r="G117" s="10" t="s">
        <v>70</v>
      </c>
      <c r="H117" s="11">
        <v>1</v>
      </c>
      <c r="I117" s="11">
        <f t="shared" si="1"/>
        <v>73.900000000000006</v>
      </c>
      <c r="J117" s="8"/>
      <c r="K117" s="6"/>
      <c r="L117" s="6"/>
      <c r="M117" s="6"/>
      <c r="N117" s="6"/>
    </row>
    <row r="118" spans="1:14" ht="17.100000000000001" customHeight="1" x14ac:dyDescent="0.25">
      <c r="A118" s="228"/>
      <c r="B118" s="10" t="s">
        <v>4</v>
      </c>
      <c r="C118" s="10" t="s">
        <v>66</v>
      </c>
      <c r="D118" s="10" t="s">
        <v>85</v>
      </c>
      <c r="E118" s="10" t="s">
        <v>86</v>
      </c>
      <c r="F118" s="10" t="s">
        <v>69</v>
      </c>
      <c r="G118" s="10" t="s">
        <v>70</v>
      </c>
      <c r="H118" s="11">
        <v>1</v>
      </c>
      <c r="I118" s="11">
        <v>755.4</v>
      </c>
      <c r="J118" s="8"/>
      <c r="K118" s="6"/>
      <c r="L118" s="6"/>
      <c r="M118" s="6"/>
      <c r="N118" s="6"/>
    </row>
    <row r="119" spans="1:14" ht="17.100000000000001" customHeight="1" x14ac:dyDescent="0.25">
      <c r="A119" s="228"/>
      <c r="B119" s="10" t="s">
        <v>74</v>
      </c>
      <c r="C119" s="10" t="s">
        <v>68</v>
      </c>
      <c r="D119" s="10" t="s">
        <v>65</v>
      </c>
      <c r="E119" s="10" t="s">
        <v>66</v>
      </c>
      <c r="F119" s="10" t="s">
        <v>69</v>
      </c>
      <c r="G119" s="10" t="s">
        <v>70</v>
      </c>
      <c r="H119" s="11">
        <v>1</v>
      </c>
      <c r="I119" s="11">
        <v>72.900000000000006</v>
      </c>
      <c r="J119" s="8"/>
      <c r="K119" s="6"/>
      <c r="L119" s="6"/>
      <c r="M119" s="6"/>
      <c r="N119" s="6"/>
    </row>
    <row r="120" spans="1:14" ht="17.100000000000001" customHeight="1" x14ac:dyDescent="0.25">
      <c r="A120" s="228"/>
      <c r="B120" s="10" t="s">
        <v>65</v>
      </c>
      <c r="C120" s="10" t="s">
        <v>66</v>
      </c>
      <c r="D120" s="10" t="s">
        <v>67</v>
      </c>
      <c r="E120" s="10" t="s">
        <v>68</v>
      </c>
      <c r="F120" s="10" t="s">
        <v>69</v>
      </c>
      <c r="G120" s="10" t="s">
        <v>70</v>
      </c>
      <c r="H120" s="11">
        <v>1</v>
      </c>
      <c r="I120" s="11">
        <v>72.900000000000006</v>
      </c>
      <c r="J120" s="8"/>
      <c r="K120" s="6"/>
      <c r="L120" s="6"/>
      <c r="M120" s="6"/>
      <c r="N120" s="6"/>
    </row>
    <row r="121" spans="1:14" ht="17.100000000000001" customHeight="1" x14ac:dyDescent="0.25">
      <c r="A121" s="228"/>
      <c r="B121" s="10" t="s">
        <v>65</v>
      </c>
      <c r="C121" s="10" t="s">
        <v>66</v>
      </c>
      <c r="D121" s="10" t="s">
        <v>67</v>
      </c>
      <c r="E121" s="10" t="s">
        <v>68</v>
      </c>
      <c r="F121" s="10" t="s">
        <v>69</v>
      </c>
      <c r="G121" s="10" t="s">
        <v>70</v>
      </c>
      <c r="H121" s="11">
        <v>1</v>
      </c>
      <c r="I121" s="11">
        <v>72.900000000000006</v>
      </c>
      <c r="J121" s="8"/>
      <c r="K121" s="6"/>
      <c r="L121" s="6"/>
      <c r="M121" s="6"/>
      <c r="N121" s="6"/>
    </row>
    <row r="122" spans="1:14" ht="17.100000000000001" customHeight="1" x14ac:dyDescent="0.25">
      <c r="A122" s="228"/>
      <c r="B122" s="10" t="s">
        <v>65</v>
      </c>
      <c r="C122" s="10" t="s">
        <v>66</v>
      </c>
      <c r="D122" s="10" t="s">
        <v>67</v>
      </c>
      <c r="E122" s="10" t="s">
        <v>68</v>
      </c>
      <c r="F122" s="10" t="s">
        <v>69</v>
      </c>
      <c r="G122" s="10" t="s">
        <v>70</v>
      </c>
      <c r="H122" s="11">
        <v>1</v>
      </c>
      <c r="I122" s="11">
        <v>72.900000000000006</v>
      </c>
      <c r="J122" s="8"/>
      <c r="K122" s="6"/>
      <c r="L122" s="6"/>
      <c r="M122" s="6"/>
      <c r="N122" s="6"/>
    </row>
    <row r="123" spans="1:14" ht="17.100000000000001" customHeight="1" x14ac:dyDescent="0.25">
      <c r="A123" s="228"/>
      <c r="B123" s="10" t="s">
        <v>74</v>
      </c>
      <c r="C123" s="10" t="s">
        <v>68</v>
      </c>
      <c r="D123" s="10" t="s">
        <v>65</v>
      </c>
      <c r="E123" s="10" t="s">
        <v>66</v>
      </c>
      <c r="F123" s="10" t="s">
        <v>69</v>
      </c>
      <c r="G123" s="10" t="s">
        <v>70</v>
      </c>
      <c r="H123" s="11">
        <v>1</v>
      </c>
      <c r="I123" s="11">
        <v>72.900000000000006</v>
      </c>
      <c r="J123" s="8"/>
      <c r="K123" s="6"/>
      <c r="L123" s="6"/>
      <c r="M123" s="6"/>
      <c r="N123" s="6"/>
    </row>
    <row r="124" spans="1:14" ht="17.100000000000001" customHeight="1" x14ac:dyDescent="0.25">
      <c r="A124" s="228"/>
      <c r="B124" s="10" t="s">
        <v>65</v>
      </c>
      <c r="C124" s="10" t="s">
        <v>66</v>
      </c>
      <c r="D124" s="10" t="s">
        <v>67</v>
      </c>
      <c r="E124" s="10" t="s">
        <v>68</v>
      </c>
      <c r="F124" s="10" t="s">
        <v>69</v>
      </c>
      <c r="G124" s="10" t="s">
        <v>70</v>
      </c>
      <c r="H124" s="11">
        <v>4</v>
      </c>
      <c r="I124" s="11">
        <f>72.9*H124</f>
        <v>291.60000000000002</v>
      </c>
      <c r="J124" s="8"/>
      <c r="K124" s="6"/>
      <c r="L124" s="6"/>
      <c r="M124" s="6"/>
      <c r="N124" s="6"/>
    </row>
    <row r="125" spans="1:14" ht="17.100000000000001" customHeight="1" x14ac:dyDescent="0.25">
      <c r="A125" s="228"/>
      <c r="B125" s="10" t="s">
        <v>65</v>
      </c>
      <c r="C125" s="10" t="s">
        <v>66</v>
      </c>
      <c r="D125" s="10" t="s">
        <v>67</v>
      </c>
      <c r="E125" s="10" t="s">
        <v>68</v>
      </c>
      <c r="F125" s="10" t="s">
        <v>69</v>
      </c>
      <c r="G125" s="10" t="s">
        <v>70</v>
      </c>
      <c r="H125" s="11">
        <v>1</v>
      </c>
      <c r="I125" s="11">
        <v>72.900000000000006</v>
      </c>
      <c r="J125" s="8"/>
      <c r="K125" s="6"/>
      <c r="L125" s="6"/>
      <c r="M125" s="6"/>
      <c r="N125" s="6"/>
    </row>
    <row r="126" spans="1:14" ht="17.100000000000001" customHeight="1" x14ac:dyDescent="0.25">
      <c r="A126" s="228"/>
      <c r="B126" s="10" t="s">
        <v>65</v>
      </c>
      <c r="C126" s="10" t="s">
        <v>66</v>
      </c>
      <c r="D126" s="10" t="s">
        <v>67</v>
      </c>
      <c r="E126" s="10" t="s">
        <v>68</v>
      </c>
      <c r="F126" s="10" t="s">
        <v>69</v>
      </c>
      <c r="G126" s="10" t="s">
        <v>70</v>
      </c>
      <c r="H126" s="11">
        <v>1</v>
      </c>
      <c r="I126" s="11">
        <v>72.900000000000006</v>
      </c>
      <c r="J126" s="8"/>
      <c r="K126" s="6"/>
      <c r="L126" s="6"/>
      <c r="M126" s="6"/>
      <c r="N126" s="6"/>
    </row>
    <row r="127" spans="1:14" ht="17.100000000000001" customHeight="1" x14ac:dyDescent="0.25">
      <c r="A127" s="228"/>
      <c r="B127" s="10" t="s">
        <v>65</v>
      </c>
      <c r="C127" s="10" t="s">
        <v>66</v>
      </c>
      <c r="D127" s="10" t="s">
        <v>67</v>
      </c>
      <c r="E127" s="10" t="s">
        <v>68</v>
      </c>
      <c r="F127" s="10" t="s">
        <v>69</v>
      </c>
      <c r="G127" s="10" t="s">
        <v>70</v>
      </c>
      <c r="H127" s="11">
        <v>4</v>
      </c>
      <c r="I127" s="11">
        <f>72.9*H127</f>
        <v>291.60000000000002</v>
      </c>
      <c r="J127" s="8"/>
      <c r="K127" s="6"/>
      <c r="L127" s="6"/>
      <c r="M127" s="6"/>
      <c r="N127" s="6"/>
    </row>
    <row r="128" spans="1:14" ht="17.100000000000001" customHeight="1" x14ac:dyDescent="0.25">
      <c r="A128" s="228"/>
      <c r="B128" s="10" t="s">
        <v>65</v>
      </c>
      <c r="C128" s="10" t="s">
        <v>66</v>
      </c>
      <c r="D128" s="10" t="s">
        <v>67</v>
      </c>
      <c r="E128" s="10" t="s">
        <v>68</v>
      </c>
      <c r="F128" s="10" t="s">
        <v>69</v>
      </c>
      <c r="G128" s="10" t="s">
        <v>70</v>
      </c>
      <c r="H128" s="11">
        <v>1</v>
      </c>
      <c r="I128" s="11">
        <v>72.900000000000006</v>
      </c>
      <c r="J128" s="8"/>
      <c r="K128" s="6"/>
      <c r="L128" s="6"/>
      <c r="M128" s="6"/>
      <c r="N128" s="6"/>
    </row>
    <row r="129" spans="1:14" ht="17.100000000000001" customHeight="1" x14ac:dyDescent="0.25">
      <c r="A129" s="228"/>
      <c r="B129" s="10" t="s">
        <v>65</v>
      </c>
      <c r="C129" s="10" t="s">
        <v>66</v>
      </c>
      <c r="D129" s="10" t="s">
        <v>67</v>
      </c>
      <c r="E129" s="10" t="s">
        <v>68</v>
      </c>
      <c r="F129" s="10" t="s">
        <v>69</v>
      </c>
      <c r="G129" s="10" t="s">
        <v>70</v>
      </c>
      <c r="H129" s="11">
        <v>1</v>
      </c>
      <c r="I129" s="11">
        <v>72.900000000000006</v>
      </c>
      <c r="J129" s="8"/>
      <c r="K129" s="6"/>
      <c r="L129" s="6"/>
      <c r="M129" s="6"/>
      <c r="N129" s="6"/>
    </row>
    <row r="130" spans="1:14" ht="17.100000000000001" customHeight="1" x14ac:dyDescent="0.25">
      <c r="A130" s="228"/>
      <c r="B130" s="10" t="s">
        <v>65</v>
      </c>
      <c r="C130" s="10" t="s">
        <v>66</v>
      </c>
      <c r="D130" s="10" t="s">
        <v>67</v>
      </c>
      <c r="E130" s="10" t="s">
        <v>68</v>
      </c>
      <c r="F130" s="10" t="s">
        <v>69</v>
      </c>
      <c r="G130" s="10" t="s">
        <v>70</v>
      </c>
      <c r="H130" s="11">
        <v>1</v>
      </c>
      <c r="I130" s="11">
        <v>72.900000000000006</v>
      </c>
      <c r="J130" s="8"/>
      <c r="K130" s="6"/>
      <c r="L130" s="6"/>
      <c r="M130" s="6"/>
      <c r="N130" s="6"/>
    </row>
    <row r="131" spans="1:14" ht="17.100000000000001" customHeight="1" x14ac:dyDescent="0.25">
      <c r="A131" s="228"/>
      <c r="B131" s="10" t="s">
        <v>65</v>
      </c>
      <c r="C131" s="10" t="s">
        <v>66</v>
      </c>
      <c r="D131" s="10" t="s">
        <v>67</v>
      </c>
      <c r="E131" s="10" t="s">
        <v>68</v>
      </c>
      <c r="F131" s="10" t="s">
        <v>69</v>
      </c>
      <c r="G131" s="10" t="s">
        <v>70</v>
      </c>
      <c r="H131" s="11">
        <v>1</v>
      </c>
      <c r="I131" s="11">
        <v>72.900000000000006</v>
      </c>
      <c r="J131" s="8"/>
      <c r="K131" s="6"/>
      <c r="L131" s="6"/>
      <c r="M131" s="6"/>
      <c r="N131" s="6"/>
    </row>
    <row r="132" spans="1:14" ht="17.100000000000001" customHeight="1" x14ac:dyDescent="0.25">
      <c r="A132" s="228"/>
      <c r="B132" s="10" t="s">
        <v>65</v>
      </c>
      <c r="C132" s="10" t="s">
        <v>66</v>
      </c>
      <c r="D132" s="10" t="s">
        <v>67</v>
      </c>
      <c r="E132" s="10" t="s">
        <v>68</v>
      </c>
      <c r="F132" s="10" t="s">
        <v>69</v>
      </c>
      <c r="G132" s="10" t="s">
        <v>70</v>
      </c>
      <c r="H132" s="11">
        <v>1</v>
      </c>
      <c r="I132" s="11">
        <v>72.900000000000006</v>
      </c>
      <c r="J132" s="8"/>
      <c r="K132" s="6"/>
      <c r="L132" s="6"/>
      <c r="M132" s="6"/>
      <c r="N132" s="6"/>
    </row>
    <row r="133" spans="1:14" ht="17.100000000000001" customHeight="1" x14ac:dyDescent="0.25">
      <c r="A133" s="228"/>
      <c r="B133" s="10" t="s">
        <v>65</v>
      </c>
      <c r="C133" s="10" t="s">
        <v>66</v>
      </c>
      <c r="D133" s="10" t="s">
        <v>67</v>
      </c>
      <c r="E133" s="10" t="s">
        <v>68</v>
      </c>
      <c r="F133" s="10" t="s">
        <v>69</v>
      </c>
      <c r="G133" s="10" t="s">
        <v>70</v>
      </c>
      <c r="H133" s="11">
        <v>1</v>
      </c>
      <c r="I133" s="11">
        <v>72.900000000000006</v>
      </c>
      <c r="J133" s="8"/>
      <c r="K133" s="6"/>
      <c r="L133" s="6"/>
      <c r="M133" s="6"/>
      <c r="N133" s="6"/>
    </row>
    <row r="134" spans="1:14" ht="17.100000000000001" customHeight="1" x14ac:dyDescent="0.25">
      <c r="A134" s="228"/>
      <c r="B134" s="10" t="s">
        <v>74</v>
      </c>
      <c r="C134" s="10" t="s">
        <v>68</v>
      </c>
      <c r="D134" s="10" t="s">
        <v>65</v>
      </c>
      <c r="E134" s="10" t="s">
        <v>66</v>
      </c>
      <c r="F134" s="10" t="s">
        <v>69</v>
      </c>
      <c r="G134" s="10" t="s">
        <v>70</v>
      </c>
      <c r="H134" s="11">
        <v>1</v>
      </c>
      <c r="I134" s="11">
        <v>72.900000000000006</v>
      </c>
      <c r="J134" s="8"/>
      <c r="K134" s="6"/>
      <c r="L134" s="6"/>
      <c r="M134" s="6"/>
      <c r="N134" s="6"/>
    </row>
    <row r="135" spans="1:14" ht="17.100000000000001" customHeight="1" x14ac:dyDescent="0.25">
      <c r="A135" s="228"/>
      <c r="B135" s="10" t="s">
        <v>65</v>
      </c>
      <c r="C135" s="10" t="s">
        <v>66</v>
      </c>
      <c r="D135" s="10" t="s">
        <v>67</v>
      </c>
      <c r="E135" s="10" t="s">
        <v>68</v>
      </c>
      <c r="F135" s="10" t="s">
        <v>69</v>
      </c>
      <c r="G135" s="10" t="s">
        <v>70</v>
      </c>
      <c r="H135" s="11">
        <v>2</v>
      </c>
      <c r="I135" s="11">
        <f>72.9*H135</f>
        <v>145.80000000000001</v>
      </c>
      <c r="J135" s="8"/>
      <c r="K135" s="6"/>
      <c r="L135" s="6"/>
      <c r="M135" s="6"/>
      <c r="N135" s="6"/>
    </row>
    <row r="136" spans="1:14" ht="17.100000000000001" customHeight="1" x14ac:dyDescent="0.25">
      <c r="A136" s="228"/>
      <c r="B136" s="10" t="s">
        <v>65</v>
      </c>
      <c r="C136" s="10" t="s">
        <v>66</v>
      </c>
      <c r="D136" s="10" t="s">
        <v>67</v>
      </c>
      <c r="E136" s="10" t="s">
        <v>68</v>
      </c>
      <c r="F136" s="10" t="s">
        <v>69</v>
      </c>
      <c r="G136" s="10" t="s">
        <v>70</v>
      </c>
      <c r="H136" s="11">
        <v>1</v>
      </c>
      <c r="I136" s="11">
        <v>72.900000000000006</v>
      </c>
      <c r="J136" s="8"/>
      <c r="K136" s="6"/>
      <c r="L136" s="6"/>
      <c r="M136" s="6"/>
      <c r="N136" s="6"/>
    </row>
    <row r="137" spans="1:14" ht="17.100000000000001" customHeight="1" x14ac:dyDescent="0.25">
      <c r="A137" s="228"/>
      <c r="B137" s="10" t="s">
        <v>74</v>
      </c>
      <c r="C137" s="10" t="s">
        <v>68</v>
      </c>
      <c r="D137" s="10" t="s">
        <v>65</v>
      </c>
      <c r="E137" s="10" t="s">
        <v>66</v>
      </c>
      <c r="F137" s="10" t="s">
        <v>69</v>
      </c>
      <c r="G137" s="10" t="s">
        <v>70</v>
      </c>
      <c r="H137" s="11">
        <v>3</v>
      </c>
      <c r="I137" s="11">
        <f>72.9*H137</f>
        <v>218.70000000000002</v>
      </c>
      <c r="J137" s="8"/>
      <c r="K137" s="6"/>
      <c r="L137" s="6"/>
      <c r="M137" s="6"/>
      <c r="N137" s="6"/>
    </row>
    <row r="138" spans="1:14" ht="17.100000000000001" customHeight="1" x14ac:dyDescent="0.25">
      <c r="A138" s="228"/>
      <c r="B138" s="10" t="s">
        <v>65</v>
      </c>
      <c r="C138" s="10" t="s">
        <v>66</v>
      </c>
      <c r="D138" s="10" t="s">
        <v>67</v>
      </c>
      <c r="E138" s="10" t="s">
        <v>68</v>
      </c>
      <c r="F138" s="10" t="s">
        <v>69</v>
      </c>
      <c r="G138" s="10" t="s">
        <v>70</v>
      </c>
      <c r="H138" s="11">
        <v>1</v>
      </c>
      <c r="I138" s="11">
        <v>72.900000000000006</v>
      </c>
      <c r="J138" s="8"/>
      <c r="K138" s="6"/>
      <c r="L138" s="6"/>
      <c r="M138" s="6"/>
      <c r="N138" s="6"/>
    </row>
    <row r="139" spans="1:14" ht="17.100000000000001" customHeight="1" x14ac:dyDescent="0.25">
      <c r="A139" s="228"/>
      <c r="B139" s="10" t="s">
        <v>65</v>
      </c>
      <c r="C139" s="10" t="s">
        <v>66</v>
      </c>
      <c r="D139" s="10" t="s">
        <v>67</v>
      </c>
      <c r="E139" s="10" t="s">
        <v>68</v>
      </c>
      <c r="F139" s="10" t="s">
        <v>69</v>
      </c>
      <c r="G139" s="10" t="s">
        <v>70</v>
      </c>
      <c r="H139" s="11">
        <v>1</v>
      </c>
      <c r="I139" s="11">
        <v>72.900000000000006</v>
      </c>
      <c r="J139" s="8"/>
      <c r="K139" s="6"/>
      <c r="L139" s="6"/>
      <c r="M139" s="6"/>
      <c r="N139" s="6"/>
    </row>
    <row r="140" spans="1:14" ht="17.100000000000001" customHeight="1" x14ac:dyDescent="0.25">
      <c r="A140" s="228"/>
      <c r="B140" s="10" t="s">
        <v>65</v>
      </c>
      <c r="C140" s="10" t="s">
        <v>66</v>
      </c>
      <c r="D140" s="10" t="s">
        <v>67</v>
      </c>
      <c r="E140" s="10" t="s">
        <v>68</v>
      </c>
      <c r="F140" s="10" t="s">
        <v>69</v>
      </c>
      <c r="G140" s="10" t="s">
        <v>70</v>
      </c>
      <c r="H140" s="11">
        <v>1</v>
      </c>
      <c r="I140" s="11">
        <v>72.900000000000006</v>
      </c>
      <c r="J140" s="8"/>
      <c r="K140" s="6"/>
      <c r="L140" s="6"/>
      <c r="M140" s="6"/>
      <c r="N140" s="6"/>
    </row>
    <row r="141" spans="1:14" ht="17.100000000000001" customHeight="1" x14ac:dyDescent="0.25">
      <c r="A141" s="228"/>
      <c r="B141" s="10" t="s">
        <v>65</v>
      </c>
      <c r="C141" s="10" t="s">
        <v>71</v>
      </c>
      <c r="D141" s="10" t="s">
        <v>72</v>
      </c>
      <c r="E141" s="10" t="s">
        <v>73</v>
      </c>
      <c r="F141" s="10" t="s">
        <v>69</v>
      </c>
      <c r="G141" s="10" t="s">
        <v>70</v>
      </c>
      <c r="H141" s="11">
        <v>1</v>
      </c>
      <c r="I141" s="11">
        <f t="shared" si="1"/>
        <v>73.900000000000006</v>
      </c>
      <c r="J141" s="8"/>
      <c r="K141" s="6"/>
      <c r="L141" s="6"/>
      <c r="M141" s="6"/>
      <c r="N141" s="6"/>
    </row>
    <row r="142" spans="1:14" ht="17.100000000000001" customHeight="1" x14ac:dyDescent="0.25">
      <c r="A142" s="228"/>
      <c r="B142" s="10" t="s">
        <v>65</v>
      </c>
      <c r="C142" s="10" t="s">
        <v>66</v>
      </c>
      <c r="D142" s="10" t="s">
        <v>67</v>
      </c>
      <c r="E142" s="10" t="s">
        <v>68</v>
      </c>
      <c r="F142" s="10" t="s">
        <v>69</v>
      </c>
      <c r="G142" s="10" t="s">
        <v>70</v>
      </c>
      <c r="H142" s="11">
        <v>1</v>
      </c>
      <c r="I142" s="11">
        <v>72.900000000000006</v>
      </c>
      <c r="J142" s="8"/>
      <c r="K142" s="6"/>
      <c r="L142" s="6"/>
      <c r="M142" s="6"/>
      <c r="N142" s="6"/>
    </row>
    <row r="143" spans="1:14" ht="17.100000000000001" customHeight="1" x14ac:dyDescent="0.25">
      <c r="A143" s="228"/>
      <c r="B143" s="10" t="s">
        <v>65</v>
      </c>
      <c r="C143" s="10" t="s">
        <v>66</v>
      </c>
      <c r="D143" s="10" t="s">
        <v>67</v>
      </c>
      <c r="E143" s="10" t="s">
        <v>68</v>
      </c>
      <c r="F143" s="10" t="s">
        <v>69</v>
      </c>
      <c r="G143" s="10" t="s">
        <v>70</v>
      </c>
      <c r="H143" s="11">
        <v>2</v>
      </c>
      <c r="I143" s="11">
        <f>72.9*H143</f>
        <v>145.80000000000001</v>
      </c>
      <c r="J143" s="8"/>
      <c r="K143" s="6"/>
      <c r="L143" s="6"/>
      <c r="M143" s="6"/>
      <c r="N143" s="6"/>
    </row>
    <row r="144" spans="1:14" ht="17.100000000000001" customHeight="1" x14ac:dyDescent="0.25">
      <c r="A144" s="228"/>
      <c r="B144" s="10" t="s">
        <v>65</v>
      </c>
      <c r="C144" s="10" t="s">
        <v>66</v>
      </c>
      <c r="D144" s="10" t="s">
        <v>67</v>
      </c>
      <c r="E144" s="10" t="s">
        <v>68</v>
      </c>
      <c r="F144" s="10" t="s">
        <v>69</v>
      </c>
      <c r="G144" s="10" t="s">
        <v>70</v>
      </c>
      <c r="H144" s="11">
        <v>3</v>
      </c>
      <c r="I144" s="11">
        <f>72.9*H144</f>
        <v>218.70000000000002</v>
      </c>
      <c r="J144" s="8"/>
      <c r="K144" s="6"/>
      <c r="L144" s="6"/>
      <c r="M144" s="6"/>
      <c r="N144" s="6"/>
    </row>
    <row r="145" spans="1:14" ht="17.100000000000001" customHeight="1" x14ac:dyDescent="0.25">
      <c r="A145" s="228"/>
      <c r="B145" s="10" t="s">
        <v>65</v>
      </c>
      <c r="C145" s="10" t="s">
        <v>66</v>
      </c>
      <c r="D145" s="10" t="s">
        <v>67</v>
      </c>
      <c r="E145" s="10" t="s">
        <v>68</v>
      </c>
      <c r="F145" s="10" t="s">
        <v>69</v>
      </c>
      <c r="G145" s="10" t="s">
        <v>70</v>
      </c>
      <c r="H145" s="11">
        <v>1</v>
      </c>
      <c r="I145" s="11">
        <v>72.900000000000006</v>
      </c>
      <c r="J145" s="8"/>
      <c r="K145" s="6"/>
      <c r="L145" s="6"/>
      <c r="M145" s="6"/>
      <c r="N145" s="6"/>
    </row>
    <row r="146" spans="1:14" ht="17.100000000000001" customHeight="1" x14ac:dyDescent="0.25">
      <c r="A146" s="228"/>
      <c r="B146" s="10" t="s">
        <v>74</v>
      </c>
      <c r="C146" s="10" t="s">
        <v>68</v>
      </c>
      <c r="D146" s="10" t="s">
        <v>65</v>
      </c>
      <c r="E146" s="10" t="s">
        <v>66</v>
      </c>
      <c r="F146" s="10" t="s">
        <v>69</v>
      </c>
      <c r="G146" s="10" t="s">
        <v>84</v>
      </c>
      <c r="H146" s="11">
        <v>1</v>
      </c>
      <c r="I146" s="11">
        <f t="shared" si="2"/>
        <v>36.450000000000003</v>
      </c>
      <c r="J146" s="8"/>
      <c r="K146" s="6"/>
      <c r="L146" s="6"/>
      <c r="M146" s="6"/>
      <c r="N146" s="6"/>
    </row>
    <row r="147" spans="1:14" ht="17.100000000000001" customHeight="1" x14ac:dyDescent="0.25">
      <c r="A147" s="229"/>
      <c r="B147" s="230" t="s">
        <v>56</v>
      </c>
      <c r="C147" s="231"/>
      <c r="D147" s="231"/>
      <c r="E147" s="231"/>
      <c r="F147" s="231"/>
      <c r="G147" s="231"/>
      <c r="H147" s="232">
        <f>SUM(I35:I146)</f>
        <v>16904.14999999998</v>
      </c>
      <c r="I147" s="231"/>
      <c r="J147" s="8"/>
      <c r="K147" s="6"/>
      <c r="L147" s="6"/>
      <c r="M147" s="6"/>
      <c r="N147" s="6"/>
    </row>
    <row r="148" spans="1:14" ht="17.100000000000001" customHeight="1" x14ac:dyDescent="0.25">
      <c r="A148" s="235" t="s">
        <v>95</v>
      </c>
      <c r="B148" s="25" t="s">
        <v>96</v>
      </c>
      <c r="C148" s="25" t="s">
        <v>97</v>
      </c>
      <c r="D148" s="25" t="s">
        <v>9</v>
      </c>
      <c r="E148" s="25" t="s">
        <v>98</v>
      </c>
      <c r="F148" s="241" t="s">
        <v>99</v>
      </c>
      <c r="G148" s="242"/>
      <c r="H148" s="241" t="s">
        <v>100</v>
      </c>
      <c r="I148" s="242"/>
      <c r="J148" s="8"/>
      <c r="K148" s="6"/>
      <c r="L148" s="6"/>
      <c r="M148" s="6"/>
      <c r="N148" s="6"/>
    </row>
    <row r="149" spans="1:14" ht="17.100000000000001" customHeight="1" x14ac:dyDescent="0.25">
      <c r="A149" s="236"/>
      <c r="B149" s="10" t="s">
        <v>101</v>
      </c>
      <c r="C149" s="10" t="s">
        <v>102</v>
      </c>
      <c r="D149" s="11">
        <v>290</v>
      </c>
      <c r="E149" s="10" t="s">
        <v>103</v>
      </c>
      <c r="F149" s="232">
        <f>2.5*D149</f>
        <v>725</v>
      </c>
      <c r="G149" s="231"/>
      <c r="H149" s="232">
        <v>1908.34</v>
      </c>
      <c r="I149" s="231"/>
      <c r="J149" s="8"/>
      <c r="K149" s="27"/>
      <c r="L149" s="6"/>
      <c r="M149" s="6"/>
      <c r="N149" s="6"/>
    </row>
    <row r="150" spans="1:14" ht="17.100000000000001" customHeight="1" x14ac:dyDescent="0.25">
      <c r="A150" s="236"/>
      <c r="B150" s="10" t="s">
        <v>101</v>
      </c>
      <c r="C150" s="10" t="s">
        <v>104</v>
      </c>
      <c r="D150" s="11">
        <v>24</v>
      </c>
      <c r="E150" s="10" t="s">
        <v>103</v>
      </c>
      <c r="F150" s="232">
        <f>2.5*D150</f>
        <v>60</v>
      </c>
      <c r="G150" s="231"/>
      <c r="H150" s="232">
        <v>157.93199999999999</v>
      </c>
      <c r="I150" s="231"/>
      <c r="J150" s="8"/>
      <c r="K150" s="6"/>
      <c r="L150" s="6"/>
      <c r="M150" s="6"/>
      <c r="N150" s="6"/>
    </row>
    <row r="151" spans="1:14" ht="17.100000000000001" customHeight="1" x14ac:dyDescent="0.25">
      <c r="A151" s="235" t="s">
        <v>105</v>
      </c>
      <c r="B151" s="28" t="s">
        <v>106</v>
      </c>
      <c r="C151" s="28" t="s">
        <v>9</v>
      </c>
      <c r="D151" s="28" t="s">
        <v>107</v>
      </c>
      <c r="E151" s="28" t="s">
        <v>108</v>
      </c>
      <c r="F151" s="29" t="s">
        <v>109</v>
      </c>
      <c r="G151" s="28" t="s">
        <v>9</v>
      </c>
      <c r="H151" s="28" t="s">
        <v>107</v>
      </c>
      <c r="I151" s="28" t="s">
        <v>110</v>
      </c>
      <c r="J151" s="8"/>
      <c r="K151" s="6"/>
      <c r="L151" s="6"/>
      <c r="M151" s="6"/>
      <c r="N151" s="6"/>
    </row>
    <row r="152" spans="1:14" ht="17.100000000000001" customHeight="1" x14ac:dyDescent="0.25">
      <c r="A152" s="236"/>
      <c r="B152" s="10" t="s">
        <v>111</v>
      </c>
      <c r="C152" s="11">
        <v>571</v>
      </c>
      <c r="D152" s="11">
        <f t="shared" ref="D152:D157" si="3">C152/1000</f>
        <v>0.57099999999999995</v>
      </c>
      <c r="E152" s="11">
        <f>-0.49*1000</f>
        <v>-490</v>
      </c>
      <c r="F152" s="237" t="s">
        <v>112</v>
      </c>
      <c r="G152" s="239">
        <v>5231</v>
      </c>
      <c r="H152" s="243">
        <f>G152/1000</f>
        <v>5.2309999999999999</v>
      </c>
      <c r="I152" s="243">
        <f>0.5*1000</f>
        <v>500</v>
      </c>
      <c r="J152" s="8"/>
      <c r="K152" s="6"/>
      <c r="L152" s="6"/>
      <c r="M152" s="6"/>
      <c r="N152" s="6"/>
    </row>
    <row r="153" spans="1:14" ht="17.100000000000001" customHeight="1" x14ac:dyDescent="0.25">
      <c r="A153" s="236"/>
      <c r="B153" s="10" t="s">
        <v>113</v>
      </c>
      <c r="C153" s="11">
        <v>456</v>
      </c>
      <c r="D153" s="11">
        <f t="shared" si="3"/>
        <v>0.45600000000000002</v>
      </c>
      <c r="E153" s="11">
        <f>-0.36*1000</f>
        <v>-360</v>
      </c>
      <c r="F153" s="238"/>
      <c r="G153" s="240"/>
      <c r="H153" s="244"/>
      <c r="I153" s="244"/>
      <c r="J153" s="8"/>
      <c r="K153" s="6"/>
      <c r="L153" s="6"/>
      <c r="M153" s="6"/>
      <c r="N153" s="6"/>
    </row>
    <row r="154" spans="1:14" ht="17.100000000000001" customHeight="1" x14ac:dyDescent="0.25">
      <c r="A154" s="236"/>
      <c r="B154" s="10" t="s">
        <v>114</v>
      </c>
      <c r="C154" s="11">
        <v>168</v>
      </c>
      <c r="D154" s="11">
        <f t="shared" si="3"/>
        <v>0.16800000000000001</v>
      </c>
      <c r="E154" s="11">
        <f>-0.01*1000</f>
        <v>-10</v>
      </c>
      <c r="F154" s="238"/>
      <c r="G154" s="240"/>
      <c r="H154" s="244"/>
      <c r="I154" s="244"/>
      <c r="J154" s="8"/>
      <c r="K154" s="6"/>
      <c r="L154" s="6"/>
      <c r="M154" s="6"/>
      <c r="N154" s="6"/>
    </row>
    <row r="155" spans="1:14" ht="17.100000000000001" customHeight="1" x14ac:dyDescent="0.25">
      <c r="A155" s="236"/>
      <c r="B155" s="10" t="s">
        <v>115</v>
      </c>
      <c r="C155" s="11">
        <v>141</v>
      </c>
      <c r="D155" s="11">
        <f t="shared" si="3"/>
        <v>0.14099999999999999</v>
      </c>
      <c r="E155" s="11">
        <f>-0.04*1000</f>
        <v>-40</v>
      </c>
      <c r="F155" s="238"/>
      <c r="G155" s="240"/>
      <c r="H155" s="244"/>
      <c r="I155" s="244"/>
      <c r="J155" s="8"/>
      <c r="K155" s="6"/>
      <c r="L155" s="6"/>
      <c r="M155" s="6"/>
      <c r="N155" s="6"/>
    </row>
    <row r="156" spans="1:14" ht="17.100000000000001" customHeight="1" x14ac:dyDescent="0.25">
      <c r="A156" s="236"/>
      <c r="B156" s="10" t="s">
        <v>116</v>
      </c>
      <c r="C156" s="11">
        <v>316</v>
      </c>
      <c r="D156" s="11">
        <f t="shared" si="3"/>
        <v>0.316</v>
      </c>
      <c r="E156" s="11">
        <f>-0.1*1000</f>
        <v>-100</v>
      </c>
      <c r="F156" s="238"/>
      <c r="G156" s="240"/>
      <c r="H156" s="244"/>
      <c r="I156" s="244"/>
      <c r="J156" s="8"/>
      <c r="K156" s="6"/>
      <c r="L156" s="6"/>
      <c r="M156" s="6"/>
      <c r="N156" s="6"/>
    </row>
    <row r="157" spans="1:14" ht="17.100000000000001" customHeight="1" x14ac:dyDescent="0.25">
      <c r="A157" s="236"/>
      <c r="B157" s="10" t="s">
        <v>117</v>
      </c>
      <c r="C157" s="11">
        <v>221</v>
      </c>
      <c r="D157" s="11">
        <f t="shared" si="3"/>
        <v>0.221</v>
      </c>
      <c r="E157" s="11">
        <f>-0.17*1000</f>
        <v>-170</v>
      </c>
      <c r="F157" s="238"/>
      <c r="G157" s="240"/>
      <c r="H157" s="245"/>
      <c r="I157" s="245"/>
      <c r="J157" s="8"/>
      <c r="K157" s="6"/>
      <c r="L157" s="6"/>
      <c r="M157" s="6"/>
      <c r="N157" s="6"/>
    </row>
  </sheetData>
  <mergeCells count="31">
    <mergeCell ref="C8:E8"/>
    <mergeCell ref="L9:M9"/>
    <mergeCell ref="L11:L12"/>
    <mergeCell ref="A13:F13"/>
    <mergeCell ref="A3:G3"/>
    <mergeCell ref="A4:A7"/>
    <mergeCell ref="A16:G16"/>
    <mergeCell ref="A9:A10"/>
    <mergeCell ref="A11:A12"/>
    <mergeCell ref="E11:F11"/>
    <mergeCell ref="E12:F12"/>
    <mergeCell ref="A148:A150"/>
    <mergeCell ref="A151:A157"/>
    <mergeCell ref="F152:F157"/>
    <mergeCell ref="G152:G157"/>
    <mergeCell ref="H148:I148"/>
    <mergeCell ref="H149:I149"/>
    <mergeCell ref="H150:I150"/>
    <mergeCell ref="F148:G148"/>
    <mergeCell ref="F149:G149"/>
    <mergeCell ref="F150:G150"/>
    <mergeCell ref="I152:I157"/>
    <mergeCell ref="H152:H157"/>
    <mergeCell ref="A17:A30"/>
    <mergeCell ref="F30:G30"/>
    <mergeCell ref="B30:E30"/>
    <mergeCell ref="A33:I33"/>
    <mergeCell ref="A34:A147"/>
    <mergeCell ref="B147:G147"/>
    <mergeCell ref="H147:I147"/>
    <mergeCell ref="B17:C17"/>
  </mergeCells>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7"/>
  <sheetViews>
    <sheetView showGridLines="0" workbookViewId="0"/>
  </sheetViews>
  <sheetFormatPr baseColWidth="10" defaultColWidth="10.875" defaultRowHeight="15.75" customHeight="1" x14ac:dyDescent="0.25"/>
  <cols>
    <col min="1" max="1" width="12.125" style="30" customWidth="1"/>
    <col min="2" max="2" width="33.375" style="30" customWidth="1"/>
    <col min="3" max="3" width="10.875" style="30" customWidth="1"/>
    <col min="4" max="4" width="13.875" style="30" customWidth="1"/>
    <col min="5" max="5" width="16.125" style="30" customWidth="1"/>
    <col min="6" max="6" width="11" style="30" customWidth="1"/>
    <col min="7" max="7" width="12.375" style="30" customWidth="1"/>
    <col min="8" max="8" width="12.875" style="30" customWidth="1"/>
    <col min="9" max="256" width="10.875" style="30" customWidth="1"/>
  </cols>
  <sheetData>
    <row r="1" spans="1:14" ht="17.100000000000001" customHeight="1" x14ac:dyDescent="0.25">
      <c r="A1" s="6"/>
      <c r="B1" s="6"/>
      <c r="C1" s="6"/>
      <c r="D1" s="6"/>
      <c r="E1" s="6"/>
      <c r="F1" s="6"/>
      <c r="G1" s="6"/>
      <c r="H1" s="6"/>
      <c r="I1" s="6"/>
      <c r="J1" s="6"/>
      <c r="K1" s="6"/>
      <c r="L1" s="6"/>
      <c r="M1" s="6"/>
      <c r="N1" s="6"/>
    </row>
    <row r="2" spans="1:14" ht="17.100000000000001" customHeight="1" x14ac:dyDescent="0.25">
      <c r="A2" s="7"/>
      <c r="B2" s="7"/>
      <c r="C2" s="7"/>
      <c r="D2" s="7"/>
      <c r="E2" s="7"/>
      <c r="F2" s="7"/>
      <c r="G2" s="7"/>
      <c r="H2" s="6"/>
      <c r="I2" s="6"/>
      <c r="J2" s="6"/>
      <c r="K2" s="6"/>
      <c r="L2" s="6"/>
      <c r="M2" s="6"/>
      <c r="N2" s="6"/>
    </row>
    <row r="3" spans="1:14" ht="17.100000000000001" customHeight="1" x14ac:dyDescent="0.25">
      <c r="A3" s="257" t="s">
        <v>6</v>
      </c>
      <c r="B3" s="258"/>
      <c r="C3" s="258"/>
      <c r="D3" s="258"/>
      <c r="E3" s="258"/>
      <c r="F3" s="258"/>
      <c r="G3" s="258"/>
      <c r="H3" s="8"/>
      <c r="I3" s="6"/>
      <c r="J3" s="6"/>
      <c r="K3" s="6"/>
      <c r="L3" s="6"/>
      <c r="M3" s="6"/>
      <c r="N3" s="6"/>
    </row>
    <row r="4" spans="1:14" ht="17.100000000000001" customHeight="1" x14ac:dyDescent="0.25">
      <c r="A4" s="259" t="s">
        <v>7</v>
      </c>
      <c r="B4" s="9" t="s">
        <v>8</v>
      </c>
      <c r="C4" s="9" t="s">
        <v>9</v>
      </c>
      <c r="D4" s="9" t="s">
        <v>10</v>
      </c>
      <c r="E4" s="9" t="s">
        <v>11</v>
      </c>
      <c r="F4" s="9" t="s">
        <v>12</v>
      </c>
      <c r="G4" s="9" t="s">
        <v>13</v>
      </c>
      <c r="H4" s="8"/>
      <c r="I4" s="6"/>
      <c r="J4" s="6"/>
      <c r="K4" s="6"/>
      <c r="L4" s="6"/>
      <c r="M4" s="6"/>
      <c r="N4" s="6"/>
    </row>
    <row r="5" spans="1:14" ht="17.100000000000001" customHeight="1" x14ac:dyDescent="0.25">
      <c r="A5" s="260"/>
      <c r="B5" s="10" t="s">
        <v>119</v>
      </c>
      <c r="C5" s="11">
        <v>1975</v>
      </c>
      <c r="D5" s="10" t="s">
        <v>15</v>
      </c>
      <c r="E5" s="12"/>
      <c r="F5" s="11">
        <v>10.148999999999999</v>
      </c>
      <c r="G5" s="11">
        <f>F5*C5</f>
        <v>20044.274999999998</v>
      </c>
      <c r="H5" s="8"/>
      <c r="I5" s="6"/>
      <c r="J5" s="6"/>
      <c r="K5" s="6"/>
      <c r="L5" s="6"/>
      <c r="M5" s="6"/>
      <c r="N5" s="6"/>
    </row>
    <row r="6" spans="1:14" ht="17.100000000000001" customHeight="1" x14ac:dyDescent="0.25">
      <c r="A6" s="261"/>
      <c r="B6" s="10" t="s">
        <v>18</v>
      </c>
      <c r="C6" s="11">
        <f>15*3</f>
        <v>45</v>
      </c>
      <c r="D6" s="10" t="s">
        <v>15</v>
      </c>
      <c r="E6" s="12"/>
      <c r="F6" s="11">
        <v>8.8085000000000004</v>
      </c>
      <c r="G6" s="11">
        <f>F6*C6</f>
        <v>396.38249999999999</v>
      </c>
      <c r="H6" s="8"/>
      <c r="I6" s="6"/>
      <c r="J6" s="6"/>
      <c r="K6" s="6"/>
      <c r="L6" s="6"/>
      <c r="M6" s="6"/>
      <c r="N6" s="6"/>
    </row>
    <row r="7" spans="1:14" ht="17.100000000000001" customHeight="1" x14ac:dyDescent="0.25">
      <c r="A7" s="259" t="s">
        <v>19</v>
      </c>
      <c r="B7" s="9" t="s">
        <v>20</v>
      </c>
      <c r="C7" s="250" t="s">
        <v>21</v>
      </c>
      <c r="D7" s="252"/>
      <c r="E7" s="251"/>
      <c r="F7" s="9" t="s">
        <v>12</v>
      </c>
      <c r="G7" s="9" t="s">
        <v>13</v>
      </c>
      <c r="H7" s="8"/>
      <c r="I7" s="6"/>
      <c r="J7" s="6"/>
      <c r="K7" s="6"/>
      <c r="L7" s="6"/>
      <c r="M7" s="6"/>
      <c r="N7" s="6"/>
    </row>
    <row r="8" spans="1:14" ht="17.100000000000001" customHeight="1" x14ac:dyDescent="0.25">
      <c r="A8" s="261"/>
      <c r="B8" s="10" t="s">
        <v>120</v>
      </c>
      <c r="C8" s="275">
        <v>300</v>
      </c>
      <c r="D8" s="276"/>
      <c r="E8" s="277"/>
      <c r="F8" s="11">
        <v>15</v>
      </c>
      <c r="G8" s="11">
        <f>F8*C8</f>
        <v>4500</v>
      </c>
      <c r="H8" s="8"/>
      <c r="I8" s="6"/>
      <c r="J8" s="6"/>
      <c r="K8" s="6"/>
      <c r="L8" s="6"/>
      <c r="M8" s="6"/>
      <c r="N8" s="6"/>
    </row>
    <row r="9" spans="1:14" ht="17.100000000000001" customHeight="1" x14ac:dyDescent="0.25">
      <c r="A9" s="259" t="s">
        <v>23</v>
      </c>
      <c r="B9" s="9" t="s">
        <v>20</v>
      </c>
      <c r="C9" s="9" t="s">
        <v>24</v>
      </c>
      <c r="D9" s="9" t="s">
        <v>25</v>
      </c>
      <c r="E9" s="9" t="s">
        <v>26</v>
      </c>
      <c r="F9" s="9" t="s">
        <v>12</v>
      </c>
      <c r="G9" s="9" t="s">
        <v>13</v>
      </c>
      <c r="H9" s="8"/>
      <c r="I9" s="6"/>
      <c r="J9" s="6"/>
      <c r="K9" s="6"/>
      <c r="L9" s="6"/>
      <c r="M9" s="6"/>
      <c r="N9" s="6"/>
    </row>
    <row r="10" spans="1:14" ht="17.100000000000001" customHeight="1" x14ac:dyDescent="0.25">
      <c r="A10" s="260"/>
      <c r="B10" s="10" t="s">
        <v>28</v>
      </c>
      <c r="C10" s="11">
        <v>15</v>
      </c>
      <c r="D10" s="11">
        <v>8.15</v>
      </c>
      <c r="E10" s="11">
        <f>D10*C10</f>
        <v>122.25</v>
      </c>
      <c r="F10" s="11">
        <v>0</v>
      </c>
      <c r="G10" s="11">
        <f>F10*E10</f>
        <v>0</v>
      </c>
      <c r="H10" s="8"/>
      <c r="I10" s="6"/>
      <c r="J10" s="6"/>
      <c r="K10" s="6"/>
      <c r="L10" s="6"/>
      <c r="M10" s="6"/>
      <c r="N10" s="6"/>
    </row>
    <row r="11" spans="1:14" ht="17.100000000000001" customHeight="1" x14ac:dyDescent="0.25">
      <c r="A11" s="260"/>
      <c r="B11" s="10" t="s">
        <v>121</v>
      </c>
      <c r="C11" s="11">
        <v>5</v>
      </c>
      <c r="D11" s="11">
        <v>10</v>
      </c>
      <c r="E11" s="11">
        <f>C11*D11</f>
        <v>50</v>
      </c>
      <c r="F11" s="11">
        <v>1</v>
      </c>
      <c r="G11" s="11">
        <f>F11*E11</f>
        <v>50</v>
      </c>
      <c r="H11" s="8"/>
      <c r="I11" s="6"/>
      <c r="J11" s="6"/>
      <c r="K11" s="6"/>
      <c r="L11" s="6"/>
      <c r="M11" s="6"/>
      <c r="N11" s="6"/>
    </row>
    <row r="12" spans="1:14" ht="17.100000000000001" customHeight="1" x14ac:dyDescent="0.25">
      <c r="A12" s="261"/>
      <c r="B12" s="10" t="s">
        <v>121</v>
      </c>
      <c r="C12" s="11">
        <v>4</v>
      </c>
      <c r="D12" s="11">
        <v>15</v>
      </c>
      <c r="E12" s="31">
        <f>D12*C12</f>
        <v>60</v>
      </c>
      <c r="F12" s="32">
        <v>1</v>
      </c>
      <c r="G12" s="11">
        <f>F12*E12</f>
        <v>60</v>
      </c>
      <c r="H12" s="8"/>
      <c r="I12" s="6"/>
      <c r="J12" s="6"/>
      <c r="K12" s="6"/>
      <c r="L12" s="6"/>
      <c r="M12" s="6"/>
      <c r="N12" s="6"/>
    </row>
    <row r="13" spans="1:14" ht="17.100000000000001" customHeight="1" x14ac:dyDescent="0.25">
      <c r="A13" s="262" t="s">
        <v>29</v>
      </c>
      <c r="B13" s="9" t="s">
        <v>20</v>
      </c>
      <c r="C13" s="9" t="s">
        <v>9</v>
      </c>
      <c r="D13" s="9" t="s">
        <v>30</v>
      </c>
      <c r="E13" s="273" t="s">
        <v>12</v>
      </c>
      <c r="F13" s="274"/>
      <c r="G13" s="9" t="s">
        <v>13</v>
      </c>
      <c r="H13" s="8"/>
      <c r="I13" s="6"/>
      <c r="J13" s="6"/>
      <c r="K13" s="6"/>
      <c r="L13" s="6"/>
      <c r="M13" s="6"/>
      <c r="N13" s="6"/>
    </row>
    <row r="14" spans="1:14" ht="17.100000000000001" customHeight="1" x14ac:dyDescent="0.25">
      <c r="A14" s="263"/>
      <c r="B14" s="10" t="s">
        <v>34</v>
      </c>
      <c r="C14" s="11">
        <f>(50*6)+200.44+12+20+50</f>
        <v>582.44000000000005</v>
      </c>
      <c r="D14" s="10" t="s">
        <v>33</v>
      </c>
      <c r="E14" s="232">
        <v>298</v>
      </c>
      <c r="F14" s="231"/>
      <c r="G14" s="11">
        <f>C14*E14</f>
        <v>173567.12000000002</v>
      </c>
      <c r="H14" s="8"/>
      <c r="I14" s="6"/>
      <c r="J14" s="6"/>
      <c r="K14" s="6"/>
      <c r="L14" s="6"/>
      <c r="M14" s="6"/>
      <c r="N14" s="6"/>
    </row>
    <row r="15" spans="1:14" ht="17.100000000000001" customHeight="1" x14ac:dyDescent="0.25">
      <c r="A15" s="263"/>
      <c r="B15" s="10" t="s">
        <v>36</v>
      </c>
      <c r="C15" s="11">
        <v>50</v>
      </c>
      <c r="D15" s="10" t="s">
        <v>33</v>
      </c>
      <c r="E15" s="232">
        <v>3.6</v>
      </c>
      <c r="F15" s="231"/>
      <c r="G15" s="11">
        <f>C15*E15</f>
        <v>180</v>
      </c>
      <c r="H15" s="8"/>
      <c r="I15" s="6"/>
      <c r="J15" s="6"/>
      <c r="K15" s="6"/>
      <c r="L15" s="6"/>
      <c r="M15" s="6"/>
      <c r="N15" s="6"/>
    </row>
    <row r="16" spans="1:14" ht="17.100000000000001" customHeight="1" x14ac:dyDescent="0.25">
      <c r="A16" s="255" t="s">
        <v>35</v>
      </c>
      <c r="B16" s="256"/>
      <c r="C16" s="256"/>
      <c r="D16" s="256"/>
      <c r="E16" s="256"/>
      <c r="F16" s="256"/>
      <c r="G16" s="11">
        <f>G5+G15+G14+G12+G11+G10+G8+G6</f>
        <v>198797.77750000003</v>
      </c>
      <c r="H16" s="8"/>
      <c r="I16" s="6"/>
      <c r="J16" s="6"/>
      <c r="K16" s="6"/>
      <c r="L16" s="6"/>
      <c r="M16" s="6"/>
      <c r="N16" s="6"/>
    </row>
    <row r="17" spans="1:14" ht="17.100000000000001" customHeight="1" x14ac:dyDescent="0.25">
      <c r="A17" s="33"/>
      <c r="B17" s="34"/>
      <c r="C17" s="35"/>
      <c r="D17" s="17"/>
      <c r="E17" s="17"/>
      <c r="F17" s="17"/>
      <c r="G17" s="17"/>
      <c r="H17" s="6"/>
      <c r="I17" s="6"/>
      <c r="J17" s="6"/>
      <c r="K17" s="6"/>
      <c r="L17" s="6"/>
      <c r="M17" s="6"/>
      <c r="N17" s="6"/>
    </row>
    <row r="18" spans="1:14" ht="17.100000000000001" customHeight="1" x14ac:dyDescent="0.25">
      <c r="A18" s="7"/>
      <c r="B18" s="7"/>
      <c r="C18" s="7"/>
      <c r="D18" s="7"/>
      <c r="E18" s="7"/>
      <c r="F18" s="7"/>
      <c r="G18" s="6"/>
      <c r="H18" s="6"/>
      <c r="I18" s="6"/>
      <c r="J18" s="6"/>
      <c r="K18" s="6"/>
      <c r="L18" s="6"/>
      <c r="M18" s="6"/>
      <c r="N18" s="6"/>
    </row>
    <row r="19" spans="1:14" ht="17.100000000000001" customHeight="1" x14ac:dyDescent="0.25">
      <c r="A19" s="264" t="s">
        <v>37</v>
      </c>
      <c r="B19" s="265"/>
      <c r="C19" s="265"/>
      <c r="D19" s="265"/>
      <c r="E19" s="265"/>
      <c r="F19" s="266"/>
      <c r="G19" s="8"/>
      <c r="H19" s="6"/>
      <c r="I19" s="6"/>
      <c r="J19" s="6"/>
      <c r="K19" s="6"/>
      <c r="L19" s="6"/>
      <c r="M19" s="6"/>
      <c r="N19" s="6"/>
    </row>
    <row r="20" spans="1:14" ht="17.100000000000001" customHeight="1" x14ac:dyDescent="0.25">
      <c r="A20" s="267" t="s">
        <v>38</v>
      </c>
      <c r="B20" s="20" t="s">
        <v>39</v>
      </c>
      <c r="C20" s="20" t="s">
        <v>40</v>
      </c>
      <c r="D20" s="20" t="s">
        <v>41</v>
      </c>
      <c r="E20" s="20" t="s">
        <v>42</v>
      </c>
      <c r="F20" s="20" t="s">
        <v>13</v>
      </c>
      <c r="G20" s="8"/>
      <c r="H20" s="6"/>
      <c r="I20" s="6"/>
      <c r="J20" s="6"/>
      <c r="K20" s="6"/>
      <c r="L20" s="6"/>
      <c r="M20" s="6"/>
      <c r="N20" s="6"/>
    </row>
    <row r="21" spans="1:14" ht="17.100000000000001" customHeight="1" x14ac:dyDescent="0.25">
      <c r="A21" s="268"/>
      <c r="B21" s="10" t="s">
        <v>122</v>
      </c>
      <c r="C21" s="11">
        <v>324</v>
      </c>
      <c r="D21" s="10" t="s">
        <v>123</v>
      </c>
      <c r="E21" s="24">
        <v>0.12</v>
      </c>
      <c r="F21" s="11">
        <f t="shared" ref="F21:F52" si="0">E21*C21</f>
        <v>38.879999999999995</v>
      </c>
      <c r="G21" s="8"/>
      <c r="H21" s="6"/>
      <c r="I21" s="6"/>
      <c r="J21" s="6"/>
      <c r="K21" s="6"/>
      <c r="L21" s="6"/>
      <c r="M21" s="6"/>
      <c r="N21" s="6"/>
    </row>
    <row r="22" spans="1:14" ht="17.100000000000001" customHeight="1" x14ac:dyDescent="0.25">
      <c r="A22" s="268"/>
      <c r="B22" s="10" t="s">
        <v>124</v>
      </c>
      <c r="C22" s="11">
        <v>642</v>
      </c>
      <c r="D22" s="10" t="s">
        <v>123</v>
      </c>
      <c r="E22" s="24">
        <v>0.12</v>
      </c>
      <c r="F22" s="11">
        <f t="shared" si="0"/>
        <v>77.039999999999992</v>
      </c>
      <c r="G22" s="8"/>
      <c r="H22" s="6"/>
      <c r="I22" s="6"/>
      <c r="J22" s="6"/>
      <c r="K22" s="6"/>
      <c r="L22" s="6"/>
      <c r="M22" s="6"/>
      <c r="N22" s="6"/>
    </row>
    <row r="23" spans="1:14" ht="17.100000000000001" customHeight="1" x14ac:dyDescent="0.25">
      <c r="A23" s="268"/>
      <c r="B23" s="10" t="s">
        <v>125</v>
      </c>
      <c r="C23" s="11">
        <v>7440</v>
      </c>
      <c r="D23" s="10" t="s">
        <v>123</v>
      </c>
      <c r="E23" s="24">
        <v>0.12</v>
      </c>
      <c r="F23" s="11">
        <f t="shared" si="0"/>
        <v>892.8</v>
      </c>
      <c r="G23" s="8"/>
      <c r="H23" s="6"/>
      <c r="I23" s="6"/>
      <c r="J23" s="6"/>
      <c r="K23" s="6"/>
      <c r="L23" s="6"/>
      <c r="M23" s="6"/>
      <c r="N23" s="6"/>
    </row>
    <row r="24" spans="1:14" ht="17.100000000000001" customHeight="1" x14ac:dyDescent="0.25">
      <c r="A24" s="268"/>
      <c r="B24" s="10" t="s">
        <v>126</v>
      </c>
      <c r="C24" s="11">
        <v>628</v>
      </c>
      <c r="D24" s="10" t="s">
        <v>123</v>
      </c>
      <c r="E24" s="24">
        <v>0.12</v>
      </c>
      <c r="F24" s="11">
        <f t="shared" si="0"/>
        <v>75.36</v>
      </c>
      <c r="G24" s="8"/>
      <c r="H24" s="6"/>
      <c r="I24" s="6"/>
      <c r="J24" s="6"/>
      <c r="K24" s="6"/>
      <c r="L24" s="6"/>
      <c r="M24" s="6"/>
      <c r="N24" s="6"/>
    </row>
    <row r="25" spans="1:14" ht="17.100000000000001" customHeight="1" x14ac:dyDescent="0.25">
      <c r="A25" s="268"/>
      <c r="B25" s="10" t="s">
        <v>127</v>
      </c>
      <c r="C25" s="11">
        <v>72009</v>
      </c>
      <c r="D25" s="10" t="s">
        <v>123</v>
      </c>
      <c r="E25" s="24">
        <v>0.12</v>
      </c>
      <c r="F25" s="11">
        <f t="shared" si="0"/>
        <v>8641.08</v>
      </c>
      <c r="G25" s="8"/>
      <c r="H25" s="6"/>
      <c r="I25" s="6"/>
      <c r="J25" s="6"/>
      <c r="K25" s="6"/>
      <c r="L25" s="6"/>
      <c r="M25" s="6"/>
      <c r="N25" s="6"/>
    </row>
    <row r="26" spans="1:14" ht="17.100000000000001" customHeight="1" x14ac:dyDescent="0.25">
      <c r="A26" s="268"/>
      <c r="B26" s="10" t="s">
        <v>128</v>
      </c>
      <c r="C26" s="11">
        <v>962</v>
      </c>
      <c r="D26" s="10" t="s">
        <v>129</v>
      </c>
      <c r="E26" s="24">
        <v>0.12</v>
      </c>
      <c r="F26" s="11">
        <f t="shared" si="0"/>
        <v>115.44</v>
      </c>
      <c r="G26" s="8"/>
      <c r="H26" s="6"/>
      <c r="I26" s="6"/>
      <c r="J26" s="6"/>
      <c r="K26" s="6"/>
      <c r="L26" s="6"/>
      <c r="M26" s="6"/>
      <c r="N26" s="6"/>
    </row>
    <row r="27" spans="1:14" ht="17.100000000000001" customHeight="1" x14ac:dyDescent="0.25">
      <c r="A27" s="268"/>
      <c r="B27" s="10" t="s">
        <v>130</v>
      </c>
      <c r="C27" s="11">
        <v>774</v>
      </c>
      <c r="D27" s="10" t="s">
        <v>129</v>
      </c>
      <c r="E27" s="24">
        <v>0.12</v>
      </c>
      <c r="F27" s="11">
        <f t="shared" si="0"/>
        <v>92.88</v>
      </c>
      <c r="G27" s="8"/>
      <c r="H27" s="6"/>
      <c r="I27" s="6"/>
      <c r="J27" s="6"/>
      <c r="K27" s="6"/>
      <c r="L27" s="6"/>
      <c r="M27" s="6"/>
      <c r="N27" s="6"/>
    </row>
    <row r="28" spans="1:14" ht="17.100000000000001" customHeight="1" x14ac:dyDescent="0.25">
      <c r="A28" s="268"/>
      <c r="B28" s="10" t="s">
        <v>131</v>
      </c>
      <c r="C28" s="11">
        <v>7760</v>
      </c>
      <c r="D28" s="10" t="s">
        <v>129</v>
      </c>
      <c r="E28" s="24">
        <v>0.12</v>
      </c>
      <c r="F28" s="11">
        <f t="shared" si="0"/>
        <v>931.19999999999993</v>
      </c>
      <c r="G28" s="8"/>
      <c r="H28" s="6"/>
      <c r="I28" s="6"/>
      <c r="J28" s="6"/>
      <c r="K28" s="6"/>
      <c r="L28" s="6"/>
      <c r="M28" s="6"/>
      <c r="N28" s="6"/>
    </row>
    <row r="29" spans="1:14" ht="17.100000000000001" customHeight="1" x14ac:dyDescent="0.25">
      <c r="A29" s="268"/>
      <c r="B29" s="10" t="s">
        <v>132</v>
      </c>
      <c r="C29" s="11">
        <v>404</v>
      </c>
      <c r="D29" s="10" t="s">
        <v>129</v>
      </c>
      <c r="E29" s="24">
        <v>0.12</v>
      </c>
      <c r="F29" s="11">
        <f t="shared" si="0"/>
        <v>48.48</v>
      </c>
      <c r="G29" s="8"/>
      <c r="H29" s="6"/>
      <c r="I29" s="6"/>
      <c r="J29" s="6"/>
      <c r="K29" s="6"/>
      <c r="L29" s="6"/>
      <c r="M29" s="6"/>
      <c r="N29" s="6"/>
    </row>
    <row r="30" spans="1:14" ht="17.100000000000001" customHeight="1" x14ac:dyDescent="0.25">
      <c r="A30" s="268"/>
      <c r="B30" s="10" t="s">
        <v>133</v>
      </c>
      <c r="C30" s="11">
        <v>71678</v>
      </c>
      <c r="D30" s="10" t="s">
        <v>129</v>
      </c>
      <c r="E30" s="24">
        <v>0.12</v>
      </c>
      <c r="F30" s="11">
        <f t="shared" si="0"/>
        <v>8601.36</v>
      </c>
      <c r="G30" s="8"/>
      <c r="H30" s="6"/>
      <c r="I30" s="6"/>
      <c r="J30" s="6"/>
      <c r="K30" s="6"/>
      <c r="L30" s="6"/>
      <c r="M30" s="6"/>
      <c r="N30" s="6"/>
    </row>
    <row r="31" spans="1:14" ht="17.100000000000001" customHeight="1" x14ac:dyDescent="0.25">
      <c r="A31" s="268"/>
      <c r="B31" s="10" t="s">
        <v>134</v>
      </c>
      <c r="C31" s="11">
        <v>1232</v>
      </c>
      <c r="D31" s="10" t="s">
        <v>135</v>
      </c>
      <c r="E31" s="24">
        <v>0.12</v>
      </c>
      <c r="F31" s="11">
        <f t="shared" si="0"/>
        <v>147.84</v>
      </c>
      <c r="G31" s="8"/>
      <c r="H31" s="6"/>
      <c r="I31" s="6"/>
      <c r="J31" s="6"/>
      <c r="K31" s="6"/>
      <c r="L31" s="6"/>
      <c r="M31" s="6"/>
      <c r="N31" s="6"/>
    </row>
    <row r="32" spans="1:14" ht="17.100000000000001" customHeight="1" x14ac:dyDescent="0.25">
      <c r="A32" s="268"/>
      <c r="B32" s="10" t="s">
        <v>136</v>
      </c>
      <c r="C32" s="11">
        <v>663</v>
      </c>
      <c r="D32" s="10" t="s">
        <v>135</v>
      </c>
      <c r="E32" s="24">
        <v>0.12</v>
      </c>
      <c r="F32" s="11">
        <f t="shared" si="0"/>
        <v>79.56</v>
      </c>
      <c r="G32" s="8"/>
      <c r="H32" s="6"/>
      <c r="I32" s="6"/>
      <c r="J32" s="6"/>
      <c r="K32" s="6"/>
      <c r="L32" s="6"/>
      <c r="M32" s="6"/>
      <c r="N32" s="6"/>
    </row>
    <row r="33" spans="1:14" ht="17.100000000000001" customHeight="1" x14ac:dyDescent="0.25">
      <c r="A33" s="268"/>
      <c r="B33" s="10" t="s">
        <v>137</v>
      </c>
      <c r="C33" s="11">
        <v>15600</v>
      </c>
      <c r="D33" s="10" t="s">
        <v>135</v>
      </c>
      <c r="E33" s="24">
        <v>0.12</v>
      </c>
      <c r="F33" s="11">
        <f t="shared" si="0"/>
        <v>1872</v>
      </c>
      <c r="G33" s="8"/>
      <c r="H33" s="6"/>
      <c r="I33" s="6"/>
      <c r="J33" s="6"/>
      <c r="K33" s="6"/>
      <c r="L33" s="6"/>
      <c r="M33" s="6"/>
      <c r="N33" s="6"/>
    </row>
    <row r="34" spans="1:14" ht="17.100000000000001" customHeight="1" x14ac:dyDescent="0.25">
      <c r="A34" s="268"/>
      <c r="B34" s="10" t="s">
        <v>138</v>
      </c>
      <c r="C34" s="11">
        <v>1061</v>
      </c>
      <c r="D34" s="10" t="s">
        <v>135</v>
      </c>
      <c r="E34" s="24">
        <v>0.12</v>
      </c>
      <c r="F34" s="11">
        <f t="shared" si="0"/>
        <v>127.32</v>
      </c>
      <c r="G34" s="8"/>
      <c r="H34" s="6"/>
      <c r="I34" s="6"/>
      <c r="J34" s="6"/>
      <c r="K34" s="6"/>
      <c r="L34" s="6"/>
      <c r="M34" s="6"/>
      <c r="N34" s="6"/>
    </row>
    <row r="35" spans="1:14" ht="17.100000000000001" customHeight="1" x14ac:dyDescent="0.25">
      <c r="A35" s="268"/>
      <c r="B35" s="10" t="s">
        <v>139</v>
      </c>
      <c r="C35" s="11">
        <v>121455</v>
      </c>
      <c r="D35" s="10" t="s">
        <v>135</v>
      </c>
      <c r="E35" s="24">
        <v>0.12</v>
      </c>
      <c r="F35" s="11">
        <f t="shared" si="0"/>
        <v>14574.6</v>
      </c>
      <c r="G35" s="8"/>
      <c r="H35" s="6"/>
      <c r="I35" s="6"/>
      <c r="J35" s="6"/>
      <c r="K35" s="6"/>
      <c r="L35" s="6"/>
      <c r="M35" s="6"/>
      <c r="N35" s="6"/>
    </row>
    <row r="36" spans="1:14" ht="17.100000000000001" customHeight="1" x14ac:dyDescent="0.25">
      <c r="A36" s="268"/>
      <c r="B36" s="10" t="s">
        <v>140</v>
      </c>
      <c r="C36" s="11">
        <v>858</v>
      </c>
      <c r="D36" s="10" t="s">
        <v>141</v>
      </c>
      <c r="E36" s="24">
        <v>0.12</v>
      </c>
      <c r="F36" s="11">
        <f t="shared" si="0"/>
        <v>102.96</v>
      </c>
      <c r="G36" s="8"/>
      <c r="H36" s="6"/>
      <c r="I36" s="6"/>
      <c r="J36" s="6"/>
      <c r="K36" s="6"/>
      <c r="L36" s="6"/>
      <c r="M36" s="6"/>
      <c r="N36" s="6"/>
    </row>
    <row r="37" spans="1:14" ht="17.100000000000001" customHeight="1" x14ac:dyDescent="0.25">
      <c r="A37" s="268"/>
      <c r="B37" s="10" t="s">
        <v>142</v>
      </c>
      <c r="C37" s="11">
        <v>476</v>
      </c>
      <c r="D37" s="10" t="s">
        <v>141</v>
      </c>
      <c r="E37" s="24">
        <v>0.12</v>
      </c>
      <c r="F37" s="11">
        <f t="shared" si="0"/>
        <v>57.12</v>
      </c>
      <c r="G37" s="8"/>
      <c r="H37" s="6"/>
      <c r="I37" s="6"/>
      <c r="J37" s="6"/>
      <c r="K37" s="6"/>
      <c r="L37" s="6"/>
      <c r="M37" s="6"/>
      <c r="N37" s="6"/>
    </row>
    <row r="38" spans="1:14" ht="17.100000000000001" customHeight="1" x14ac:dyDescent="0.25">
      <c r="A38" s="268"/>
      <c r="B38" s="10" t="s">
        <v>143</v>
      </c>
      <c r="C38" s="11">
        <v>13520</v>
      </c>
      <c r="D38" s="10" t="s">
        <v>141</v>
      </c>
      <c r="E38" s="24">
        <v>0.12</v>
      </c>
      <c r="F38" s="11">
        <f t="shared" si="0"/>
        <v>1622.3999999999999</v>
      </c>
      <c r="G38" s="8"/>
      <c r="H38" s="6"/>
      <c r="I38" s="6"/>
      <c r="J38" s="6"/>
      <c r="K38" s="6"/>
      <c r="L38" s="6"/>
      <c r="M38" s="6"/>
      <c r="N38" s="6"/>
    </row>
    <row r="39" spans="1:14" ht="17.100000000000001" customHeight="1" x14ac:dyDescent="0.25">
      <c r="A39" s="268"/>
      <c r="B39" s="10" t="s">
        <v>144</v>
      </c>
      <c r="C39" s="11">
        <v>1383</v>
      </c>
      <c r="D39" s="10" t="s">
        <v>141</v>
      </c>
      <c r="E39" s="24">
        <v>0.12</v>
      </c>
      <c r="F39" s="11">
        <f t="shared" si="0"/>
        <v>165.96</v>
      </c>
      <c r="G39" s="8"/>
      <c r="H39" s="6"/>
      <c r="I39" s="6"/>
      <c r="J39" s="6"/>
      <c r="K39" s="6"/>
      <c r="L39" s="6"/>
      <c r="M39" s="6"/>
      <c r="N39" s="6"/>
    </row>
    <row r="40" spans="1:14" ht="17.100000000000001" customHeight="1" x14ac:dyDescent="0.25">
      <c r="A40" s="268"/>
      <c r="B40" s="10" t="s">
        <v>145</v>
      </c>
      <c r="C40" s="11">
        <v>120234</v>
      </c>
      <c r="D40" s="10" t="s">
        <v>141</v>
      </c>
      <c r="E40" s="24">
        <v>0.12</v>
      </c>
      <c r="F40" s="11">
        <f t="shared" si="0"/>
        <v>14428.08</v>
      </c>
      <c r="G40" s="8"/>
      <c r="H40" s="6"/>
      <c r="I40" s="6"/>
      <c r="J40" s="6"/>
      <c r="K40" s="6"/>
      <c r="L40" s="6"/>
      <c r="M40" s="6"/>
      <c r="N40" s="6"/>
    </row>
    <row r="41" spans="1:14" ht="17.100000000000001" customHeight="1" x14ac:dyDescent="0.25">
      <c r="A41" s="268"/>
      <c r="B41" s="10" t="s">
        <v>146</v>
      </c>
      <c r="C41" s="11">
        <v>940</v>
      </c>
      <c r="D41" s="10" t="s">
        <v>147</v>
      </c>
      <c r="E41" s="24">
        <v>0.12</v>
      </c>
      <c r="F41" s="11">
        <f t="shared" si="0"/>
        <v>112.8</v>
      </c>
      <c r="G41" s="8"/>
      <c r="H41" s="6"/>
      <c r="I41" s="6"/>
      <c r="J41" s="6"/>
      <c r="K41" s="6"/>
      <c r="L41" s="6"/>
      <c r="M41" s="6"/>
      <c r="N41" s="6"/>
    </row>
    <row r="42" spans="1:14" ht="17.100000000000001" customHeight="1" x14ac:dyDescent="0.25">
      <c r="A42" s="268"/>
      <c r="B42" s="10" t="s">
        <v>148</v>
      </c>
      <c r="C42" s="11">
        <v>534</v>
      </c>
      <c r="D42" s="10" t="s">
        <v>147</v>
      </c>
      <c r="E42" s="24">
        <v>0.12</v>
      </c>
      <c r="F42" s="11">
        <f t="shared" si="0"/>
        <v>64.08</v>
      </c>
      <c r="G42" s="8"/>
      <c r="H42" s="6"/>
      <c r="I42" s="6"/>
      <c r="J42" s="6"/>
      <c r="K42" s="6"/>
      <c r="L42" s="6"/>
      <c r="M42" s="6"/>
      <c r="N42" s="6"/>
    </row>
    <row r="43" spans="1:14" ht="17.100000000000001" customHeight="1" x14ac:dyDescent="0.25">
      <c r="A43" s="268"/>
      <c r="B43" s="10" t="s">
        <v>149</v>
      </c>
      <c r="C43" s="11">
        <v>13360</v>
      </c>
      <c r="D43" s="10" t="s">
        <v>147</v>
      </c>
      <c r="E43" s="24">
        <v>0.12</v>
      </c>
      <c r="F43" s="11">
        <f t="shared" si="0"/>
        <v>1603.2</v>
      </c>
      <c r="G43" s="8"/>
      <c r="H43" s="6"/>
      <c r="I43" s="6"/>
      <c r="J43" s="6"/>
      <c r="K43" s="6"/>
      <c r="L43" s="6"/>
      <c r="M43" s="6"/>
      <c r="N43" s="6"/>
    </row>
    <row r="44" spans="1:14" ht="17.100000000000001" customHeight="1" x14ac:dyDescent="0.25">
      <c r="A44" s="268"/>
      <c r="B44" s="10" t="s">
        <v>150</v>
      </c>
      <c r="C44" s="11">
        <v>1178</v>
      </c>
      <c r="D44" s="10" t="s">
        <v>147</v>
      </c>
      <c r="E44" s="24">
        <v>0.12</v>
      </c>
      <c r="F44" s="11">
        <f t="shared" si="0"/>
        <v>141.35999999999999</v>
      </c>
      <c r="G44" s="8"/>
      <c r="H44" s="6"/>
      <c r="I44" s="6"/>
      <c r="J44" s="6"/>
      <c r="K44" s="6"/>
      <c r="L44" s="6"/>
      <c r="M44" s="6"/>
      <c r="N44" s="6"/>
    </row>
    <row r="45" spans="1:14" ht="17.100000000000001" customHeight="1" x14ac:dyDescent="0.25">
      <c r="A45" s="268"/>
      <c r="B45" s="10" t="s">
        <v>151</v>
      </c>
      <c r="C45" s="11">
        <v>119544</v>
      </c>
      <c r="D45" s="10" t="s">
        <v>147</v>
      </c>
      <c r="E45" s="24">
        <v>0.12</v>
      </c>
      <c r="F45" s="11">
        <f t="shared" si="0"/>
        <v>14345.279999999999</v>
      </c>
      <c r="G45" s="8"/>
      <c r="H45" s="6"/>
      <c r="I45" s="6"/>
      <c r="J45" s="6"/>
      <c r="K45" s="6"/>
      <c r="L45" s="6"/>
      <c r="M45" s="6"/>
      <c r="N45" s="6"/>
    </row>
    <row r="46" spans="1:14" ht="17.100000000000001" customHeight="1" x14ac:dyDescent="0.25">
      <c r="A46" s="268"/>
      <c r="B46" s="10" t="s">
        <v>152</v>
      </c>
      <c r="C46" s="11">
        <v>872</v>
      </c>
      <c r="D46" s="10" t="s">
        <v>153</v>
      </c>
      <c r="E46" s="24">
        <v>0.12</v>
      </c>
      <c r="F46" s="11">
        <f t="shared" si="0"/>
        <v>104.64</v>
      </c>
      <c r="G46" s="8"/>
      <c r="H46" s="6"/>
      <c r="I46" s="6"/>
      <c r="J46" s="6"/>
      <c r="K46" s="6"/>
      <c r="L46" s="6"/>
      <c r="M46" s="6"/>
      <c r="N46" s="6"/>
    </row>
    <row r="47" spans="1:14" ht="17.100000000000001" customHeight="1" x14ac:dyDescent="0.25">
      <c r="A47" s="268"/>
      <c r="B47" s="10" t="s">
        <v>154</v>
      </c>
      <c r="C47" s="11">
        <v>452</v>
      </c>
      <c r="D47" s="10" t="s">
        <v>153</v>
      </c>
      <c r="E47" s="24">
        <v>0.12</v>
      </c>
      <c r="F47" s="11">
        <f t="shared" si="0"/>
        <v>54.239999999999995</v>
      </c>
      <c r="G47" s="8"/>
      <c r="H47" s="6"/>
      <c r="I47" s="6"/>
      <c r="J47" s="6"/>
      <c r="K47" s="6"/>
      <c r="L47" s="6"/>
      <c r="M47" s="6"/>
      <c r="N47" s="6"/>
    </row>
    <row r="48" spans="1:14" ht="17.100000000000001" customHeight="1" x14ac:dyDescent="0.25">
      <c r="A48" s="268"/>
      <c r="B48" s="10" t="s">
        <v>155</v>
      </c>
      <c r="C48" s="11">
        <v>11840</v>
      </c>
      <c r="D48" s="10" t="s">
        <v>153</v>
      </c>
      <c r="E48" s="24">
        <v>0.12</v>
      </c>
      <c r="F48" s="11">
        <f t="shared" si="0"/>
        <v>1420.8</v>
      </c>
      <c r="G48" s="8"/>
      <c r="H48" s="6"/>
      <c r="I48" s="6"/>
      <c r="J48" s="6"/>
      <c r="K48" s="6"/>
      <c r="L48" s="6"/>
      <c r="M48" s="6"/>
      <c r="N48" s="6"/>
    </row>
    <row r="49" spans="1:14" ht="17.100000000000001" customHeight="1" x14ac:dyDescent="0.25">
      <c r="A49" s="268"/>
      <c r="B49" s="10" t="s">
        <v>156</v>
      </c>
      <c r="C49" s="11">
        <v>1514</v>
      </c>
      <c r="D49" s="10" t="s">
        <v>153</v>
      </c>
      <c r="E49" s="24">
        <v>0.12</v>
      </c>
      <c r="F49" s="11">
        <f t="shared" si="0"/>
        <v>181.68</v>
      </c>
      <c r="G49" s="8"/>
      <c r="H49" s="6"/>
      <c r="I49" s="6"/>
      <c r="J49" s="6"/>
      <c r="K49" s="6"/>
      <c r="L49" s="6"/>
      <c r="M49" s="6"/>
      <c r="N49" s="6"/>
    </row>
    <row r="50" spans="1:14" ht="17.100000000000001" customHeight="1" x14ac:dyDescent="0.25">
      <c r="A50" s="268"/>
      <c r="B50" s="10" t="s">
        <v>157</v>
      </c>
      <c r="C50" s="11">
        <v>123213</v>
      </c>
      <c r="D50" s="10" t="s">
        <v>153</v>
      </c>
      <c r="E50" s="24">
        <v>0.12</v>
      </c>
      <c r="F50" s="11">
        <f t="shared" si="0"/>
        <v>14785.56</v>
      </c>
      <c r="G50" s="8"/>
      <c r="H50" s="6"/>
      <c r="I50" s="6"/>
      <c r="J50" s="6"/>
      <c r="K50" s="6"/>
      <c r="L50" s="6"/>
      <c r="M50" s="6"/>
      <c r="N50" s="6"/>
    </row>
    <row r="51" spans="1:14" ht="17.100000000000001" customHeight="1" x14ac:dyDescent="0.25">
      <c r="A51" s="268"/>
      <c r="B51" s="10" t="s">
        <v>158</v>
      </c>
      <c r="C51" s="11">
        <v>764</v>
      </c>
      <c r="D51" s="10" t="s">
        <v>159</v>
      </c>
      <c r="E51" s="24">
        <v>0.12</v>
      </c>
      <c r="F51" s="11">
        <f t="shared" si="0"/>
        <v>91.679999999999993</v>
      </c>
      <c r="G51" s="8"/>
      <c r="H51" s="6"/>
      <c r="I51" s="6"/>
      <c r="J51" s="6"/>
      <c r="K51" s="6"/>
      <c r="L51" s="6"/>
      <c r="M51" s="6"/>
      <c r="N51" s="6"/>
    </row>
    <row r="52" spans="1:14" ht="17.100000000000001" customHeight="1" x14ac:dyDescent="0.25">
      <c r="A52" s="268"/>
      <c r="B52" s="10" t="s">
        <v>160</v>
      </c>
      <c r="C52" s="11">
        <v>495</v>
      </c>
      <c r="D52" s="10" t="s">
        <v>159</v>
      </c>
      <c r="E52" s="24">
        <v>0.12</v>
      </c>
      <c r="F52" s="11">
        <f t="shared" si="0"/>
        <v>59.4</v>
      </c>
      <c r="G52" s="8"/>
      <c r="H52" s="6"/>
      <c r="I52" s="6"/>
      <c r="J52" s="6"/>
      <c r="K52" s="6"/>
      <c r="L52" s="6"/>
      <c r="M52" s="6"/>
      <c r="N52" s="6"/>
    </row>
    <row r="53" spans="1:14" ht="17.100000000000001" customHeight="1" x14ac:dyDescent="0.25">
      <c r="A53" s="268"/>
      <c r="B53" s="10" t="s">
        <v>161</v>
      </c>
      <c r="C53" s="11">
        <v>7040</v>
      </c>
      <c r="D53" s="10" t="s">
        <v>159</v>
      </c>
      <c r="E53" s="24">
        <v>0.12</v>
      </c>
      <c r="F53" s="11">
        <f t="shared" ref="F53:F84" si="1">E53*C53</f>
        <v>844.8</v>
      </c>
      <c r="G53" s="8"/>
      <c r="H53" s="6"/>
      <c r="I53" s="6"/>
      <c r="J53" s="6"/>
      <c r="K53" s="6"/>
      <c r="L53" s="6"/>
      <c r="M53" s="6"/>
      <c r="N53" s="6"/>
    </row>
    <row r="54" spans="1:14" ht="17.100000000000001" customHeight="1" x14ac:dyDescent="0.25">
      <c r="A54" s="268"/>
      <c r="B54" s="10" t="s">
        <v>162</v>
      </c>
      <c r="C54" s="11">
        <v>1108</v>
      </c>
      <c r="D54" s="10" t="s">
        <v>159</v>
      </c>
      <c r="E54" s="24">
        <v>0.12</v>
      </c>
      <c r="F54" s="11">
        <f t="shared" si="1"/>
        <v>132.96</v>
      </c>
      <c r="G54" s="8"/>
      <c r="H54" s="6"/>
      <c r="I54" s="6"/>
      <c r="J54" s="6"/>
      <c r="K54" s="6"/>
      <c r="L54" s="6"/>
      <c r="M54" s="6"/>
      <c r="N54" s="6"/>
    </row>
    <row r="55" spans="1:14" ht="17.100000000000001" customHeight="1" x14ac:dyDescent="0.25">
      <c r="A55" s="268"/>
      <c r="B55" s="10" t="s">
        <v>163</v>
      </c>
      <c r="C55" s="11">
        <v>82141</v>
      </c>
      <c r="D55" s="10" t="s">
        <v>159</v>
      </c>
      <c r="E55" s="24">
        <v>0.12</v>
      </c>
      <c r="F55" s="11">
        <f t="shared" si="1"/>
        <v>9856.92</v>
      </c>
      <c r="G55" s="8"/>
      <c r="H55" s="6"/>
      <c r="I55" s="6"/>
      <c r="J55" s="6"/>
      <c r="K55" s="6"/>
      <c r="L55" s="6"/>
      <c r="M55" s="6"/>
      <c r="N55" s="6"/>
    </row>
    <row r="56" spans="1:14" ht="17.100000000000001" customHeight="1" x14ac:dyDescent="0.25">
      <c r="A56" s="268"/>
      <c r="B56" s="10" t="s">
        <v>164</v>
      </c>
      <c r="C56" s="11">
        <v>765</v>
      </c>
      <c r="D56" s="10" t="s">
        <v>165</v>
      </c>
      <c r="E56" s="24">
        <v>0.12</v>
      </c>
      <c r="F56" s="11">
        <f t="shared" si="1"/>
        <v>91.8</v>
      </c>
      <c r="G56" s="8"/>
      <c r="H56" s="6"/>
      <c r="I56" s="6"/>
      <c r="J56" s="6"/>
      <c r="K56" s="6"/>
      <c r="L56" s="6"/>
      <c r="M56" s="6"/>
      <c r="N56" s="6"/>
    </row>
    <row r="57" spans="1:14" ht="17.100000000000001" customHeight="1" x14ac:dyDescent="0.25">
      <c r="A57" s="268"/>
      <c r="B57" s="10" t="s">
        <v>166</v>
      </c>
      <c r="C57" s="11">
        <v>467</v>
      </c>
      <c r="D57" s="10" t="s">
        <v>165</v>
      </c>
      <c r="E57" s="24">
        <v>0.12</v>
      </c>
      <c r="F57" s="11">
        <f t="shared" si="1"/>
        <v>56.04</v>
      </c>
      <c r="G57" s="8"/>
      <c r="H57" s="6"/>
      <c r="I57" s="6"/>
      <c r="J57" s="6"/>
      <c r="K57" s="6"/>
      <c r="L57" s="6"/>
      <c r="M57" s="6"/>
      <c r="N57" s="6"/>
    </row>
    <row r="58" spans="1:14" ht="17.100000000000001" customHeight="1" x14ac:dyDescent="0.25">
      <c r="A58" s="268"/>
      <c r="B58" s="10" t="s">
        <v>167</v>
      </c>
      <c r="C58" s="11">
        <v>6720</v>
      </c>
      <c r="D58" s="10" t="s">
        <v>165</v>
      </c>
      <c r="E58" s="24">
        <v>0.12</v>
      </c>
      <c r="F58" s="11">
        <f t="shared" si="1"/>
        <v>806.4</v>
      </c>
      <c r="G58" s="8"/>
      <c r="H58" s="6"/>
      <c r="I58" s="6"/>
      <c r="J58" s="6"/>
      <c r="K58" s="6"/>
      <c r="L58" s="6"/>
      <c r="M58" s="6"/>
      <c r="N58" s="6"/>
    </row>
    <row r="59" spans="1:14" ht="17.100000000000001" customHeight="1" x14ac:dyDescent="0.25">
      <c r="A59" s="268"/>
      <c r="B59" s="10" t="s">
        <v>168</v>
      </c>
      <c r="C59" s="11">
        <v>817</v>
      </c>
      <c r="D59" s="10" t="s">
        <v>165</v>
      </c>
      <c r="E59" s="24">
        <v>0.12</v>
      </c>
      <c r="F59" s="11">
        <f t="shared" si="1"/>
        <v>98.039999999999992</v>
      </c>
      <c r="G59" s="8"/>
      <c r="H59" s="6"/>
      <c r="I59" s="6"/>
      <c r="J59" s="6"/>
      <c r="K59" s="6"/>
      <c r="L59" s="6"/>
      <c r="M59" s="6"/>
      <c r="N59" s="6"/>
    </row>
    <row r="60" spans="1:14" ht="17.100000000000001" customHeight="1" x14ac:dyDescent="0.25">
      <c r="A60" s="268"/>
      <c r="B60" s="10" t="s">
        <v>169</v>
      </c>
      <c r="C60" s="11">
        <v>89752</v>
      </c>
      <c r="D60" s="10" t="s">
        <v>165</v>
      </c>
      <c r="E60" s="24">
        <v>0.12</v>
      </c>
      <c r="F60" s="11">
        <f t="shared" si="1"/>
        <v>10770.24</v>
      </c>
      <c r="G60" s="8"/>
      <c r="H60" s="6"/>
      <c r="I60" s="6"/>
      <c r="J60" s="6"/>
      <c r="K60" s="6"/>
      <c r="L60" s="6"/>
      <c r="M60" s="6"/>
      <c r="N60" s="6"/>
    </row>
    <row r="61" spans="1:14" ht="17.100000000000001" customHeight="1" x14ac:dyDescent="0.25">
      <c r="A61" s="268"/>
      <c r="B61" s="10" t="s">
        <v>170</v>
      </c>
      <c r="C61" s="11">
        <v>1094</v>
      </c>
      <c r="D61" s="10" t="s">
        <v>171</v>
      </c>
      <c r="E61" s="24">
        <v>0.12</v>
      </c>
      <c r="F61" s="11">
        <f t="shared" si="1"/>
        <v>131.28</v>
      </c>
      <c r="G61" s="8"/>
      <c r="H61" s="6"/>
      <c r="I61" s="6"/>
      <c r="J61" s="6"/>
      <c r="K61" s="6"/>
      <c r="L61" s="6"/>
      <c r="M61" s="6"/>
      <c r="N61" s="6"/>
    </row>
    <row r="62" spans="1:14" ht="17.100000000000001" customHeight="1" x14ac:dyDescent="0.25">
      <c r="A62" s="268"/>
      <c r="B62" s="10" t="s">
        <v>172</v>
      </c>
      <c r="C62" s="11">
        <v>484</v>
      </c>
      <c r="D62" s="10" t="s">
        <v>171</v>
      </c>
      <c r="E62" s="24">
        <v>0.12</v>
      </c>
      <c r="F62" s="11">
        <f t="shared" si="1"/>
        <v>58.08</v>
      </c>
      <c r="G62" s="8"/>
      <c r="H62" s="6"/>
      <c r="I62" s="6"/>
      <c r="J62" s="6"/>
      <c r="K62" s="6"/>
      <c r="L62" s="6"/>
      <c r="M62" s="6"/>
      <c r="N62" s="6"/>
    </row>
    <row r="63" spans="1:14" ht="17.100000000000001" customHeight="1" x14ac:dyDescent="0.25">
      <c r="A63" s="268"/>
      <c r="B63" s="10" t="s">
        <v>173</v>
      </c>
      <c r="C63" s="11">
        <v>13680</v>
      </c>
      <c r="D63" s="10" t="s">
        <v>171</v>
      </c>
      <c r="E63" s="24">
        <v>0.12</v>
      </c>
      <c r="F63" s="11">
        <f t="shared" si="1"/>
        <v>1641.6</v>
      </c>
      <c r="G63" s="8"/>
      <c r="H63" s="6"/>
      <c r="I63" s="6"/>
      <c r="J63" s="6"/>
      <c r="K63" s="6"/>
      <c r="L63" s="6"/>
      <c r="M63" s="6"/>
      <c r="N63" s="6"/>
    </row>
    <row r="64" spans="1:14" ht="17.100000000000001" customHeight="1" x14ac:dyDescent="0.25">
      <c r="A64" s="268"/>
      <c r="B64" s="10" t="s">
        <v>174</v>
      </c>
      <c r="C64" s="11">
        <v>1189</v>
      </c>
      <c r="D64" s="10" t="s">
        <v>171</v>
      </c>
      <c r="E64" s="24">
        <v>0.12</v>
      </c>
      <c r="F64" s="11">
        <f t="shared" si="1"/>
        <v>142.68</v>
      </c>
      <c r="G64" s="8"/>
      <c r="H64" s="6"/>
      <c r="I64" s="6"/>
      <c r="J64" s="6"/>
      <c r="K64" s="6"/>
      <c r="L64" s="6"/>
      <c r="M64" s="6"/>
      <c r="N64" s="6"/>
    </row>
    <row r="65" spans="1:14" ht="17.100000000000001" customHeight="1" x14ac:dyDescent="0.25">
      <c r="A65" s="268"/>
      <c r="B65" s="10" t="s">
        <v>175</v>
      </c>
      <c r="C65" s="11">
        <v>130814</v>
      </c>
      <c r="D65" s="10" t="s">
        <v>171</v>
      </c>
      <c r="E65" s="24">
        <v>0.12</v>
      </c>
      <c r="F65" s="11">
        <f t="shared" si="1"/>
        <v>15697.68</v>
      </c>
      <c r="G65" s="8"/>
      <c r="H65" s="6"/>
      <c r="I65" s="6"/>
      <c r="J65" s="6"/>
      <c r="K65" s="6"/>
      <c r="L65" s="6"/>
      <c r="M65" s="6"/>
      <c r="N65" s="6"/>
    </row>
    <row r="66" spans="1:14" ht="17.100000000000001" customHeight="1" x14ac:dyDescent="0.25">
      <c r="A66" s="268"/>
      <c r="B66" s="10" t="s">
        <v>176</v>
      </c>
      <c r="C66" s="11">
        <v>1157</v>
      </c>
      <c r="D66" s="10" t="s">
        <v>177</v>
      </c>
      <c r="E66" s="24">
        <v>0.12</v>
      </c>
      <c r="F66" s="11">
        <f t="shared" si="1"/>
        <v>138.84</v>
      </c>
      <c r="G66" s="8"/>
      <c r="H66" s="6"/>
      <c r="I66" s="6"/>
      <c r="J66" s="6"/>
      <c r="K66" s="6"/>
      <c r="L66" s="6"/>
      <c r="M66" s="6"/>
      <c r="N66" s="6"/>
    </row>
    <row r="67" spans="1:14" ht="17.100000000000001" customHeight="1" x14ac:dyDescent="0.25">
      <c r="A67" s="268"/>
      <c r="B67" s="10" t="s">
        <v>178</v>
      </c>
      <c r="C67" s="11">
        <v>595</v>
      </c>
      <c r="D67" s="10" t="s">
        <v>177</v>
      </c>
      <c r="E67" s="24">
        <v>0.12</v>
      </c>
      <c r="F67" s="11">
        <f t="shared" si="1"/>
        <v>71.399999999999991</v>
      </c>
      <c r="G67" s="8"/>
      <c r="H67" s="6"/>
      <c r="I67" s="6"/>
      <c r="J67" s="6"/>
      <c r="K67" s="6"/>
      <c r="L67" s="6"/>
      <c r="M67" s="6"/>
      <c r="N67" s="6"/>
    </row>
    <row r="68" spans="1:14" ht="17.100000000000001" customHeight="1" x14ac:dyDescent="0.25">
      <c r="A68" s="268"/>
      <c r="B68" s="10" t="s">
        <v>179</v>
      </c>
      <c r="C68" s="11">
        <v>15760</v>
      </c>
      <c r="D68" s="10" t="s">
        <v>177</v>
      </c>
      <c r="E68" s="24">
        <v>0.12</v>
      </c>
      <c r="F68" s="11">
        <f t="shared" si="1"/>
        <v>1891.1999999999998</v>
      </c>
      <c r="G68" s="8"/>
      <c r="H68" s="6"/>
      <c r="I68" s="6"/>
      <c r="J68" s="6"/>
      <c r="K68" s="6"/>
      <c r="L68" s="6"/>
      <c r="M68" s="6"/>
      <c r="N68" s="6"/>
    </row>
    <row r="69" spans="1:14" ht="17.100000000000001" customHeight="1" x14ac:dyDescent="0.25">
      <c r="A69" s="268"/>
      <c r="B69" s="10" t="s">
        <v>180</v>
      </c>
      <c r="C69" s="11">
        <v>1355</v>
      </c>
      <c r="D69" s="10" t="s">
        <v>177</v>
      </c>
      <c r="E69" s="24">
        <v>0.12</v>
      </c>
      <c r="F69" s="11">
        <f t="shared" si="1"/>
        <v>162.6</v>
      </c>
      <c r="G69" s="8"/>
      <c r="H69" s="6"/>
      <c r="I69" s="6"/>
      <c r="J69" s="6"/>
      <c r="K69" s="6"/>
      <c r="L69" s="6"/>
      <c r="M69" s="6"/>
      <c r="N69" s="6"/>
    </row>
    <row r="70" spans="1:14" ht="17.100000000000001" customHeight="1" x14ac:dyDescent="0.25">
      <c r="A70" s="268"/>
      <c r="B70" s="10" t="s">
        <v>181</v>
      </c>
      <c r="C70" s="11">
        <v>137423</v>
      </c>
      <c r="D70" s="10" t="s">
        <v>177</v>
      </c>
      <c r="E70" s="24">
        <v>0.12</v>
      </c>
      <c r="F70" s="11">
        <f t="shared" si="1"/>
        <v>16490.759999999998</v>
      </c>
      <c r="G70" s="8"/>
      <c r="H70" s="6"/>
      <c r="I70" s="6"/>
      <c r="J70" s="6"/>
      <c r="K70" s="6"/>
      <c r="L70" s="6"/>
      <c r="M70" s="6"/>
      <c r="N70" s="6"/>
    </row>
    <row r="71" spans="1:14" ht="17.100000000000001" customHeight="1" x14ac:dyDescent="0.25">
      <c r="A71" s="268"/>
      <c r="B71" s="10" t="s">
        <v>182</v>
      </c>
      <c r="C71" s="11">
        <v>1098</v>
      </c>
      <c r="D71" s="10" t="s">
        <v>183</v>
      </c>
      <c r="E71" s="24">
        <v>0.12</v>
      </c>
      <c r="F71" s="11">
        <f t="shared" si="1"/>
        <v>131.76</v>
      </c>
      <c r="G71" s="8"/>
      <c r="H71" s="6"/>
      <c r="I71" s="6"/>
      <c r="J71" s="6"/>
      <c r="K71" s="6"/>
      <c r="L71" s="6"/>
      <c r="M71" s="6"/>
      <c r="N71" s="6"/>
    </row>
    <row r="72" spans="1:14" ht="17.100000000000001" customHeight="1" x14ac:dyDescent="0.25">
      <c r="A72" s="268"/>
      <c r="B72" s="10" t="s">
        <v>184</v>
      </c>
      <c r="C72" s="11">
        <v>572</v>
      </c>
      <c r="D72" s="10" t="s">
        <v>183</v>
      </c>
      <c r="E72" s="24">
        <v>0.12</v>
      </c>
      <c r="F72" s="11">
        <f t="shared" si="1"/>
        <v>68.64</v>
      </c>
      <c r="G72" s="8"/>
      <c r="H72" s="6"/>
      <c r="I72" s="6"/>
      <c r="J72" s="6"/>
      <c r="K72" s="6"/>
      <c r="L72" s="6"/>
      <c r="M72" s="6"/>
      <c r="N72" s="6"/>
    </row>
    <row r="73" spans="1:14" ht="17.100000000000001" customHeight="1" x14ac:dyDescent="0.25">
      <c r="A73" s="268"/>
      <c r="B73" s="10" t="s">
        <v>185</v>
      </c>
      <c r="C73" s="11">
        <v>14320</v>
      </c>
      <c r="D73" s="10" t="s">
        <v>183</v>
      </c>
      <c r="E73" s="24">
        <v>0.12</v>
      </c>
      <c r="F73" s="11">
        <f t="shared" si="1"/>
        <v>1718.3999999999999</v>
      </c>
      <c r="G73" s="8"/>
      <c r="H73" s="6"/>
      <c r="I73" s="6"/>
      <c r="J73" s="6"/>
      <c r="K73" s="6"/>
      <c r="L73" s="6"/>
      <c r="M73" s="6"/>
      <c r="N73" s="6"/>
    </row>
    <row r="74" spans="1:14" ht="17.100000000000001" customHeight="1" x14ac:dyDescent="0.25">
      <c r="A74" s="268"/>
      <c r="B74" s="10" t="s">
        <v>186</v>
      </c>
      <c r="C74" s="11">
        <v>1231</v>
      </c>
      <c r="D74" s="10" t="s">
        <v>183</v>
      </c>
      <c r="E74" s="24">
        <v>0.12</v>
      </c>
      <c r="F74" s="11">
        <f t="shared" si="1"/>
        <v>147.72</v>
      </c>
      <c r="G74" s="8"/>
      <c r="H74" s="6"/>
      <c r="I74" s="6"/>
      <c r="J74" s="6"/>
      <c r="K74" s="6"/>
      <c r="L74" s="6"/>
      <c r="M74" s="6"/>
      <c r="N74" s="6"/>
    </row>
    <row r="75" spans="1:14" ht="17.100000000000001" customHeight="1" x14ac:dyDescent="0.25">
      <c r="A75" s="268"/>
      <c r="B75" s="10" t="s">
        <v>187</v>
      </c>
      <c r="C75" s="11">
        <v>150403</v>
      </c>
      <c r="D75" s="10" t="s">
        <v>183</v>
      </c>
      <c r="E75" s="24">
        <v>0.12</v>
      </c>
      <c r="F75" s="11">
        <f t="shared" si="1"/>
        <v>18048.36</v>
      </c>
      <c r="G75" s="8"/>
      <c r="H75" s="6"/>
      <c r="I75" s="6"/>
      <c r="J75" s="6"/>
      <c r="K75" s="6"/>
      <c r="L75" s="6"/>
      <c r="M75" s="6"/>
      <c r="N75" s="6"/>
    </row>
    <row r="76" spans="1:14" ht="17.100000000000001" customHeight="1" x14ac:dyDescent="0.25">
      <c r="A76" s="268"/>
      <c r="B76" s="10" t="s">
        <v>188</v>
      </c>
      <c r="C76" s="11">
        <v>1260</v>
      </c>
      <c r="D76" s="10" t="s">
        <v>189</v>
      </c>
      <c r="E76" s="24">
        <v>0.12</v>
      </c>
      <c r="F76" s="11">
        <f t="shared" si="1"/>
        <v>151.19999999999999</v>
      </c>
      <c r="G76" s="8"/>
      <c r="H76" s="6"/>
      <c r="I76" s="6"/>
      <c r="J76" s="6"/>
      <c r="K76" s="6"/>
      <c r="L76" s="6"/>
      <c r="M76" s="6"/>
      <c r="N76" s="6"/>
    </row>
    <row r="77" spans="1:14" ht="17.100000000000001" customHeight="1" x14ac:dyDescent="0.25">
      <c r="A77" s="268"/>
      <c r="B77" s="10" t="s">
        <v>190</v>
      </c>
      <c r="C77" s="11">
        <v>741</v>
      </c>
      <c r="D77" s="10" t="s">
        <v>189</v>
      </c>
      <c r="E77" s="24">
        <v>0.12</v>
      </c>
      <c r="F77" s="11">
        <f t="shared" si="1"/>
        <v>88.92</v>
      </c>
      <c r="G77" s="8"/>
      <c r="H77" s="6"/>
      <c r="I77" s="6"/>
      <c r="J77" s="6"/>
      <c r="K77" s="6"/>
      <c r="L77" s="6"/>
      <c r="M77" s="6"/>
      <c r="N77" s="6"/>
    </row>
    <row r="78" spans="1:14" ht="17.100000000000001" customHeight="1" x14ac:dyDescent="0.25">
      <c r="A78" s="268"/>
      <c r="B78" s="10" t="s">
        <v>191</v>
      </c>
      <c r="C78" s="11">
        <v>12640</v>
      </c>
      <c r="D78" s="10" t="s">
        <v>189</v>
      </c>
      <c r="E78" s="24">
        <v>0.12</v>
      </c>
      <c r="F78" s="11">
        <f t="shared" si="1"/>
        <v>1516.8</v>
      </c>
      <c r="G78" s="8"/>
      <c r="H78" s="6"/>
      <c r="I78" s="6"/>
      <c r="J78" s="6"/>
      <c r="K78" s="6"/>
      <c r="L78" s="6"/>
      <c r="M78" s="6"/>
      <c r="N78" s="6"/>
    </row>
    <row r="79" spans="1:14" ht="17.100000000000001" customHeight="1" x14ac:dyDescent="0.25">
      <c r="A79" s="268"/>
      <c r="B79" s="10" t="s">
        <v>192</v>
      </c>
      <c r="C79" s="11">
        <v>951</v>
      </c>
      <c r="D79" s="10" t="s">
        <v>189</v>
      </c>
      <c r="E79" s="24">
        <v>0.12</v>
      </c>
      <c r="F79" s="11">
        <f t="shared" si="1"/>
        <v>114.11999999999999</v>
      </c>
      <c r="G79" s="8"/>
      <c r="H79" s="6"/>
      <c r="I79" s="6"/>
      <c r="J79" s="6"/>
      <c r="K79" s="6"/>
      <c r="L79" s="6"/>
      <c r="M79" s="6"/>
      <c r="N79" s="6"/>
    </row>
    <row r="80" spans="1:14" ht="17.100000000000001" customHeight="1" x14ac:dyDescent="0.25">
      <c r="A80" s="268"/>
      <c r="B80" s="10" t="s">
        <v>193</v>
      </c>
      <c r="C80" s="11">
        <v>134944</v>
      </c>
      <c r="D80" s="10" t="s">
        <v>189</v>
      </c>
      <c r="E80" s="24">
        <v>0.12</v>
      </c>
      <c r="F80" s="11">
        <f t="shared" si="1"/>
        <v>16193.279999999999</v>
      </c>
      <c r="G80" s="8"/>
      <c r="H80" s="6"/>
      <c r="I80" s="6"/>
      <c r="J80" s="6"/>
      <c r="K80" s="6"/>
      <c r="L80" s="6"/>
      <c r="M80" s="6"/>
      <c r="N80" s="6"/>
    </row>
    <row r="81" spans="1:14" ht="17.100000000000001" customHeight="1" x14ac:dyDescent="0.25">
      <c r="A81" s="269"/>
      <c r="B81" s="222" t="s">
        <v>56</v>
      </c>
      <c r="C81" s="223"/>
      <c r="D81" s="223"/>
      <c r="E81" s="221"/>
      <c r="F81" s="26">
        <f>SUM(F21:F80)</f>
        <v>182919.60000000003</v>
      </c>
      <c r="G81" s="8"/>
      <c r="H81" s="6"/>
      <c r="I81" s="6"/>
      <c r="J81" s="6"/>
      <c r="K81" s="6"/>
      <c r="L81" s="6"/>
      <c r="M81" s="6"/>
      <c r="N81" s="6"/>
    </row>
    <row r="82" spans="1:14" ht="17.100000000000001" customHeight="1" x14ac:dyDescent="0.25">
      <c r="A82" s="17"/>
      <c r="B82" s="17"/>
      <c r="C82" s="17"/>
      <c r="D82" s="17"/>
      <c r="E82" s="17"/>
      <c r="F82" s="17"/>
      <c r="G82" s="6"/>
      <c r="H82" s="6"/>
      <c r="I82" s="6"/>
      <c r="J82" s="6"/>
      <c r="K82" s="6"/>
      <c r="L82" s="6"/>
      <c r="M82" s="6"/>
      <c r="N82" s="6"/>
    </row>
    <row r="83" spans="1:14" ht="17.100000000000001" customHeight="1" x14ac:dyDescent="0.25">
      <c r="A83" s="7"/>
      <c r="B83" s="7"/>
      <c r="C83" s="7"/>
      <c r="D83" s="7"/>
      <c r="E83" s="7"/>
      <c r="F83" s="7"/>
      <c r="G83" s="7"/>
      <c r="H83" s="7"/>
      <c r="I83" s="7"/>
      <c r="J83" s="6"/>
      <c r="K83" s="6"/>
      <c r="L83" s="6"/>
      <c r="M83" s="6"/>
      <c r="N83" s="6"/>
    </row>
    <row r="84" spans="1:14" ht="17.100000000000001" customHeight="1" x14ac:dyDescent="0.25">
      <c r="A84" s="224" t="s">
        <v>57</v>
      </c>
      <c r="B84" s="225"/>
      <c r="C84" s="225"/>
      <c r="D84" s="225"/>
      <c r="E84" s="225"/>
      <c r="F84" s="225"/>
      <c r="G84" s="225"/>
      <c r="H84" s="225"/>
      <c r="I84" s="226"/>
      <c r="J84" s="8"/>
      <c r="K84" s="6"/>
      <c r="L84" s="6"/>
      <c r="M84" s="6"/>
      <c r="N84" s="6"/>
    </row>
    <row r="85" spans="1:14" ht="17.100000000000001" customHeight="1" x14ac:dyDescent="0.25">
      <c r="A85" s="227" t="s">
        <v>58</v>
      </c>
      <c r="B85" s="25" t="s">
        <v>59</v>
      </c>
      <c r="C85" s="25" t="s">
        <v>60</v>
      </c>
      <c r="D85" s="25" t="s">
        <v>61</v>
      </c>
      <c r="E85" s="25" t="s">
        <v>60</v>
      </c>
      <c r="F85" s="25" t="s">
        <v>62</v>
      </c>
      <c r="G85" s="25" t="s">
        <v>63</v>
      </c>
      <c r="H85" s="25" t="s">
        <v>64</v>
      </c>
      <c r="I85" s="25" t="s">
        <v>13</v>
      </c>
      <c r="J85" s="8"/>
      <c r="K85" s="6"/>
      <c r="L85" s="6"/>
      <c r="M85" s="6"/>
      <c r="N85" s="6"/>
    </row>
    <row r="86" spans="1:14" ht="17.100000000000001" customHeight="1" x14ac:dyDescent="0.25">
      <c r="A86" s="228"/>
      <c r="B86" s="10" t="s">
        <v>67</v>
      </c>
      <c r="C86" s="12"/>
      <c r="D86" s="10" t="s">
        <v>77</v>
      </c>
      <c r="E86" s="12"/>
      <c r="F86" s="10" t="s">
        <v>194</v>
      </c>
      <c r="G86" s="10" t="s">
        <v>195</v>
      </c>
      <c r="H86" s="11">
        <v>4</v>
      </c>
      <c r="I86" s="11">
        <v>361.2</v>
      </c>
      <c r="J86" s="8"/>
      <c r="K86" s="6"/>
      <c r="L86" s="6"/>
      <c r="M86" s="6"/>
      <c r="N86" s="6"/>
    </row>
    <row r="87" spans="1:14" ht="17.100000000000001" customHeight="1" x14ac:dyDescent="0.25">
      <c r="A87" s="228"/>
      <c r="B87" s="10" t="s">
        <v>118</v>
      </c>
      <c r="C87" s="12"/>
      <c r="D87" s="10" t="s">
        <v>196</v>
      </c>
      <c r="E87" s="12"/>
      <c r="F87" s="10" t="s">
        <v>194</v>
      </c>
      <c r="G87" s="10" t="s">
        <v>195</v>
      </c>
      <c r="H87" s="11">
        <v>33</v>
      </c>
      <c r="I87" s="11">
        <v>751.2</v>
      </c>
      <c r="J87" s="8"/>
      <c r="K87" s="6"/>
      <c r="L87" s="6"/>
      <c r="M87" s="6"/>
      <c r="N87" s="6"/>
    </row>
    <row r="88" spans="1:14" ht="17.100000000000001" customHeight="1" x14ac:dyDescent="0.25">
      <c r="A88" s="228"/>
      <c r="B88" s="10" t="s">
        <v>118</v>
      </c>
      <c r="C88" s="12"/>
      <c r="D88" s="10" t="s">
        <v>77</v>
      </c>
      <c r="E88" s="12"/>
      <c r="F88" s="10" t="s">
        <v>194</v>
      </c>
      <c r="G88" s="10" t="s">
        <v>195</v>
      </c>
      <c r="H88" s="11">
        <v>2</v>
      </c>
      <c r="I88" s="11">
        <v>226.2</v>
      </c>
      <c r="J88" s="8"/>
      <c r="K88" s="6"/>
      <c r="L88" s="6"/>
      <c r="M88" s="6"/>
      <c r="N88" s="6"/>
    </row>
    <row r="89" spans="1:14" ht="17.100000000000001" customHeight="1" x14ac:dyDescent="0.25">
      <c r="A89" s="228"/>
      <c r="B89" s="10" t="s">
        <v>67</v>
      </c>
      <c r="C89" s="12"/>
      <c r="D89" s="10" t="s">
        <v>197</v>
      </c>
      <c r="E89" s="12"/>
      <c r="F89" s="10" t="s">
        <v>194</v>
      </c>
      <c r="G89" s="10" t="s">
        <v>195</v>
      </c>
      <c r="H89" s="11">
        <v>9</v>
      </c>
      <c r="I89" s="11">
        <v>362.2</v>
      </c>
      <c r="J89" s="8"/>
      <c r="K89" s="6"/>
      <c r="L89" s="6"/>
      <c r="M89" s="6"/>
      <c r="N89" s="6"/>
    </row>
    <row r="90" spans="1:14" ht="17.100000000000001" customHeight="1" x14ac:dyDescent="0.25">
      <c r="A90" s="228"/>
      <c r="B90" s="10" t="s">
        <v>196</v>
      </c>
      <c r="C90" s="12"/>
      <c r="D90" s="10" t="s">
        <v>65</v>
      </c>
      <c r="E90" s="12"/>
      <c r="F90" s="10" t="s">
        <v>194</v>
      </c>
      <c r="G90" s="10" t="s">
        <v>195</v>
      </c>
      <c r="H90" s="11">
        <v>20</v>
      </c>
      <c r="I90" s="11">
        <v>2076.9</v>
      </c>
      <c r="J90" s="8"/>
      <c r="K90" s="6"/>
      <c r="L90" s="6"/>
      <c r="M90" s="6"/>
      <c r="N90" s="6"/>
    </row>
    <row r="91" spans="1:14" ht="17.100000000000001" customHeight="1" x14ac:dyDescent="0.25">
      <c r="A91" s="228"/>
      <c r="B91" s="10" t="s">
        <v>196</v>
      </c>
      <c r="C91" s="12"/>
      <c r="D91" s="10" t="s">
        <v>65</v>
      </c>
      <c r="E91" s="12"/>
      <c r="F91" s="10" t="s">
        <v>194</v>
      </c>
      <c r="G91" s="10" t="s">
        <v>195</v>
      </c>
      <c r="H91" s="11">
        <v>2</v>
      </c>
      <c r="I91" s="11">
        <f>I90/10</f>
        <v>207.69</v>
      </c>
      <c r="J91" s="8"/>
      <c r="K91" s="6"/>
      <c r="L91" s="6"/>
      <c r="M91" s="6"/>
      <c r="N91" s="6"/>
    </row>
    <row r="92" spans="1:14" ht="17.100000000000001" customHeight="1" x14ac:dyDescent="0.25">
      <c r="A92" s="228"/>
      <c r="B92" s="10" t="s">
        <v>67</v>
      </c>
      <c r="C92" s="12"/>
      <c r="D92" s="10" t="s">
        <v>77</v>
      </c>
      <c r="E92" s="12"/>
      <c r="F92" s="10" t="s">
        <v>194</v>
      </c>
      <c r="G92" s="10" t="s">
        <v>198</v>
      </c>
      <c r="H92" s="11">
        <v>1</v>
      </c>
      <c r="I92" s="11">
        <f>(I86/4)/2</f>
        <v>45.15</v>
      </c>
      <c r="J92" s="8"/>
      <c r="K92" s="6"/>
      <c r="L92" s="6"/>
      <c r="M92" s="6"/>
      <c r="N92" s="6"/>
    </row>
    <row r="93" spans="1:14" ht="17.100000000000001" customHeight="1" x14ac:dyDescent="0.25">
      <c r="A93" s="228"/>
      <c r="B93" s="10" t="s">
        <v>67</v>
      </c>
      <c r="C93" s="12"/>
      <c r="D93" s="10" t="s">
        <v>197</v>
      </c>
      <c r="E93" s="12"/>
      <c r="F93" s="10" t="s">
        <v>194</v>
      </c>
      <c r="G93" s="10" t="s">
        <v>195</v>
      </c>
      <c r="H93" s="11">
        <v>1</v>
      </c>
      <c r="I93" s="11">
        <f>I89/9</f>
        <v>40.24444444444444</v>
      </c>
      <c r="J93" s="8"/>
      <c r="K93" s="6"/>
      <c r="L93" s="6"/>
      <c r="M93" s="6"/>
      <c r="N93" s="6"/>
    </row>
    <row r="94" spans="1:14" ht="17.100000000000001" customHeight="1" x14ac:dyDescent="0.25">
      <c r="A94" s="228"/>
      <c r="B94" s="10" t="s">
        <v>199</v>
      </c>
      <c r="C94" s="12"/>
      <c r="D94" s="10" t="s">
        <v>196</v>
      </c>
      <c r="E94" s="12"/>
      <c r="F94" s="10" t="s">
        <v>194</v>
      </c>
      <c r="G94" s="10" t="s">
        <v>198</v>
      </c>
      <c r="H94" s="11">
        <v>4</v>
      </c>
      <c r="I94" s="11">
        <v>128.4</v>
      </c>
      <c r="J94" s="8"/>
      <c r="K94" s="6"/>
      <c r="L94" s="6"/>
      <c r="M94" s="6"/>
      <c r="N94" s="6"/>
    </row>
    <row r="95" spans="1:14" ht="17.100000000000001" customHeight="1" x14ac:dyDescent="0.25">
      <c r="A95" s="228"/>
      <c r="B95" s="10" t="s">
        <v>67</v>
      </c>
      <c r="C95" s="12"/>
      <c r="D95" s="10" t="s">
        <v>118</v>
      </c>
      <c r="E95" s="12"/>
      <c r="F95" s="10" t="s">
        <v>194</v>
      </c>
      <c r="G95" s="10" t="s">
        <v>198</v>
      </c>
      <c r="H95" s="11">
        <v>4</v>
      </c>
      <c r="I95" s="11">
        <v>45.5</v>
      </c>
      <c r="J95" s="8"/>
      <c r="K95" s="6"/>
      <c r="L95" s="6"/>
      <c r="M95" s="6"/>
      <c r="N95" s="6"/>
    </row>
    <row r="96" spans="1:14" ht="17.100000000000001" customHeight="1" x14ac:dyDescent="0.25">
      <c r="A96" s="228"/>
      <c r="B96" s="10" t="s">
        <v>67</v>
      </c>
      <c r="C96" s="12"/>
      <c r="D96" s="10" t="s">
        <v>75</v>
      </c>
      <c r="E96" s="12"/>
      <c r="F96" s="10" t="s">
        <v>194</v>
      </c>
      <c r="G96" s="10" t="s">
        <v>195</v>
      </c>
      <c r="H96" s="11">
        <v>6</v>
      </c>
      <c r="I96" s="11">
        <v>602</v>
      </c>
      <c r="J96" s="8"/>
      <c r="K96" s="6"/>
      <c r="L96" s="6"/>
      <c r="M96" s="6"/>
      <c r="N96" s="6"/>
    </row>
    <row r="97" spans="1:14" ht="17.100000000000001" customHeight="1" x14ac:dyDescent="0.25">
      <c r="A97" s="228"/>
      <c r="B97" s="10" t="s">
        <v>67</v>
      </c>
      <c r="C97" s="12"/>
      <c r="D97" s="10" t="s">
        <v>200</v>
      </c>
      <c r="E97" s="12"/>
      <c r="F97" s="10" t="s">
        <v>194</v>
      </c>
      <c r="G97" s="10" t="s">
        <v>195</v>
      </c>
      <c r="H97" s="11">
        <v>3</v>
      </c>
      <c r="I97" s="11">
        <v>488.3</v>
      </c>
      <c r="J97" s="8"/>
      <c r="K97" s="6"/>
      <c r="L97" s="6"/>
      <c r="M97" s="6"/>
      <c r="N97" s="6"/>
    </row>
    <row r="98" spans="1:14" ht="17.100000000000001" customHeight="1" x14ac:dyDescent="0.25">
      <c r="A98" s="228"/>
      <c r="B98" s="10" t="s">
        <v>67</v>
      </c>
      <c r="C98" s="12"/>
      <c r="D98" s="10" t="s">
        <v>201</v>
      </c>
      <c r="E98" s="12"/>
      <c r="F98" s="10" t="s">
        <v>194</v>
      </c>
      <c r="G98" s="10" t="s">
        <v>198</v>
      </c>
      <c r="H98" s="11">
        <v>1</v>
      </c>
      <c r="I98" s="11">
        <v>232.2</v>
      </c>
      <c r="J98" s="8"/>
      <c r="K98" s="6"/>
      <c r="L98" s="6"/>
      <c r="M98" s="6"/>
      <c r="N98" s="6"/>
    </row>
    <row r="99" spans="1:14" ht="17.100000000000001" customHeight="1" x14ac:dyDescent="0.25">
      <c r="A99" s="228"/>
      <c r="B99" s="10" t="s">
        <v>202</v>
      </c>
      <c r="C99" s="12"/>
      <c r="D99" s="10" t="s">
        <v>196</v>
      </c>
      <c r="E99" s="12"/>
      <c r="F99" s="10" t="s">
        <v>194</v>
      </c>
      <c r="G99" s="10" t="s">
        <v>195</v>
      </c>
      <c r="H99" s="11">
        <v>1</v>
      </c>
      <c r="I99" s="11">
        <v>1168.4000000000001</v>
      </c>
      <c r="J99" s="8"/>
      <c r="K99" s="6"/>
      <c r="L99" s="6"/>
      <c r="M99" s="6"/>
      <c r="N99" s="6"/>
    </row>
    <row r="100" spans="1:14" ht="17.100000000000001" customHeight="1" x14ac:dyDescent="0.25">
      <c r="A100" s="228"/>
      <c r="B100" s="10" t="s">
        <v>203</v>
      </c>
      <c r="C100" s="12"/>
      <c r="D100" s="10" t="s">
        <v>196</v>
      </c>
      <c r="E100" s="12"/>
      <c r="F100" s="10" t="s">
        <v>194</v>
      </c>
      <c r="G100" s="10" t="s">
        <v>195</v>
      </c>
      <c r="H100" s="11">
        <v>2</v>
      </c>
      <c r="I100" s="11">
        <v>1240.5999999999999</v>
      </c>
      <c r="J100" s="8"/>
      <c r="K100" s="6"/>
      <c r="L100" s="6"/>
      <c r="M100" s="6"/>
      <c r="N100" s="6"/>
    </row>
    <row r="101" spans="1:14" ht="17.100000000000001" customHeight="1" x14ac:dyDescent="0.25">
      <c r="A101" s="228"/>
      <c r="B101" s="10" t="s">
        <v>204</v>
      </c>
      <c r="C101" s="12"/>
      <c r="D101" s="10" t="s">
        <v>205</v>
      </c>
      <c r="E101" s="12"/>
      <c r="F101" s="10" t="s">
        <v>194</v>
      </c>
      <c r="G101" s="10" t="s">
        <v>195</v>
      </c>
      <c r="H101" s="11">
        <v>1</v>
      </c>
      <c r="I101" s="11">
        <v>123.6</v>
      </c>
      <c r="J101" s="8"/>
      <c r="K101" s="6"/>
      <c r="L101" s="6"/>
      <c r="M101" s="6"/>
      <c r="N101" s="6"/>
    </row>
    <row r="102" spans="1:14" ht="17.100000000000001" customHeight="1" x14ac:dyDescent="0.25">
      <c r="A102" s="228"/>
      <c r="B102" s="10" t="s">
        <v>205</v>
      </c>
      <c r="C102" s="12"/>
      <c r="D102" s="10" t="s">
        <v>77</v>
      </c>
      <c r="E102" s="12"/>
      <c r="F102" s="10" t="s">
        <v>194</v>
      </c>
      <c r="G102" s="10" t="s">
        <v>195</v>
      </c>
      <c r="H102" s="11">
        <v>1</v>
      </c>
      <c r="I102" s="11">
        <v>298</v>
      </c>
      <c r="J102" s="8"/>
      <c r="K102" s="6"/>
      <c r="L102" s="6"/>
      <c r="M102" s="6"/>
      <c r="N102" s="6"/>
    </row>
    <row r="103" spans="1:14" ht="17.100000000000001" customHeight="1" x14ac:dyDescent="0.25">
      <c r="A103" s="228"/>
      <c r="B103" s="10" t="s">
        <v>77</v>
      </c>
      <c r="C103" s="12"/>
      <c r="D103" s="10" t="s">
        <v>196</v>
      </c>
      <c r="E103" s="12"/>
      <c r="F103" s="10" t="s">
        <v>194</v>
      </c>
      <c r="G103" s="10" t="s">
        <v>195</v>
      </c>
      <c r="H103" s="11">
        <v>1</v>
      </c>
      <c r="I103" s="11">
        <v>90.3</v>
      </c>
      <c r="J103" s="8"/>
      <c r="K103" s="6"/>
      <c r="L103" s="6"/>
      <c r="M103" s="6"/>
      <c r="N103" s="6"/>
    </row>
    <row r="104" spans="1:14" ht="17.100000000000001" customHeight="1" x14ac:dyDescent="0.25">
      <c r="A104" s="228"/>
      <c r="B104" s="10" t="s">
        <v>206</v>
      </c>
      <c r="C104" s="12"/>
      <c r="D104" s="10" t="s">
        <v>207</v>
      </c>
      <c r="E104" s="12"/>
      <c r="F104" s="10" t="s">
        <v>194</v>
      </c>
      <c r="G104" s="10" t="s">
        <v>195</v>
      </c>
      <c r="H104" s="11">
        <v>1</v>
      </c>
      <c r="I104" s="11">
        <v>106.3</v>
      </c>
      <c r="J104" s="8"/>
      <c r="K104" s="6"/>
      <c r="L104" s="6"/>
      <c r="M104" s="6"/>
      <c r="N104" s="6"/>
    </row>
    <row r="105" spans="1:14" ht="17.100000000000001" customHeight="1" x14ac:dyDescent="0.25">
      <c r="A105" s="228"/>
      <c r="B105" s="10" t="s">
        <v>207</v>
      </c>
      <c r="C105" s="12"/>
      <c r="D105" s="10" t="s">
        <v>196</v>
      </c>
      <c r="E105" s="12"/>
      <c r="F105" s="10" t="s">
        <v>194</v>
      </c>
      <c r="G105" s="10" t="s">
        <v>195</v>
      </c>
      <c r="H105" s="11">
        <v>1</v>
      </c>
      <c r="I105" s="11">
        <v>552</v>
      </c>
      <c r="J105" s="8"/>
      <c r="K105" s="6"/>
      <c r="L105" s="6"/>
      <c r="M105" s="6"/>
      <c r="N105" s="6"/>
    </row>
    <row r="106" spans="1:14" ht="17.100000000000001" customHeight="1" x14ac:dyDescent="0.25">
      <c r="A106" s="228"/>
      <c r="B106" s="10" t="s">
        <v>208</v>
      </c>
      <c r="C106" s="12"/>
      <c r="D106" s="10" t="s">
        <v>93</v>
      </c>
      <c r="E106" s="12"/>
      <c r="F106" s="10" t="s">
        <v>194</v>
      </c>
      <c r="G106" s="10" t="s">
        <v>195</v>
      </c>
      <c r="H106" s="11">
        <v>1</v>
      </c>
      <c r="I106" s="11">
        <v>213.1</v>
      </c>
      <c r="J106" s="8"/>
      <c r="K106" s="6"/>
      <c r="L106" s="6"/>
      <c r="M106" s="6"/>
      <c r="N106" s="6"/>
    </row>
    <row r="107" spans="1:14" ht="17.100000000000001" customHeight="1" x14ac:dyDescent="0.25">
      <c r="A107" s="228"/>
      <c r="B107" s="10" t="s">
        <v>201</v>
      </c>
      <c r="C107" s="12"/>
      <c r="D107" s="10" t="s">
        <v>196</v>
      </c>
      <c r="E107" s="12"/>
      <c r="F107" s="10" t="s">
        <v>194</v>
      </c>
      <c r="G107" s="10" t="s">
        <v>195</v>
      </c>
      <c r="H107" s="11">
        <v>1</v>
      </c>
      <c r="I107" s="11">
        <v>464.4</v>
      </c>
      <c r="J107" s="8"/>
      <c r="K107" s="6"/>
      <c r="L107" s="6"/>
      <c r="M107" s="6"/>
      <c r="N107" s="6"/>
    </row>
    <row r="108" spans="1:14" ht="17.100000000000001" customHeight="1" x14ac:dyDescent="0.25">
      <c r="A108" s="228"/>
      <c r="B108" s="10" t="s">
        <v>67</v>
      </c>
      <c r="C108" s="12"/>
      <c r="D108" s="10" t="s">
        <v>209</v>
      </c>
      <c r="E108" s="12"/>
      <c r="F108" s="10" t="s">
        <v>194</v>
      </c>
      <c r="G108" s="10" t="s">
        <v>195</v>
      </c>
      <c r="H108" s="11">
        <v>2</v>
      </c>
      <c r="I108" s="11">
        <v>315.89999999999998</v>
      </c>
      <c r="J108" s="8"/>
      <c r="K108" s="6"/>
      <c r="L108" s="6"/>
      <c r="M108" s="6"/>
      <c r="N108" s="6"/>
    </row>
    <row r="109" spans="1:14" ht="17.100000000000001" customHeight="1" x14ac:dyDescent="0.25">
      <c r="A109" s="228"/>
      <c r="B109" s="10" t="s">
        <v>67</v>
      </c>
      <c r="C109" s="12"/>
      <c r="D109" s="10" t="s">
        <v>210</v>
      </c>
      <c r="E109" s="12"/>
      <c r="F109" s="10" t="s">
        <v>194</v>
      </c>
      <c r="G109" s="10" t="s">
        <v>195</v>
      </c>
      <c r="H109" s="11">
        <v>1</v>
      </c>
      <c r="I109" s="11">
        <v>976.4</v>
      </c>
      <c r="J109" s="8"/>
      <c r="K109" s="6"/>
      <c r="L109" s="6"/>
      <c r="M109" s="6"/>
      <c r="N109" s="6"/>
    </row>
    <row r="110" spans="1:14" ht="17.100000000000001" customHeight="1" x14ac:dyDescent="0.25">
      <c r="A110" s="228"/>
      <c r="B110" s="10" t="s">
        <v>67</v>
      </c>
      <c r="C110" s="12"/>
      <c r="D110" s="10" t="s">
        <v>85</v>
      </c>
      <c r="E110" s="12"/>
      <c r="F110" s="10" t="s">
        <v>194</v>
      </c>
      <c r="G110" s="10" t="s">
        <v>195</v>
      </c>
      <c r="H110" s="11">
        <v>2</v>
      </c>
      <c r="I110" s="11">
        <v>1629.1</v>
      </c>
      <c r="J110" s="8"/>
      <c r="K110" s="6"/>
      <c r="L110" s="6"/>
      <c r="M110" s="6"/>
      <c r="N110" s="6"/>
    </row>
    <row r="111" spans="1:14" ht="17.100000000000001" customHeight="1" x14ac:dyDescent="0.25">
      <c r="A111" s="228"/>
      <c r="B111" s="10" t="s">
        <v>201</v>
      </c>
      <c r="C111" s="12"/>
      <c r="D111" s="10" t="s">
        <v>196</v>
      </c>
      <c r="E111" s="12"/>
      <c r="F111" s="10" t="s">
        <v>194</v>
      </c>
      <c r="G111" s="10" t="s">
        <v>195</v>
      </c>
      <c r="H111" s="11">
        <v>1</v>
      </c>
      <c r="I111" s="11">
        <v>464.4</v>
      </c>
      <c r="J111" s="8"/>
      <c r="K111" s="6"/>
      <c r="L111" s="6"/>
      <c r="M111" s="6"/>
      <c r="N111" s="6"/>
    </row>
    <row r="112" spans="1:14" ht="17.100000000000001" customHeight="1" x14ac:dyDescent="0.25">
      <c r="A112" s="228"/>
      <c r="B112" s="10" t="s">
        <v>67</v>
      </c>
      <c r="C112" s="12"/>
      <c r="D112" s="10" t="s">
        <v>201</v>
      </c>
      <c r="E112" s="12"/>
      <c r="F112" s="10" t="s">
        <v>194</v>
      </c>
      <c r="G112" s="10" t="s">
        <v>195</v>
      </c>
      <c r="H112" s="11">
        <v>1</v>
      </c>
      <c r="I112" s="11">
        <v>464.4</v>
      </c>
      <c r="J112" s="8"/>
      <c r="K112" s="6"/>
      <c r="L112" s="6"/>
      <c r="M112" s="6"/>
      <c r="N112" s="6"/>
    </row>
    <row r="113" spans="1:14" ht="17.100000000000001" customHeight="1" x14ac:dyDescent="0.25">
      <c r="A113" s="228"/>
      <c r="B113" s="10" t="s">
        <v>201</v>
      </c>
      <c r="C113" s="12"/>
      <c r="D113" s="10" t="s">
        <v>208</v>
      </c>
      <c r="E113" s="12"/>
      <c r="F113" s="10" t="s">
        <v>194</v>
      </c>
      <c r="G113" s="10" t="s">
        <v>211</v>
      </c>
      <c r="H113" s="11">
        <v>1</v>
      </c>
      <c r="I113" s="11">
        <v>106.9</v>
      </c>
      <c r="J113" s="8"/>
      <c r="K113" s="6"/>
      <c r="L113" s="6"/>
      <c r="M113" s="6"/>
      <c r="N113" s="6"/>
    </row>
    <row r="114" spans="1:14" ht="17.100000000000001" customHeight="1" x14ac:dyDescent="0.25">
      <c r="A114" s="228"/>
      <c r="B114" s="10" t="s">
        <v>212</v>
      </c>
      <c r="C114" s="12"/>
      <c r="D114" s="10" t="s">
        <v>205</v>
      </c>
      <c r="E114" s="12"/>
      <c r="F114" s="10" t="s">
        <v>194</v>
      </c>
      <c r="G114" s="10" t="s">
        <v>211</v>
      </c>
      <c r="H114" s="11">
        <v>1</v>
      </c>
      <c r="I114" s="11">
        <v>182.5</v>
      </c>
      <c r="J114" s="8"/>
      <c r="K114" s="6"/>
      <c r="L114" s="6"/>
      <c r="M114" s="6"/>
      <c r="N114" s="6"/>
    </row>
    <row r="115" spans="1:14" ht="17.100000000000001" customHeight="1" x14ac:dyDescent="0.25">
      <c r="A115" s="228"/>
      <c r="B115" s="10" t="s">
        <v>205</v>
      </c>
      <c r="C115" s="12"/>
      <c r="D115" s="10" t="s">
        <v>196</v>
      </c>
      <c r="E115" s="12"/>
      <c r="F115" s="10" t="s">
        <v>194</v>
      </c>
      <c r="G115" s="10" t="s">
        <v>211</v>
      </c>
      <c r="H115" s="11">
        <v>1</v>
      </c>
      <c r="I115" s="11">
        <v>153.1</v>
      </c>
      <c r="J115" s="8"/>
      <c r="K115" s="6"/>
      <c r="L115" s="6"/>
      <c r="M115" s="6"/>
      <c r="N115" s="6"/>
    </row>
    <row r="116" spans="1:14" ht="17.100000000000001" customHeight="1" x14ac:dyDescent="0.25">
      <c r="A116" s="228"/>
      <c r="B116" s="10" t="s">
        <v>196</v>
      </c>
      <c r="C116" s="12"/>
      <c r="D116" s="10" t="s">
        <v>213</v>
      </c>
      <c r="E116" s="12"/>
      <c r="F116" s="10" t="s">
        <v>194</v>
      </c>
      <c r="G116" s="10" t="s">
        <v>211</v>
      </c>
      <c r="H116" s="11">
        <v>1</v>
      </c>
      <c r="I116" s="11">
        <v>276</v>
      </c>
      <c r="J116" s="8"/>
      <c r="K116" s="6"/>
      <c r="L116" s="6"/>
      <c r="M116" s="6"/>
      <c r="N116" s="6"/>
    </row>
    <row r="117" spans="1:14" ht="17.100000000000001" customHeight="1" x14ac:dyDescent="0.25">
      <c r="A117" s="228"/>
      <c r="B117" s="10" t="s">
        <v>214</v>
      </c>
      <c r="C117" s="12"/>
      <c r="D117" s="10" t="s">
        <v>196</v>
      </c>
      <c r="E117" s="12"/>
      <c r="F117" s="10" t="s">
        <v>194</v>
      </c>
      <c r="G117" s="10" t="s">
        <v>195</v>
      </c>
      <c r="H117" s="11">
        <v>1</v>
      </c>
      <c r="I117" s="11">
        <v>57.7</v>
      </c>
      <c r="J117" s="8"/>
      <c r="K117" s="6"/>
      <c r="L117" s="6"/>
      <c r="M117" s="6"/>
      <c r="N117" s="6"/>
    </row>
    <row r="118" spans="1:14" ht="17.100000000000001" customHeight="1" x14ac:dyDescent="0.25">
      <c r="A118" s="228"/>
      <c r="B118" s="10" t="s">
        <v>214</v>
      </c>
      <c r="C118" s="12"/>
      <c r="D118" s="10" t="s">
        <v>196</v>
      </c>
      <c r="E118" s="12"/>
      <c r="F118" s="10" t="s">
        <v>194</v>
      </c>
      <c r="G118" s="10" t="s">
        <v>198</v>
      </c>
      <c r="H118" s="11">
        <v>1</v>
      </c>
      <c r="I118" s="11">
        <v>28.8</v>
      </c>
      <c r="J118" s="8"/>
      <c r="K118" s="6"/>
      <c r="L118" s="6"/>
      <c r="M118" s="6"/>
      <c r="N118" s="6"/>
    </row>
    <row r="119" spans="1:14" ht="17.100000000000001" customHeight="1" x14ac:dyDescent="0.25">
      <c r="A119" s="228"/>
      <c r="B119" s="10" t="s">
        <v>196</v>
      </c>
      <c r="C119" s="12"/>
      <c r="D119" s="10" t="s">
        <v>201</v>
      </c>
      <c r="E119" s="12"/>
      <c r="F119" s="10" t="s">
        <v>194</v>
      </c>
      <c r="G119" s="10" t="s">
        <v>195</v>
      </c>
      <c r="H119" s="11">
        <v>1</v>
      </c>
      <c r="I119" s="11">
        <v>464.4</v>
      </c>
      <c r="J119" s="8"/>
      <c r="K119" s="6"/>
      <c r="L119" s="6"/>
      <c r="M119" s="6"/>
      <c r="N119" s="6"/>
    </row>
    <row r="120" spans="1:14" ht="17.100000000000001" customHeight="1" x14ac:dyDescent="0.25">
      <c r="A120" s="229"/>
      <c r="B120" s="230" t="s">
        <v>56</v>
      </c>
      <c r="C120" s="231"/>
      <c r="D120" s="231"/>
      <c r="E120" s="231"/>
      <c r="F120" s="231"/>
      <c r="G120" s="231"/>
      <c r="H120" s="232">
        <f>SUM(I8:I119)</f>
        <v>14943.484444444442</v>
      </c>
      <c r="I120" s="231"/>
      <c r="J120" s="8"/>
      <c r="K120" s="6"/>
      <c r="L120" s="6"/>
      <c r="M120" s="6"/>
      <c r="N120" s="6"/>
    </row>
    <row r="121" spans="1:14" ht="17.100000000000001" customHeight="1" x14ac:dyDescent="0.25">
      <c r="A121" s="270" t="s">
        <v>95</v>
      </c>
      <c r="B121" s="25" t="s">
        <v>96</v>
      </c>
      <c r="C121" s="25" t="s">
        <v>97</v>
      </c>
      <c r="D121" s="25" t="s">
        <v>9</v>
      </c>
      <c r="E121" s="25" t="s">
        <v>98</v>
      </c>
      <c r="F121" s="241" t="s">
        <v>99</v>
      </c>
      <c r="G121" s="242"/>
      <c r="H121" s="241" t="s">
        <v>100</v>
      </c>
      <c r="I121" s="242"/>
      <c r="J121" s="8"/>
      <c r="K121" s="6"/>
      <c r="L121" s="6"/>
      <c r="M121" s="6"/>
      <c r="N121" s="6"/>
    </row>
    <row r="122" spans="1:14" ht="17.100000000000001" customHeight="1" x14ac:dyDescent="0.25">
      <c r="A122" s="271"/>
      <c r="B122" s="10" t="s">
        <v>215</v>
      </c>
      <c r="C122" s="10" t="s">
        <v>102</v>
      </c>
      <c r="D122" s="11">
        <f>683+20</f>
        <v>703</v>
      </c>
      <c r="E122" s="10" t="s">
        <v>216</v>
      </c>
      <c r="F122" s="232">
        <f>D122*2.3</f>
        <v>1616.8999999999999</v>
      </c>
      <c r="G122" s="231"/>
      <c r="H122" s="232">
        <v>4256</v>
      </c>
      <c r="I122" s="231"/>
      <c r="J122" s="8"/>
      <c r="K122" s="6"/>
      <c r="L122" s="6"/>
      <c r="M122" s="6"/>
      <c r="N122" s="6"/>
    </row>
    <row r="123" spans="1:14" ht="17.100000000000001" customHeight="1" x14ac:dyDescent="0.25">
      <c r="A123" s="271"/>
      <c r="B123" s="10" t="s">
        <v>217</v>
      </c>
      <c r="C123" s="10" t="s">
        <v>218</v>
      </c>
      <c r="D123" s="11">
        <v>8</v>
      </c>
      <c r="E123" s="10" t="s">
        <v>219</v>
      </c>
      <c r="F123" s="232">
        <f>D123*6.75</f>
        <v>54</v>
      </c>
      <c r="G123" s="231"/>
      <c r="H123" s="232">
        <v>142.13900000000001</v>
      </c>
      <c r="I123" s="231"/>
      <c r="J123" s="8"/>
      <c r="K123" s="6"/>
      <c r="L123" s="6"/>
      <c r="M123" s="6"/>
      <c r="N123" s="6"/>
    </row>
    <row r="124" spans="1:14" ht="17.100000000000001" customHeight="1" x14ac:dyDescent="0.25">
      <c r="A124" s="271"/>
      <c r="B124" s="10" t="s">
        <v>220</v>
      </c>
      <c r="C124" s="10" t="s">
        <v>221</v>
      </c>
      <c r="D124" s="11">
        <v>217</v>
      </c>
      <c r="E124" s="10" t="s">
        <v>222</v>
      </c>
      <c r="F124" s="232">
        <f>D124*0.075</f>
        <v>16.274999999999999</v>
      </c>
      <c r="G124" s="231"/>
      <c r="H124" s="232">
        <v>42.838999999999999</v>
      </c>
      <c r="I124" s="231"/>
      <c r="J124" s="8"/>
      <c r="K124" s="6"/>
      <c r="L124" s="6"/>
      <c r="M124" s="6"/>
      <c r="N124" s="6"/>
    </row>
    <row r="125" spans="1:14" ht="17.100000000000001" customHeight="1" x14ac:dyDescent="0.25">
      <c r="A125" s="271"/>
      <c r="B125" s="10" t="s">
        <v>223</v>
      </c>
      <c r="C125" s="10" t="s">
        <v>218</v>
      </c>
      <c r="D125" s="11">
        <v>21</v>
      </c>
      <c r="E125" s="10" t="s">
        <v>219</v>
      </c>
      <c r="F125" s="232">
        <f>D125*6</f>
        <v>126</v>
      </c>
      <c r="G125" s="231"/>
      <c r="H125" s="232">
        <v>331.65699999999998</v>
      </c>
      <c r="I125" s="231"/>
      <c r="J125" s="8"/>
      <c r="K125" s="6"/>
      <c r="L125" s="6"/>
      <c r="M125" s="6"/>
      <c r="N125" s="6"/>
    </row>
    <row r="126" spans="1:14" ht="17.100000000000001" customHeight="1" x14ac:dyDescent="0.25">
      <c r="A126" s="272"/>
      <c r="B126" s="10" t="s">
        <v>224</v>
      </c>
      <c r="C126" s="10" t="s">
        <v>221</v>
      </c>
      <c r="D126" s="11">
        <v>84</v>
      </c>
      <c r="E126" s="10" t="s">
        <v>225</v>
      </c>
      <c r="F126" s="232">
        <f>D126*0.045</f>
        <v>3.78</v>
      </c>
      <c r="G126" s="231"/>
      <c r="H126" s="232">
        <v>9.9497</v>
      </c>
      <c r="I126" s="231"/>
      <c r="J126" s="8"/>
      <c r="K126" s="6"/>
      <c r="L126" s="6"/>
      <c r="M126" s="6"/>
      <c r="N126" s="6"/>
    </row>
    <row r="127" spans="1:14" ht="17.100000000000001" customHeight="1" x14ac:dyDescent="0.25">
      <c r="A127" s="227" t="s">
        <v>105</v>
      </c>
      <c r="B127" s="28" t="s">
        <v>106</v>
      </c>
      <c r="C127" s="28" t="s">
        <v>9</v>
      </c>
      <c r="D127" s="28" t="s">
        <v>107</v>
      </c>
      <c r="E127" s="28" t="s">
        <v>108</v>
      </c>
      <c r="F127" s="29" t="s">
        <v>109</v>
      </c>
      <c r="G127" s="28" t="s">
        <v>9</v>
      </c>
      <c r="H127" s="28" t="s">
        <v>107</v>
      </c>
      <c r="I127" s="28" t="s">
        <v>110</v>
      </c>
      <c r="J127" s="8"/>
      <c r="K127" s="6"/>
      <c r="L127" s="6"/>
      <c r="M127" s="6"/>
      <c r="N127" s="6"/>
    </row>
    <row r="128" spans="1:14" ht="15.95" customHeight="1" x14ac:dyDescent="0.25">
      <c r="A128" s="228"/>
      <c r="B128" s="10" t="s">
        <v>226</v>
      </c>
      <c r="C128" s="11">
        <v>6829.2</v>
      </c>
      <c r="D128" s="11">
        <f>C128/1000</f>
        <v>6.8292000000000002</v>
      </c>
      <c r="E128" s="11">
        <f>-1.91*1000</f>
        <v>-1910</v>
      </c>
      <c r="F128" s="284" t="s">
        <v>227</v>
      </c>
      <c r="G128" s="281">
        <v>44187</v>
      </c>
      <c r="H128" s="286">
        <f>G128/1000</f>
        <v>44.186999999999998</v>
      </c>
      <c r="I128" s="243">
        <f>4.17*1000</f>
        <v>4170</v>
      </c>
      <c r="J128" s="8"/>
      <c r="K128" s="6"/>
      <c r="L128" s="6"/>
      <c r="M128" s="6"/>
      <c r="N128" s="6"/>
    </row>
    <row r="129" spans="1:14" ht="17.100000000000001" customHeight="1" x14ac:dyDescent="0.25">
      <c r="A129" s="228"/>
      <c r="B129" s="10" t="s">
        <v>228</v>
      </c>
      <c r="C129" s="11">
        <v>516.6</v>
      </c>
      <c r="D129" s="11">
        <f>C129/1000</f>
        <v>0.51660000000000006</v>
      </c>
      <c r="E129" s="11">
        <f>-0.61*1000</f>
        <v>-610</v>
      </c>
      <c r="F129" s="285"/>
      <c r="G129" s="282"/>
      <c r="H129" s="287"/>
      <c r="I129" s="244"/>
      <c r="J129" s="8"/>
      <c r="K129" s="6"/>
      <c r="L129" s="6"/>
      <c r="M129" s="6"/>
      <c r="N129" s="6"/>
    </row>
    <row r="130" spans="1:14" ht="17.100000000000001" customHeight="1" x14ac:dyDescent="0.25">
      <c r="A130" s="228"/>
      <c r="B130" s="10" t="s">
        <v>229</v>
      </c>
      <c r="C130" s="11">
        <v>201.6</v>
      </c>
      <c r="D130" s="11">
        <f>C130/1000</f>
        <v>0.2016</v>
      </c>
      <c r="E130" s="11">
        <f>-0.02*1000</f>
        <v>-20</v>
      </c>
      <c r="F130" s="285"/>
      <c r="G130" s="283"/>
      <c r="H130" s="288"/>
      <c r="I130" s="244"/>
      <c r="J130" s="8"/>
      <c r="K130" s="6"/>
      <c r="L130" s="6"/>
      <c r="M130" s="6"/>
      <c r="N130" s="6"/>
    </row>
    <row r="131" spans="1:14" ht="31.5" customHeight="1" x14ac:dyDescent="0.25">
      <c r="A131" s="228"/>
      <c r="B131" s="10" t="s">
        <v>230</v>
      </c>
      <c r="C131" s="11">
        <v>200.8</v>
      </c>
      <c r="D131" s="11">
        <f>C131/1000</f>
        <v>0.20080000000000001</v>
      </c>
      <c r="E131" s="11">
        <f>-0.17*1000</f>
        <v>-170</v>
      </c>
      <c r="F131" s="36" t="s">
        <v>231</v>
      </c>
      <c r="G131" s="37">
        <v>174.09</v>
      </c>
      <c r="H131" s="24">
        <f>G131/1000</f>
        <v>0.17408999999999999</v>
      </c>
      <c r="I131" s="244"/>
      <c r="J131" s="8"/>
      <c r="K131" s="6"/>
      <c r="L131" s="6"/>
      <c r="M131" s="6"/>
      <c r="N131" s="6"/>
    </row>
    <row r="132" spans="1:14" ht="17.100000000000001" customHeight="1" x14ac:dyDescent="0.25">
      <c r="A132" s="228"/>
      <c r="B132" s="10" t="s">
        <v>95</v>
      </c>
      <c r="C132" s="11">
        <f>100.8+207.9</f>
        <v>308.7</v>
      </c>
      <c r="D132" s="11">
        <f>C132/1000</f>
        <v>0.30869999999999997</v>
      </c>
      <c r="E132" s="11">
        <f>-0.3*1000</f>
        <v>-300</v>
      </c>
      <c r="F132" s="237" t="s">
        <v>232</v>
      </c>
      <c r="G132" s="278">
        <v>190.02</v>
      </c>
      <c r="H132" s="286">
        <f>G132/1000</f>
        <v>0.19002000000000002</v>
      </c>
      <c r="I132" s="244"/>
      <c r="J132" s="8"/>
      <c r="K132" s="6"/>
      <c r="L132" s="6"/>
      <c r="M132" s="6"/>
      <c r="N132" s="6"/>
    </row>
    <row r="133" spans="1:14" ht="17.100000000000001" customHeight="1" x14ac:dyDescent="0.25">
      <c r="A133" s="228"/>
      <c r="B133" s="10" t="s">
        <v>226</v>
      </c>
      <c r="C133" s="11">
        <v>0</v>
      </c>
      <c r="D133" s="11">
        <v>0</v>
      </c>
      <c r="E133" s="12"/>
      <c r="F133" s="238"/>
      <c r="G133" s="279"/>
      <c r="H133" s="287"/>
      <c r="I133" s="244"/>
      <c r="J133" s="8"/>
      <c r="K133" s="6"/>
      <c r="L133" s="6"/>
      <c r="M133" s="6"/>
      <c r="N133" s="6"/>
    </row>
    <row r="134" spans="1:14" ht="17.100000000000001" customHeight="1" x14ac:dyDescent="0.25">
      <c r="A134" s="228"/>
      <c r="B134" s="10" t="s">
        <v>228</v>
      </c>
      <c r="C134" s="11">
        <v>0</v>
      </c>
      <c r="D134" s="11">
        <f>C134/1000</f>
        <v>0</v>
      </c>
      <c r="E134" s="12"/>
      <c r="F134" s="238"/>
      <c r="G134" s="280"/>
      <c r="H134" s="288"/>
      <c r="I134" s="245"/>
      <c r="J134" s="8"/>
      <c r="K134" s="6"/>
      <c r="L134" s="6"/>
      <c r="M134" s="6"/>
      <c r="N134" s="6"/>
    </row>
    <row r="135" spans="1:14" ht="17.100000000000001" customHeight="1" x14ac:dyDescent="0.25">
      <c r="A135" s="38"/>
      <c r="B135" s="17"/>
      <c r="C135" s="17"/>
      <c r="D135" s="17"/>
      <c r="E135" s="17"/>
      <c r="F135" s="17"/>
      <c r="G135" s="17"/>
      <c r="H135" s="17"/>
      <c r="I135" s="17"/>
      <c r="J135" s="6"/>
      <c r="K135" s="6"/>
      <c r="L135" s="6"/>
      <c r="M135" s="6"/>
      <c r="N135" s="6"/>
    </row>
    <row r="136" spans="1:14" ht="17.100000000000001" customHeight="1" x14ac:dyDescent="0.25">
      <c r="A136" s="6"/>
      <c r="B136" s="6"/>
      <c r="C136" s="6"/>
      <c r="D136" s="6"/>
      <c r="E136" s="6"/>
      <c r="F136" s="6"/>
      <c r="G136" s="6"/>
      <c r="H136" s="6"/>
      <c r="I136" s="6"/>
      <c r="J136" s="6"/>
      <c r="K136" s="6"/>
      <c r="L136" s="6"/>
      <c r="M136" s="6"/>
      <c r="N136" s="6"/>
    </row>
    <row r="137" spans="1:14" ht="17.100000000000001" customHeight="1" x14ac:dyDescent="0.25">
      <c r="A137" s="6"/>
      <c r="B137" s="6"/>
      <c r="C137" s="6"/>
      <c r="D137" s="6"/>
      <c r="E137" s="6"/>
      <c r="F137" s="6"/>
      <c r="G137" s="6"/>
      <c r="H137" s="6"/>
      <c r="I137" s="6"/>
      <c r="J137" s="6"/>
      <c r="K137" s="6"/>
      <c r="L137" s="6"/>
      <c r="M137" s="6"/>
      <c r="N137" s="6"/>
    </row>
  </sheetData>
  <mergeCells count="39">
    <mergeCell ref="H132:H134"/>
    <mergeCell ref="I128:I134"/>
    <mergeCell ref="H124:I124"/>
    <mergeCell ref="H125:I125"/>
    <mergeCell ref="H126:I126"/>
    <mergeCell ref="F121:G121"/>
    <mergeCell ref="H121:I121"/>
    <mergeCell ref="F122:G122"/>
    <mergeCell ref="H122:I122"/>
    <mergeCell ref="H128:H130"/>
    <mergeCell ref="A127:A134"/>
    <mergeCell ref="F132:F134"/>
    <mergeCell ref="G132:G134"/>
    <mergeCell ref="G128:G130"/>
    <mergeCell ref="F128:F130"/>
    <mergeCell ref="A3:G3"/>
    <mergeCell ref="A4:A6"/>
    <mergeCell ref="E13:F13"/>
    <mergeCell ref="E14:F14"/>
    <mergeCell ref="C7:E7"/>
    <mergeCell ref="A7:A8"/>
    <mergeCell ref="C8:E8"/>
    <mergeCell ref="A9:A12"/>
    <mergeCell ref="E15:F15"/>
    <mergeCell ref="A13:A15"/>
    <mergeCell ref="A16:F16"/>
    <mergeCell ref="F123:G123"/>
    <mergeCell ref="H123:I123"/>
    <mergeCell ref="A19:F19"/>
    <mergeCell ref="A84:I84"/>
    <mergeCell ref="B120:G120"/>
    <mergeCell ref="H120:I120"/>
    <mergeCell ref="A85:A120"/>
    <mergeCell ref="A20:A81"/>
    <mergeCell ref="B81:E81"/>
    <mergeCell ref="A121:A126"/>
    <mergeCell ref="F124:G124"/>
    <mergeCell ref="F125:G125"/>
    <mergeCell ref="F126:G126"/>
  </mergeCells>
  <pageMargins left="0.7" right="0.7" top="0.75" bottom="0.75" header="0.3" footer="0.3"/>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1"/>
  <sheetViews>
    <sheetView showGridLines="0" workbookViewId="0"/>
  </sheetViews>
  <sheetFormatPr baseColWidth="10" defaultColWidth="10.875" defaultRowHeight="15.75" customHeight="1" x14ac:dyDescent="0.25"/>
  <cols>
    <col min="1" max="1" width="10.875" style="39" customWidth="1"/>
    <col min="2" max="2" width="17.125" style="39" customWidth="1"/>
    <col min="3" max="3" width="10.875" style="39" customWidth="1"/>
    <col min="4" max="4" width="12" style="39" customWidth="1"/>
    <col min="5" max="5" width="15.875" style="39" customWidth="1"/>
    <col min="6" max="6" width="29.875" style="39" customWidth="1"/>
    <col min="7" max="7" width="11.625" style="39" customWidth="1"/>
    <col min="8" max="8" width="12.5" style="39" customWidth="1"/>
    <col min="9" max="256" width="10.875" style="39" customWidth="1"/>
  </cols>
  <sheetData>
    <row r="1" spans="1:14" ht="17.100000000000001" customHeight="1" x14ac:dyDescent="0.25">
      <c r="A1" s="6"/>
      <c r="B1" s="6"/>
      <c r="C1" s="6"/>
      <c r="D1" s="6"/>
      <c r="E1" s="6"/>
      <c r="F1" s="6"/>
      <c r="G1" s="6"/>
      <c r="H1" s="6"/>
      <c r="I1" s="6"/>
      <c r="J1" s="6"/>
      <c r="K1" s="6"/>
      <c r="L1" s="6"/>
      <c r="M1" s="6"/>
      <c r="N1" s="6"/>
    </row>
    <row r="2" spans="1:14" ht="17.100000000000001" customHeight="1" x14ac:dyDescent="0.25">
      <c r="A2" s="7"/>
      <c r="B2" s="7"/>
      <c r="C2" s="40">
        <f>1206+C5+C6</f>
        <v>1407.42</v>
      </c>
      <c r="D2" s="7"/>
      <c r="E2" s="7"/>
      <c r="F2" s="7"/>
      <c r="G2" s="7"/>
      <c r="H2" s="6"/>
      <c r="I2" s="6"/>
      <c r="J2" s="6"/>
      <c r="K2" s="6"/>
      <c r="L2" s="6"/>
      <c r="M2" s="6"/>
      <c r="N2" s="6"/>
    </row>
    <row r="3" spans="1:14" ht="17.100000000000001" customHeight="1" x14ac:dyDescent="0.25">
      <c r="A3" s="257" t="s">
        <v>6</v>
      </c>
      <c r="B3" s="258"/>
      <c r="C3" s="258"/>
      <c r="D3" s="258"/>
      <c r="E3" s="258"/>
      <c r="F3" s="258"/>
      <c r="G3" s="258"/>
      <c r="H3" s="8"/>
      <c r="I3" s="6"/>
      <c r="J3" s="6"/>
      <c r="K3" s="6"/>
      <c r="L3" s="6"/>
      <c r="M3" s="6"/>
      <c r="N3" s="6"/>
    </row>
    <row r="4" spans="1:14" ht="17.100000000000001" customHeight="1" x14ac:dyDescent="0.25">
      <c r="A4" s="259" t="s">
        <v>7</v>
      </c>
      <c r="B4" s="9" t="s">
        <v>8</v>
      </c>
      <c r="C4" s="9" t="s">
        <v>9</v>
      </c>
      <c r="D4" s="9" t="s">
        <v>10</v>
      </c>
      <c r="E4" s="9" t="s">
        <v>11</v>
      </c>
      <c r="F4" s="9" t="s">
        <v>12</v>
      </c>
      <c r="G4" s="9" t="s">
        <v>13</v>
      </c>
      <c r="H4" s="8"/>
      <c r="I4" s="6"/>
      <c r="J4" s="6"/>
      <c r="K4" s="6"/>
      <c r="L4" s="6"/>
      <c r="M4" s="6"/>
      <c r="N4" s="6"/>
    </row>
    <row r="5" spans="1:14" ht="17.100000000000001" customHeight="1" x14ac:dyDescent="0.25">
      <c r="A5" s="260"/>
      <c r="B5" s="10" t="s">
        <v>18</v>
      </c>
      <c r="C5" s="11">
        <f>150+I4</f>
        <v>150</v>
      </c>
      <c r="D5" s="10" t="s">
        <v>15</v>
      </c>
      <c r="E5" s="12"/>
      <c r="F5" s="41">
        <v>7.6181000000000001</v>
      </c>
      <c r="G5" s="11">
        <f>F5*C5</f>
        <v>1142.7149999999999</v>
      </c>
      <c r="H5" s="8"/>
      <c r="I5" s="6"/>
      <c r="J5" s="6"/>
      <c r="K5" s="6"/>
      <c r="L5" s="6"/>
      <c r="M5" s="6"/>
      <c r="N5" s="6"/>
    </row>
    <row r="6" spans="1:14" ht="17.100000000000001" customHeight="1" x14ac:dyDescent="0.25">
      <c r="A6" s="261"/>
      <c r="B6" s="10" t="s">
        <v>234</v>
      </c>
      <c r="C6" s="11">
        <v>51.42</v>
      </c>
      <c r="D6" s="10" t="s">
        <v>15</v>
      </c>
      <c r="E6" s="12"/>
      <c r="F6" s="11">
        <v>10.148999999999999</v>
      </c>
      <c r="G6" s="11">
        <f>F6*C6</f>
        <v>521.86158</v>
      </c>
      <c r="H6" s="8"/>
      <c r="I6" s="6"/>
      <c r="J6" s="6"/>
      <c r="K6" s="6"/>
      <c r="L6" s="6"/>
      <c r="M6" s="6"/>
      <c r="N6" s="6"/>
    </row>
    <row r="7" spans="1:14" ht="17.100000000000001" customHeight="1" x14ac:dyDescent="0.25">
      <c r="A7" s="13" t="s">
        <v>19</v>
      </c>
      <c r="B7" s="9" t="s">
        <v>20</v>
      </c>
      <c r="C7" s="250" t="s">
        <v>21</v>
      </c>
      <c r="D7" s="252"/>
      <c r="E7" s="251"/>
      <c r="F7" s="9" t="s">
        <v>12</v>
      </c>
      <c r="G7" s="9" t="s">
        <v>13</v>
      </c>
      <c r="H7" s="8"/>
      <c r="I7" s="6"/>
      <c r="J7" s="6"/>
      <c r="K7" s="6"/>
      <c r="L7" s="6"/>
      <c r="M7" s="6"/>
      <c r="N7" s="6"/>
    </row>
    <row r="8" spans="1:14" ht="17.100000000000001" customHeight="1" x14ac:dyDescent="0.25">
      <c r="A8" s="259" t="s">
        <v>23</v>
      </c>
      <c r="B8" s="9" t="s">
        <v>20</v>
      </c>
      <c r="C8" s="9" t="s">
        <v>24</v>
      </c>
      <c r="D8" s="9" t="s">
        <v>25</v>
      </c>
      <c r="E8" s="9" t="s">
        <v>26</v>
      </c>
      <c r="F8" s="9" t="s">
        <v>12</v>
      </c>
      <c r="G8" s="9" t="s">
        <v>13</v>
      </c>
      <c r="H8" s="8"/>
      <c r="I8" s="6"/>
      <c r="J8" s="6"/>
      <c r="K8" s="6"/>
      <c r="L8" s="6"/>
      <c r="M8" s="6"/>
      <c r="N8" s="6"/>
    </row>
    <row r="9" spans="1:14" ht="17.100000000000001" customHeight="1" x14ac:dyDescent="0.25">
      <c r="A9" s="260"/>
      <c r="B9" s="10" t="s">
        <v>28</v>
      </c>
      <c r="C9" s="11">
        <v>15</v>
      </c>
      <c r="D9" s="11">
        <v>9</v>
      </c>
      <c r="E9" s="11">
        <f>D9*C9</f>
        <v>135</v>
      </c>
      <c r="F9" s="11">
        <v>0</v>
      </c>
      <c r="G9" s="11">
        <f>F9*E9</f>
        <v>0</v>
      </c>
      <c r="H9" s="8"/>
      <c r="I9" s="6"/>
      <c r="J9" s="6"/>
      <c r="K9" s="6"/>
      <c r="L9" s="6"/>
      <c r="M9" s="6"/>
      <c r="N9" s="6"/>
    </row>
    <row r="10" spans="1:14" ht="17.100000000000001" customHeight="1" x14ac:dyDescent="0.25">
      <c r="A10" s="261"/>
      <c r="B10" s="10" t="s">
        <v>28</v>
      </c>
      <c r="C10" s="11">
        <v>119</v>
      </c>
      <c r="D10" s="11">
        <v>3.7</v>
      </c>
      <c r="E10" s="11">
        <f>D10*C10</f>
        <v>440.3</v>
      </c>
      <c r="F10" s="11">
        <v>0</v>
      </c>
      <c r="G10" s="11">
        <f>F10*E10</f>
        <v>0</v>
      </c>
      <c r="H10" s="8"/>
      <c r="I10" s="6"/>
      <c r="J10" s="6"/>
      <c r="K10" s="6"/>
      <c r="L10" s="6"/>
      <c r="M10" s="6"/>
      <c r="N10" s="6"/>
    </row>
    <row r="11" spans="1:14" ht="17.100000000000001" customHeight="1" x14ac:dyDescent="0.25">
      <c r="A11" s="262" t="s">
        <v>29</v>
      </c>
      <c r="B11" s="9" t="s">
        <v>20</v>
      </c>
      <c r="C11" s="9" t="s">
        <v>9</v>
      </c>
      <c r="D11" s="9" t="s">
        <v>30</v>
      </c>
      <c r="E11" s="273" t="s">
        <v>12</v>
      </c>
      <c r="F11" s="274"/>
      <c r="G11" s="9" t="s">
        <v>13</v>
      </c>
      <c r="H11" s="8"/>
      <c r="I11" s="6"/>
      <c r="J11" s="6"/>
      <c r="K11" s="6"/>
      <c r="L11" s="6"/>
      <c r="M11" s="6"/>
      <c r="N11" s="6"/>
    </row>
    <row r="12" spans="1:14" ht="17.100000000000001" customHeight="1" x14ac:dyDescent="0.25">
      <c r="A12" s="263"/>
      <c r="B12" s="10" t="s">
        <v>34</v>
      </c>
      <c r="C12" s="11">
        <v>200</v>
      </c>
      <c r="D12" s="10" t="s">
        <v>33</v>
      </c>
      <c r="E12" s="232">
        <v>298</v>
      </c>
      <c r="F12" s="231"/>
      <c r="G12" s="11">
        <f>E12*C12</f>
        <v>59600</v>
      </c>
      <c r="H12" s="8"/>
      <c r="I12" s="6"/>
      <c r="J12" s="6"/>
      <c r="K12" s="6"/>
      <c r="L12" s="6"/>
      <c r="M12" s="6"/>
      <c r="N12" s="6"/>
    </row>
    <row r="13" spans="1:14" ht="17.100000000000001" customHeight="1" x14ac:dyDescent="0.25">
      <c r="A13" s="255" t="s">
        <v>35</v>
      </c>
      <c r="B13" s="256"/>
      <c r="C13" s="256"/>
      <c r="D13" s="256"/>
      <c r="E13" s="256"/>
      <c r="F13" s="256"/>
      <c r="G13" s="11">
        <f>G5+G12+G10+G9+G6</f>
        <v>61264.576579999994</v>
      </c>
      <c r="H13" s="8"/>
      <c r="I13" s="6"/>
      <c r="J13" s="6"/>
      <c r="K13" s="6"/>
      <c r="L13" s="6"/>
      <c r="M13" s="6"/>
      <c r="N13" s="6"/>
    </row>
    <row r="14" spans="1:14" ht="17.100000000000001" customHeight="1" x14ac:dyDescent="0.25">
      <c r="A14" s="33"/>
      <c r="B14" s="34"/>
      <c r="C14" s="35"/>
      <c r="D14" s="17"/>
      <c r="E14" s="17"/>
      <c r="F14" s="17"/>
      <c r="G14" s="17"/>
      <c r="H14" s="6"/>
      <c r="I14" s="6"/>
      <c r="J14" s="6"/>
      <c r="K14" s="6"/>
      <c r="L14" s="6"/>
      <c r="M14" s="6"/>
      <c r="N14" s="6"/>
    </row>
    <row r="15" spans="1:14" ht="17.100000000000001" customHeight="1" x14ac:dyDescent="0.25">
      <c r="A15" s="7"/>
      <c r="B15" s="7"/>
      <c r="C15" s="7"/>
      <c r="D15" s="7"/>
      <c r="E15" s="7"/>
      <c r="F15" s="7"/>
      <c r="G15" s="6"/>
      <c r="H15" s="6"/>
      <c r="I15" s="6"/>
      <c r="J15" s="6"/>
      <c r="K15" s="6"/>
      <c r="L15" s="6"/>
      <c r="M15" s="6"/>
      <c r="N15" s="6"/>
    </row>
    <row r="16" spans="1:14" ht="17.100000000000001" customHeight="1" x14ac:dyDescent="0.25">
      <c r="A16" s="264" t="s">
        <v>37</v>
      </c>
      <c r="B16" s="265"/>
      <c r="C16" s="265"/>
      <c r="D16" s="265"/>
      <c r="E16" s="265"/>
      <c r="F16" s="266"/>
      <c r="G16" s="8"/>
      <c r="H16" s="6"/>
      <c r="I16" s="6"/>
      <c r="J16" s="6"/>
      <c r="K16" s="6"/>
      <c r="L16" s="6"/>
      <c r="M16" s="6"/>
      <c r="N16" s="6"/>
    </row>
    <row r="17" spans="1:14" ht="17.100000000000001" customHeight="1" x14ac:dyDescent="0.25">
      <c r="A17" s="267" t="s">
        <v>38</v>
      </c>
      <c r="B17" s="20" t="s">
        <v>39</v>
      </c>
      <c r="C17" s="20" t="s">
        <v>40</v>
      </c>
      <c r="D17" s="20" t="s">
        <v>41</v>
      </c>
      <c r="E17" s="20" t="s">
        <v>42</v>
      </c>
      <c r="F17" s="20" t="s">
        <v>13</v>
      </c>
      <c r="G17" s="8"/>
      <c r="H17" s="6"/>
      <c r="I17" s="6"/>
      <c r="J17" s="6"/>
      <c r="K17" s="6"/>
      <c r="L17" s="6"/>
      <c r="M17" s="6"/>
      <c r="N17" s="6"/>
    </row>
    <row r="18" spans="1:14" ht="17.100000000000001" customHeight="1" x14ac:dyDescent="0.25">
      <c r="A18" s="268"/>
      <c r="B18" s="12"/>
      <c r="C18" s="11">
        <v>19162</v>
      </c>
      <c r="D18" s="10" t="s">
        <v>123</v>
      </c>
      <c r="E18" s="24">
        <v>0.12</v>
      </c>
      <c r="F18" s="11">
        <f t="shared" ref="F18:F29" si="0">E18*C18</f>
        <v>2299.44</v>
      </c>
      <c r="G18" s="8"/>
      <c r="H18" s="6"/>
      <c r="I18" s="6"/>
      <c r="J18" s="6"/>
      <c r="K18" s="6"/>
      <c r="L18" s="6"/>
      <c r="M18" s="6"/>
      <c r="N18" s="6"/>
    </row>
    <row r="19" spans="1:14" ht="17.100000000000001" customHeight="1" x14ac:dyDescent="0.25">
      <c r="A19" s="268"/>
      <c r="B19" s="12"/>
      <c r="C19" s="11">
        <v>32927</v>
      </c>
      <c r="D19" s="10" t="s">
        <v>129</v>
      </c>
      <c r="E19" s="24">
        <v>0.12</v>
      </c>
      <c r="F19" s="11">
        <f t="shared" si="0"/>
        <v>3951.24</v>
      </c>
      <c r="G19" s="8"/>
      <c r="H19" s="6"/>
      <c r="I19" s="6"/>
      <c r="J19" s="6"/>
      <c r="K19" s="6"/>
      <c r="L19" s="6"/>
      <c r="M19" s="6"/>
      <c r="N19" s="6"/>
    </row>
    <row r="20" spans="1:14" ht="17.100000000000001" customHeight="1" x14ac:dyDescent="0.25">
      <c r="A20" s="268"/>
      <c r="B20" s="12"/>
      <c r="C20" s="11">
        <v>32148</v>
      </c>
      <c r="D20" s="10" t="s">
        <v>135</v>
      </c>
      <c r="E20" s="24">
        <v>0.12</v>
      </c>
      <c r="F20" s="11">
        <f t="shared" si="0"/>
        <v>3857.7599999999998</v>
      </c>
      <c r="G20" s="8"/>
      <c r="H20" s="6"/>
      <c r="I20" s="6"/>
      <c r="J20" s="6"/>
      <c r="K20" s="6"/>
      <c r="L20" s="6"/>
      <c r="M20" s="6"/>
      <c r="N20" s="6"/>
    </row>
    <row r="21" spans="1:14" ht="17.100000000000001" customHeight="1" x14ac:dyDescent="0.25">
      <c r="A21" s="268"/>
      <c r="B21" s="12"/>
      <c r="C21" s="11">
        <v>35938</v>
      </c>
      <c r="D21" s="10" t="s">
        <v>141</v>
      </c>
      <c r="E21" s="24">
        <v>0.12</v>
      </c>
      <c r="F21" s="11">
        <f t="shared" si="0"/>
        <v>4312.5599999999995</v>
      </c>
      <c r="G21" s="8"/>
      <c r="H21" s="6"/>
      <c r="I21" s="6"/>
      <c r="J21" s="6"/>
      <c r="K21" s="6"/>
      <c r="L21" s="6"/>
      <c r="M21" s="6"/>
      <c r="N21" s="6"/>
    </row>
    <row r="22" spans="1:14" ht="17.100000000000001" customHeight="1" x14ac:dyDescent="0.25">
      <c r="A22" s="268"/>
      <c r="B22" s="12"/>
      <c r="C22" s="11">
        <v>37812</v>
      </c>
      <c r="D22" s="10" t="s">
        <v>147</v>
      </c>
      <c r="E22" s="24">
        <v>0.12</v>
      </c>
      <c r="F22" s="11">
        <f t="shared" si="0"/>
        <v>4537.4399999999996</v>
      </c>
      <c r="G22" s="8"/>
      <c r="H22" s="6"/>
      <c r="I22" s="6"/>
      <c r="J22" s="6"/>
      <c r="K22" s="6"/>
      <c r="L22" s="6"/>
      <c r="M22" s="6"/>
      <c r="N22" s="6"/>
    </row>
    <row r="23" spans="1:14" ht="17.100000000000001" customHeight="1" x14ac:dyDescent="0.25">
      <c r="A23" s="268"/>
      <c r="B23" s="12"/>
      <c r="C23" s="11">
        <v>29335</v>
      </c>
      <c r="D23" s="10" t="s">
        <v>153</v>
      </c>
      <c r="E23" s="24">
        <v>0.12</v>
      </c>
      <c r="F23" s="11">
        <f t="shared" si="0"/>
        <v>3520.2</v>
      </c>
      <c r="G23" s="8"/>
      <c r="H23" s="6"/>
      <c r="I23" s="6"/>
      <c r="J23" s="6"/>
      <c r="K23" s="6"/>
      <c r="L23" s="6"/>
      <c r="M23" s="6"/>
      <c r="N23" s="6"/>
    </row>
    <row r="24" spans="1:14" ht="17.100000000000001" customHeight="1" x14ac:dyDescent="0.25">
      <c r="A24" s="268"/>
      <c r="B24" s="12"/>
      <c r="C24" s="11">
        <v>27316</v>
      </c>
      <c r="D24" s="10" t="s">
        <v>159</v>
      </c>
      <c r="E24" s="24">
        <v>0.12</v>
      </c>
      <c r="F24" s="11">
        <f t="shared" si="0"/>
        <v>3277.92</v>
      </c>
      <c r="G24" s="8"/>
      <c r="H24" s="6"/>
      <c r="I24" s="6"/>
      <c r="J24" s="6"/>
      <c r="K24" s="6"/>
      <c r="L24" s="6"/>
      <c r="M24" s="6"/>
      <c r="N24" s="6"/>
    </row>
    <row r="25" spans="1:14" ht="17.100000000000001" customHeight="1" x14ac:dyDescent="0.25">
      <c r="A25" s="268"/>
      <c r="B25" s="12"/>
      <c r="C25" s="11">
        <v>38100</v>
      </c>
      <c r="D25" s="10" t="s">
        <v>165</v>
      </c>
      <c r="E25" s="24">
        <v>0.12</v>
      </c>
      <c r="F25" s="11">
        <f t="shared" si="0"/>
        <v>4572</v>
      </c>
      <c r="G25" s="8"/>
      <c r="H25" s="6"/>
      <c r="I25" s="6"/>
      <c r="J25" s="6"/>
      <c r="K25" s="6"/>
      <c r="L25" s="6"/>
      <c r="M25" s="6"/>
      <c r="N25" s="6"/>
    </row>
    <row r="26" spans="1:14" ht="17.100000000000001" customHeight="1" x14ac:dyDescent="0.25">
      <c r="A26" s="268"/>
      <c r="B26" s="12"/>
      <c r="C26" s="11">
        <v>38154</v>
      </c>
      <c r="D26" s="10" t="s">
        <v>171</v>
      </c>
      <c r="E26" s="24">
        <v>0.12</v>
      </c>
      <c r="F26" s="11">
        <f t="shared" si="0"/>
        <v>4578.4799999999996</v>
      </c>
      <c r="G26" s="8"/>
      <c r="H26" s="6"/>
      <c r="I26" s="6"/>
      <c r="J26" s="6"/>
      <c r="K26" s="6"/>
      <c r="L26" s="6"/>
      <c r="M26" s="6"/>
      <c r="N26" s="6"/>
    </row>
    <row r="27" spans="1:14" ht="17.100000000000001" customHeight="1" x14ac:dyDescent="0.25">
      <c r="A27" s="268"/>
      <c r="B27" s="12"/>
      <c r="C27" s="11">
        <v>39871</v>
      </c>
      <c r="D27" s="10" t="s">
        <v>177</v>
      </c>
      <c r="E27" s="24">
        <v>0.12</v>
      </c>
      <c r="F27" s="11">
        <f t="shared" si="0"/>
        <v>4784.5199999999995</v>
      </c>
      <c r="G27" s="8"/>
      <c r="H27" s="6"/>
      <c r="I27" s="6"/>
      <c r="J27" s="6"/>
      <c r="K27" s="6"/>
      <c r="L27" s="6"/>
      <c r="M27" s="6"/>
      <c r="N27" s="6"/>
    </row>
    <row r="28" spans="1:14" ht="17.100000000000001" customHeight="1" x14ac:dyDescent="0.25">
      <c r="A28" s="268"/>
      <c r="B28" s="12"/>
      <c r="C28" s="11">
        <v>35390</v>
      </c>
      <c r="D28" s="10" t="s">
        <v>183</v>
      </c>
      <c r="E28" s="24">
        <v>0.12</v>
      </c>
      <c r="F28" s="11">
        <f t="shared" si="0"/>
        <v>4246.8</v>
      </c>
      <c r="G28" s="8"/>
      <c r="H28" s="6"/>
      <c r="I28" s="6"/>
      <c r="J28" s="6"/>
      <c r="K28" s="6"/>
      <c r="L28" s="6"/>
      <c r="M28" s="6"/>
      <c r="N28" s="6"/>
    </row>
    <row r="29" spans="1:14" ht="17.100000000000001" customHeight="1" x14ac:dyDescent="0.25">
      <c r="A29" s="268"/>
      <c r="B29" s="12"/>
      <c r="C29" s="11">
        <v>19610</v>
      </c>
      <c r="D29" s="10" t="s">
        <v>189</v>
      </c>
      <c r="E29" s="24">
        <v>0.12</v>
      </c>
      <c r="F29" s="11">
        <f t="shared" si="0"/>
        <v>2353.1999999999998</v>
      </c>
      <c r="G29" s="8"/>
      <c r="H29" s="6"/>
      <c r="I29" s="6"/>
      <c r="J29" s="6"/>
      <c r="K29" s="6"/>
      <c r="L29" s="6"/>
      <c r="M29" s="6"/>
      <c r="N29" s="6"/>
    </row>
    <row r="30" spans="1:14" ht="17.100000000000001" customHeight="1" x14ac:dyDescent="0.25">
      <c r="A30" s="269"/>
      <c r="B30" s="222" t="s">
        <v>56</v>
      </c>
      <c r="C30" s="223"/>
      <c r="D30" s="223"/>
      <c r="E30" s="221"/>
      <c r="F30" s="26">
        <f>SUM(F18:F29)</f>
        <v>46291.55999999999</v>
      </c>
      <c r="G30" s="8"/>
      <c r="H30" s="6"/>
      <c r="I30" s="6"/>
      <c r="J30" s="6"/>
      <c r="K30" s="6"/>
      <c r="L30" s="6"/>
      <c r="M30" s="6"/>
      <c r="N30" s="6"/>
    </row>
    <row r="31" spans="1:14" ht="17.100000000000001" customHeight="1" x14ac:dyDescent="0.25">
      <c r="A31" s="17"/>
      <c r="B31" s="17"/>
      <c r="C31" s="17"/>
      <c r="D31" s="17"/>
      <c r="E31" s="17"/>
      <c r="F31" s="17"/>
      <c r="G31" s="6"/>
      <c r="H31" s="6"/>
      <c r="I31" s="6"/>
      <c r="J31" s="6"/>
      <c r="K31" s="6"/>
      <c r="L31" s="6"/>
      <c r="M31" s="6"/>
      <c r="N31" s="6"/>
    </row>
    <row r="32" spans="1:14" ht="17.100000000000001" customHeight="1" x14ac:dyDescent="0.25">
      <c r="A32" s="7"/>
      <c r="B32" s="7"/>
      <c r="C32" s="7"/>
      <c r="D32" s="7"/>
      <c r="E32" s="7"/>
      <c r="F32" s="7"/>
      <c r="G32" s="7"/>
      <c r="H32" s="7"/>
      <c r="I32" s="7"/>
      <c r="J32" s="6"/>
      <c r="K32" s="6"/>
      <c r="L32" s="6"/>
      <c r="M32" s="6"/>
      <c r="N32" s="6"/>
    </row>
    <row r="33" spans="1:14" ht="17.100000000000001" customHeight="1" x14ac:dyDescent="0.25">
      <c r="A33" s="224" t="s">
        <v>57</v>
      </c>
      <c r="B33" s="225"/>
      <c r="C33" s="225"/>
      <c r="D33" s="225"/>
      <c r="E33" s="225"/>
      <c r="F33" s="225"/>
      <c r="G33" s="225"/>
      <c r="H33" s="225"/>
      <c r="I33" s="226"/>
      <c r="J33" s="8"/>
      <c r="K33" s="6"/>
      <c r="L33" s="6"/>
      <c r="M33" s="6"/>
      <c r="N33" s="6"/>
    </row>
    <row r="34" spans="1:14" ht="17.100000000000001" customHeight="1" x14ac:dyDescent="0.25">
      <c r="A34" s="227" t="s">
        <v>58</v>
      </c>
      <c r="B34" s="25" t="s">
        <v>59</v>
      </c>
      <c r="C34" s="25" t="s">
        <v>60</v>
      </c>
      <c r="D34" s="25" t="s">
        <v>61</v>
      </c>
      <c r="E34" s="25" t="s">
        <v>60</v>
      </c>
      <c r="F34" s="25" t="s">
        <v>62</v>
      </c>
      <c r="G34" s="25" t="s">
        <v>63</v>
      </c>
      <c r="H34" s="25" t="s">
        <v>64</v>
      </c>
      <c r="I34" s="25" t="s">
        <v>13</v>
      </c>
      <c r="J34" s="8"/>
      <c r="K34" s="6"/>
      <c r="L34" s="6"/>
      <c r="M34" s="6"/>
      <c r="N34" s="6"/>
    </row>
    <row r="35" spans="1:14" ht="17.100000000000001" customHeight="1" x14ac:dyDescent="0.25">
      <c r="A35" s="228"/>
      <c r="B35" s="10" t="s">
        <v>235</v>
      </c>
      <c r="C35" s="12"/>
      <c r="D35" s="10" t="s">
        <v>236</v>
      </c>
      <c r="E35" s="12"/>
      <c r="F35" s="10" t="s">
        <v>194</v>
      </c>
      <c r="G35" s="10" t="s">
        <v>195</v>
      </c>
      <c r="H35" s="11">
        <v>36</v>
      </c>
      <c r="I35" s="11">
        <v>22167.599999999999</v>
      </c>
      <c r="J35" s="8"/>
      <c r="K35" s="6"/>
      <c r="L35" s="6"/>
      <c r="M35" s="6"/>
      <c r="N35" s="6"/>
    </row>
    <row r="36" spans="1:14" ht="17.100000000000001" customHeight="1" x14ac:dyDescent="0.25">
      <c r="A36" s="228"/>
      <c r="B36" s="10" t="s">
        <v>235</v>
      </c>
      <c r="C36" s="12"/>
      <c r="D36" s="10" t="s">
        <v>237</v>
      </c>
      <c r="E36" s="12"/>
      <c r="F36" s="10" t="s">
        <v>194</v>
      </c>
      <c r="G36" s="10" t="s">
        <v>195</v>
      </c>
      <c r="H36" s="11">
        <v>1</v>
      </c>
      <c r="I36" s="11">
        <v>1162.3</v>
      </c>
      <c r="J36" s="8"/>
      <c r="K36" s="6"/>
      <c r="L36" s="6"/>
      <c r="M36" s="6"/>
      <c r="N36" s="6"/>
    </row>
    <row r="37" spans="1:14" ht="17.100000000000001" customHeight="1" x14ac:dyDescent="0.25">
      <c r="A37" s="228"/>
      <c r="B37" s="10" t="s">
        <v>235</v>
      </c>
      <c r="C37" s="12"/>
      <c r="D37" s="10" t="s">
        <v>238</v>
      </c>
      <c r="E37" s="12"/>
      <c r="F37" s="10" t="s">
        <v>194</v>
      </c>
      <c r="G37" s="10" t="s">
        <v>195</v>
      </c>
      <c r="H37" s="11">
        <v>13</v>
      </c>
      <c r="I37" s="11">
        <f>9045.5+2261</f>
        <v>11306.5</v>
      </c>
      <c r="J37" s="8"/>
      <c r="K37" s="6"/>
      <c r="L37" s="6"/>
      <c r="M37" s="6"/>
      <c r="N37" s="6"/>
    </row>
    <row r="38" spans="1:14" ht="17.100000000000001" customHeight="1" x14ac:dyDescent="0.25">
      <c r="A38" s="228"/>
      <c r="B38" s="10" t="s">
        <v>235</v>
      </c>
      <c r="C38" s="12"/>
      <c r="D38" s="10" t="s">
        <v>205</v>
      </c>
      <c r="E38" s="12"/>
      <c r="F38" s="10" t="s">
        <v>194</v>
      </c>
      <c r="G38" s="10" t="s">
        <v>195</v>
      </c>
      <c r="H38" s="11">
        <v>49</v>
      </c>
      <c r="I38" s="11">
        <v>15222.7</v>
      </c>
      <c r="J38" s="8"/>
      <c r="K38" s="6"/>
      <c r="L38" s="6"/>
      <c r="M38" s="6"/>
      <c r="N38" s="6"/>
    </row>
    <row r="39" spans="1:14" ht="17.100000000000001" customHeight="1" x14ac:dyDescent="0.25">
      <c r="A39" s="228"/>
      <c r="B39" s="10" t="s">
        <v>235</v>
      </c>
      <c r="C39" s="12"/>
      <c r="D39" s="10" t="s">
        <v>239</v>
      </c>
      <c r="E39" s="12"/>
      <c r="F39" s="10" t="s">
        <v>194</v>
      </c>
      <c r="G39" s="10" t="s">
        <v>195</v>
      </c>
      <c r="H39" s="11">
        <v>105</v>
      </c>
      <c r="I39" s="11">
        <v>48868.4</v>
      </c>
      <c r="J39" s="8"/>
      <c r="K39" s="6"/>
      <c r="L39" s="6"/>
      <c r="M39" s="6"/>
      <c r="N39" s="6"/>
    </row>
    <row r="40" spans="1:14" ht="17.100000000000001" customHeight="1" x14ac:dyDescent="0.25">
      <c r="A40" s="228"/>
      <c r="B40" s="10" t="s">
        <v>235</v>
      </c>
      <c r="C40" s="12"/>
      <c r="D40" s="10" t="s">
        <v>240</v>
      </c>
      <c r="E40" s="12"/>
      <c r="F40" s="10" t="s">
        <v>194</v>
      </c>
      <c r="G40" s="10" t="s">
        <v>195</v>
      </c>
      <c r="H40" s="11">
        <v>1</v>
      </c>
      <c r="I40" s="11">
        <v>5284</v>
      </c>
      <c r="J40" s="8"/>
      <c r="K40" s="6"/>
      <c r="L40" s="6"/>
      <c r="M40" s="6"/>
      <c r="N40" s="6"/>
    </row>
    <row r="41" spans="1:14" ht="17.100000000000001" customHeight="1" x14ac:dyDescent="0.25">
      <c r="A41" s="228"/>
      <c r="B41" s="10" t="s">
        <v>235</v>
      </c>
      <c r="C41" s="12"/>
      <c r="D41" s="10" t="s">
        <v>241</v>
      </c>
      <c r="E41" s="12"/>
      <c r="F41" s="10" t="s">
        <v>194</v>
      </c>
      <c r="G41" s="10" t="s">
        <v>195</v>
      </c>
      <c r="H41" s="11">
        <v>4</v>
      </c>
      <c r="I41" s="11">
        <v>3451.2</v>
      </c>
      <c r="J41" s="8"/>
      <c r="K41" s="6"/>
      <c r="L41" s="6"/>
      <c r="M41" s="6"/>
      <c r="N41" s="6"/>
    </row>
    <row r="42" spans="1:14" ht="17.100000000000001" customHeight="1" x14ac:dyDescent="0.25">
      <c r="A42" s="228"/>
      <c r="B42" s="10" t="s">
        <v>235</v>
      </c>
      <c r="C42" s="12"/>
      <c r="D42" s="10" t="s">
        <v>242</v>
      </c>
      <c r="E42" s="12"/>
      <c r="F42" s="10" t="s">
        <v>194</v>
      </c>
      <c r="G42" s="10" t="s">
        <v>195</v>
      </c>
      <c r="H42" s="11">
        <v>12</v>
      </c>
      <c r="I42" s="11">
        <v>1955.4</v>
      </c>
      <c r="J42" s="8"/>
      <c r="K42" s="6"/>
      <c r="L42" s="6"/>
      <c r="M42" s="6"/>
      <c r="N42" s="6"/>
    </row>
    <row r="43" spans="1:14" ht="17.100000000000001" customHeight="1" x14ac:dyDescent="0.25">
      <c r="A43" s="228"/>
      <c r="B43" s="10" t="s">
        <v>235</v>
      </c>
      <c r="C43" s="12"/>
      <c r="D43" s="10" t="s">
        <v>243</v>
      </c>
      <c r="E43" s="12"/>
      <c r="F43" s="10" t="s">
        <v>194</v>
      </c>
      <c r="G43" s="10" t="s">
        <v>195</v>
      </c>
      <c r="H43" s="12"/>
      <c r="I43" s="11">
        <v>5405.2</v>
      </c>
      <c r="J43" s="8"/>
      <c r="K43" s="6"/>
      <c r="L43" s="6"/>
      <c r="M43" s="6"/>
      <c r="N43" s="6"/>
    </row>
    <row r="44" spans="1:14" ht="17.100000000000001" customHeight="1" x14ac:dyDescent="0.25">
      <c r="A44" s="228"/>
      <c r="B44" s="10" t="s">
        <v>235</v>
      </c>
      <c r="C44" s="12"/>
      <c r="D44" s="10" t="s">
        <v>244</v>
      </c>
      <c r="E44" s="12"/>
      <c r="F44" s="10" t="s">
        <v>194</v>
      </c>
      <c r="G44" s="10" t="s">
        <v>195</v>
      </c>
      <c r="H44" s="11">
        <v>2</v>
      </c>
      <c r="I44" s="11">
        <v>937.8</v>
      </c>
      <c r="J44" s="8"/>
      <c r="K44" s="6"/>
      <c r="L44" s="6"/>
      <c r="M44" s="6"/>
      <c r="N44" s="6"/>
    </row>
    <row r="45" spans="1:14" ht="17.100000000000001" customHeight="1" x14ac:dyDescent="0.25">
      <c r="A45" s="228"/>
      <c r="B45" s="10" t="s">
        <v>235</v>
      </c>
      <c r="C45" s="12"/>
      <c r="D45" s="10" t="s">
        <v>245</v>
      </c>
      <c r="E45" s="12"/>
      <c r="F45" s="10" t="s">
        <v>194</v>
      </c>
      <c r="G45" s="10" t="s">
        <v>195</v>
      </c>
      <c r="H45" s="11">
        <v>68</v>
      </c>
      <c r="I45" s="11">
        <v>51695.7</v>
      </c>
      <c r="J45" s="8"/>
      <c r="K45" s="6"/>
      <c r="L45" s="6"/>
      <c r="M45" s="6"/>
      <c r="N45" s="6"/>
    </row>
    <row r="46" spans="1:14" ht="17.100000000000001" customHeight="1" x14ac:dyDescent="0.25">
      <c r="A46" s="228"/>
      <c r="B46" s="10" t="s">
        <v>196</v>
      </c>
      <c r="C46" s="12"/>
      <c r="D46" s="10" t="s">
        <v>246</v>
      </c>
      <c r="E46" s="12"/>
      <c r="F46" s="10" t="s">
        <v>194</v>
      </c>
      <c r="G46" s="10" t="s">
        <v>195</v>
      </c>
      <c r="H46" s="11">
        <v>1</v>
      </c>
      <c r="I46" s="11">
        <v>499.8</v>
      </c>
      <c r="J46" s="8"/>
      <c r="K46" s="6"/>
      <c r="L46" s="6"/>
      <c r="M46" s="6"/>
      <c r="N46" s="6"/>
    </row>
    <row r="47" spans="1:14" ht="17.100000000000001" customHeight="1" x14ac:dyDescent="0.25">
      <c r="A47" s="228"/>
      <c r="B47" s="10" t="s">
        <v>235</v>
      </c>
      <c r="C47" s="12"/>
      <c r="D47" s="10" t="s">
        <v>247</v>
      </c>
      <c r="E47" s="12"/>
      <c r="F47" s="10" t="s">
        <v>194</v>
      </c>
      <c r="G47" s="10" t="s">
        <v>195</v>
      </c>
      <c r="H47" s="11">
        <v>1</v>
      </c>
      <c r="I47" s="11">
        <v>1358.4</v>
      </c>
      <c r="J47" s="8"/>
      <c r="K47" s="6"/>
      <c r="L47" s="6"/>
      <c r="M47" s="6"/>
      <c r="N47" s="6"/>
    </row>
    <row r="48" spans="1:14" ht="17.100000000000001" customHeight="1" x14ac:dyDescent="0.25">
      <c r="A48" s="228"/>
      <c r="B48" s="10" t="s">
        <v>235</v>
      </c>
      <c r="C48" s="12"/>
      <c r="D48" s="10" t="s">
        <v>248</v>
      </c>
      <c r="E48" s="12"/>
      <c r="F48" s="10" t="s">
        <v>194</v>
      </c>
      <c r="G48" s="10" t="s">
        <v>195</v>
      </c>
      <c r="H48" s="11">
        <v>10</v>
      </c>
      <c r="I48" s="11">
        <v>17082.8</v>
      </c>
      <c r="J48" s="8"/>
      <c r="K48" s="6"/>
      <c r="L48" s="6"/>
      <c r="M48" s="6"/>
      <c r="N48" s="6"/>
    </row>
    <row r="49" spans="1:14" ht="17.100000000000001" customHeight="1" x14ac:dyDescent="0.25">
      <c r="A49" s="228"/>
      <c r="B49" s="10" t="s">
        <v>235</v>
      </c>
      <c r="C49" s="12"/>
      <c r="D49" s="10" t="s">
        <v>249</v>
      </c>
      <c r="E49" s="12"/>
      <c r="F49" s="10" t="s">
        <v>194</v>
      </c>
      <c r="G49" s="10" t="s">
        <v>195</v>
      </c>
      <c r="H49" s="11">
        <v>2</v>
      </c>
      <c r="I49" s="11">
        <v>2830.4</v>
      </c>
      <c r="J49" s="8"/>
      <c r="K49" s="6"/>
      <c r="L49" s="6"/>
      <c r="M49" s="6"/>
      <c r="N49" s="6"/>
    </row>
    <row r="50" spans="1:14" ht="17.100000000000001" customHeight="1" x14ac:dyDescent="0.25">
      <c r="A50" s="228"/>
      <c r="B50" s="10" t="s">
        <v>250</v>
      </c>
      <c r="C50" s="12"/>
      <c r="D50" s="10" t="s">
        <v>235</v>
      </c>
      <c r="E50" s="12"/>
      <c r="F50" s="10" t="s">
        <v>194</v>
      </c>
      <c r="G50" s="10" t="s">
        <v>195</v>
      </c>
      <c r="H50" s="11">
        <v>6</v>
      </c>
      <c r="I50" s="11">
        <v>9175.7999999999993</v>
      </c>
      <c r="J50" s="8"/>
      <c r="K50" s="6"/>
      <c r="L50" s="6"/>
      <c r="M50" s="6"/>
      <c r="N50" s="6"/>
    </row>
    <row r="51" spans="1:14" ht="17.100000000000001" customHeight="1" x14ac:dyDescent="0.25">
      <c r="A51" s="228"/>
      <c r="B51" s="10" t="s">
        <v>251</v>
      </c>
      <c r="C51" s="12"/>
      <c r="D51" s="10" t="s">
        <v>235</v>
      </c>
      <c r="E51" s="12"/>
      <c r="F51" s="10" t="s">
        <v>194</v>
      </c>
      <c r="G51" s="10" t="s">
        <v>195</v>
      </c>
      <c r="H51" s="11">
        <v>2</v>
      </c>
      <c r="I51" s="11">
        <v>422</v>
      </c>
      <c r="J51" s="8"/>
      <c r="K51" s="6"/>
      <c r="L51" s="6"/>
      <c r="M51" s="6"/>
      <c r="N51" s="6"/>
    </row>
    <row r="52" spans="1:14" ht="17.100000000000001" customHeight="1" x14ac:dyDescent="0.25">
      <c r="A52" s="228"/>
      <c r="B52" s="10" t="s">
        <v>252</v>
      </c>
      <c r="C52" s="12"/>
      <c r="D52" s="10" t="s">
        <v>235</v>
      </c>
      <c r="E52" s="12"/>
      <c r="F52" s="10" t="s">
        <v>194</v>
      </c>
      <c r="G52" s="10" t="s">
        <v>195</v>
      </c>
      <c r="H52" s="11">
        <v>2</v>
      </c>
      <c r="I52" s="11">
        <v>2432</v>
      </c>
      <c r="J52" s="8"/>
      <c r="K52" s="6"/>
      <c r="L52" s="6"/>
      <c r="M52" s="6"/>
      <c r="N52" s="6"/>
    </row>
    <row r="53" spans="1:14" ht="17.100000000000001" customHeight="1" x14ac:dyDescent="0.25">
      <c r="A53" s="228"/>
      <c r="B53" s="10" t="s">
        <v>253</v>
      </c>
      <c r="C53" s="12"/>
      <c r="D53" s="10" t="s">
        <v>235</v>
      </c>
      <c r="E53" s="12"/>
      <c r="F53" s="10" t="s">
        <v>194</v>
      </c>
      <c r="G53" s="10" t="s">
        <v>195</v>
      </c>
      <c r="H53" s="11">
        <v>1</v>
      </c>
      <c r="I53" s="11">
        <v>615.79999999999995</v>
      </c>
      <c r="J53" s="8"/>
      <c r="K53" s="6"/>
      <c r="L53" s="6"/>
      <c r="M53" s="6"/>
      <c r="N53" s="6"/>
    </row>
    <row r="54" spans="1:14" ht="17.100000000000001" customHeight="1" x14ac:dyDescent="0.25">
      <c r="A54" s="228"/>
      <c r="B54" s="10" t="s">
        <v>254</v>
      </c>
      <c r="C54" s="12"/>
      <c r="D54" s="10" t="s">
        <v>235</v>
      </c>
      <c r="E54" s="12"/>
      <c r="F54" s="10" t="s">
        <v>194</v>
      </c>
      <c r="G54" s="10" t="s">
        <v>195</v>
      </c>
      <c r="H54" s="11">
        <v>1</v>
      </c>
      <c r="I54" s="11">
        <v>1333.8</v>
      </c>
      <c r="J54" s="8"/>
      <c r="K54" s="6"/>
      <c r="L54" s="6"/>
      <c r="M54" s="6"/>
      <c r="N54" s="6"/>
    </row>
    <row r="55" spans="1:14" ht="17.100000000000001" customHeight="1" x14ac:dyDescent="0.25">
      <c r="A55" s="229"/>
      <c r="B55" s="230" t="s">
        <v>56</v>
      </c>
      <c r="C55" s="231"/>
      <c r="D55" s="231"/>
      <c r="E55" s="231"/>
      <c r="F55" s="231"/>
      <c r="G55" s="231"/>
      <c r="H55" s="232">
        <f>SUM(I34:I54)</f>
        <v>203207.59999999992</v>
      </c>
      <c r="I55" s="231"/>
      <c r="J55" s="8"/>
      <c r="K55" s="6"/>
      <c r="L55" s="6"/>
      <c r="M55" s="6"/>
      <c r="N55" s="6"/>
    </row>
    <row r="56" spans="1:14" ht="17.100000000000001" customHeight="1" x14ac:dyDescent="0.25">
      <c r="A56" s="270" t="s">
        <v>95</v>
      </c>
      <c r="B56" s="25" t="s">
        <v>96</v>
      </c>
      <c r="C56" s="25" t="s">
        <v>97</v>
      </c>
      <c r="D56" s="25" t="s">
        <v>9</v>
      </c>
      <c r="E56" s="25" t="s">
        <v>98</v>
      </c>
      <c r="F56" s="241" t="s">
        <v>99</v>
      </c>
      <c r="G56" s="242"/>
      <c r="H56" s="241" t="s">
        <v>100</v>
      </c>
      <c r="I56" s="242"/>
      <c r="J56" s="8"/>
      <c r="K56" s="6"/>
      <c r="L56" s="6"/>
      <c r="M56" s="6"/>
      <c r="N56" s="6"/>
    </row>
    <row r="57" spans="1:14" ht="17.100000000000001" customHeight="1" x14ac:dyDescent="0.25">
      <c r="A57" s="271"/>
      <c r="B57" s="10" t="s">
        <v>255</v>
      </c>
      <c r="C57" s="10" t="s">
        <v>102</v>
      </c>
      <c r="D57" s="11">
        <v>489</v>
      </c>
      <c r="E57" s="10" t="s">
        <v>103</v>
      </c>
      <c r="F57" s="232">
        <f>D57*2.3</f>
        <v>1124.6999999999998</v>
      </c>
      <c r="G57" s="231"/>
      <c r="H57" s="232">
        <v>2960.43</v>
      </c>
      <c r="I57" s="231"/>
      <c r="J57" s="8"/>
      <c r="K57" s="6"/>
      <c r="L57" s="6"/>
      <c r="M57" s="6"/>
      <c r="N57" s="6"/>
    </row>
    <row r="58" spans="1:14" ht="17.100000000000001" customHeight="1" x14ac:dyDescent="0.25">
      <c r="A58" s="272"/>
      <c r="B58" s="10" t="s">
        <v>255</v>
      </c>
      <c r="C58" s="10" t="s">
        <v>104</v>
      </c>
      <c r="D58" s="11">
        <v>108</v>
      </c>
      <c r="E58" s="10" t="s">
        <v>103</v>
      </c>
      <c r="F58" s="232">
        <f>D58*2.5</f>
        <v>270</v>
      </c>
      <c r="G58" s="231"/>
      <c r="H58" s="232">
        <v>710.69299999999998</v>
      </c>
      <c r="I58" s="231"/>
      <c r="J58" s="8"/>
      <c r="K58" s="6"/>
      <c r="L58" s="6"/>
      <c r="M58" s="6"/>
      <c r="N58" s="6"/>
    </row>
    <row r="59" spans="1:14" ht="17.100000000000001" customHeight="1" x14ac:dyDescent="0.25">
      <c r="A59" s="235" t="s">
        <v>105</v>
      </c>
      <c r="B59" s="28" t="s">
        <v>106</v>
      </c>
      <c r="C59" s="28" t="s">
        <v>9</v>
      </c>
      <c r="D59" s="28" t="s">
        <v>107</v>
      </c>
      <c r="E59" s="28" t="s">
        <v>108</v>
      </c>
      <c r="F59" s="29" t="s">
        <v>109</v>
      </c>
      <c r="G59" s="28" t="s">
        <v>9</v>
      </c>
      <c r="H59" s="28" t="s">
        <v>107</v>
      </c>
      <c r="I59" s="28" t="s">
        <v>110</v>
      </c>
      <c r="J59" s="8"/>
      <c r="K59" s="6"/>
      <c r="L59" s="6"/>
      <c r="M59" s="6"/>
      <c r="N59" s="6"/>
    </row>
    <row r="60" spans="1:14" ht="17.100000000000001" customHeight="1" x14ac:dyDescent="0.25">
      <c r="A60" s="236"/>
      <c r="B60" s="10" t="s">
        <v>256</v>
      </c>
      <c r="C60" s="11">
        <v>1297</v>
      </c>
      <c r="D60" s="11">
        <f t="shared" ref="D60:D69" si="1">C60/1000</f>
        <v>1.2969999999999999</v>
      </c>
      <c r="E60" s="11">
        <f>-1.25*1000</f>
        <v>-1250</v>
      </c>
      <c r="F60" s="42" t="s">
        <v>257</v>
      </c>
      <c r="G60" s="43">
        <v>53.1</v>
      </c>
      <c r="H60" s="24">
        <f>G60/1000</f>
        <v>5.3100000000000001E-2</v>
      </c>
      <c r="I60" s="278">
        <f>0.02*1000</f>
        <v>20</v>
      </c>
      <c r="J60" s="8"/>
      <c r="K60" s="6"/>
      <c r="L60" s="6"/>
      <c r="M60" s="6"/>
      <c r="N60" s="6"/>
    </row>
    <row r="61" spans="1:14" ht="17.100000000000001" customHeight="1" x14ac:dyDescent="0.25">
      <c r="A61" s="236"/>
      <c r="B61" s="10" t="s">
        <v>111</v>
      </c>
      <c r="C61" s="11">
        <v>803</v>
      </c>
      <c r="D61" s="11">
        <f t="shared" si="1"/>
        <v>0.80300000000000005</v>
      </c>
      <c r="E61" s="11">
        <f>-0.68*1000</f>
        <v>-680</v>
      </c>
      <c r="F61" s="42" t="s">
        <v>258</v>
      </c>
      <c r="G61" s="43">
        <v>12.8</v>
      </c>
      <c r="H61" s="24">
        <f>G61/1000</f>
        <v>1.2800000000000001E-2</v>
      </c>
      <c r="I61" s="279"/>
      <c r="J61" s="8"/>
      <c r="K61" s="6"/>
      <c r="L61" s="6"/>
      <c r="M61" s="6"/>
      <c r="N61" s="6"/>
    </row>
    <row r="62" spans="1:14" ht="17.100000000000001" customHeight="1" x14ac:dyDescent="0.25">
      <c r="A62" s="236"/>
      <c r="B62" s="10" t="s">
        <v>259</v>
      </c>
      <c r="C62" s="11">
        <v>192</v>
      </c>
      <c r="D62" s="11">
        <f t="shared" si="1"/>
        <v>0.192</v>
      </c>
      <c r="E62" s="11">
        <f>-0.14*1000</f>
        <v>-140</v>
      </c>
      <c r="F62" s="42" t="s">
        <v>260</v>
      </c>
      <c r="G62" s="43">
        <v>113.5</v>
      </c>
      <c r="H62" s="24">
        <f>G62/1000</f>
        <v>0.1135</v>
      </c>
      <c r="I62" s="279"/>
      <c r="J62" s="8"/>
      <c r="K62" s="6"/>
      <c r="L62" s="6"/>
      <c r="M62" s="6"/>
      <c r="N62" s="6"/>
    </row>
    <row r="63" spans="1:14" ht="17.100000000000001" customHeight="1" x14ac:dyDescent="0.25">
      <c r="A63" s="236"/>
      <c r="B63" s="10" t="s">
        <v>261</v>
      </c>
      <c r="C63" s="11">
        <v>35</v>
      </c>
      <c r="D63" s="11">
        <f t="shared" si="1"/>
        <v>3.5000000000000003E-2</v>
      </c>
      <c r="E63" s="11">
        <f t="shared" ref="E63:E66" si="2">-0.01*1000</f>
        <v>-10</v>
      </c>
      <c r="F63" s="42" t="s">
        <v>262</v>
      </c>
      <c r="G63" s="37">
        <v>4.2</v>
      </c>
      <c r="H63" s="24">
        <f>G63/1000</f>
        <v>4.2000000000000006E-3</v>
      </c>
      <c r="I63" s="279"/>
      <c r="J63" s="8"/>
      <c r="K63" s="6"/>
      <c r="L63" s="6"/>
      <c r="M63" s="6"/>
      <c r="N63" s="6"/>
    </row>
    <row r="64" spans="1:14" ht="17.100000000000001" customHeight="1" x14ac:dyDescent="0.25">
      <c r="A64" s="236"/>
      <c r="B64" s="10" t="s">
        <v>116</v>
      </c>
      <c r="C64" s="11">
        <v>619.5</v>
      </c>
      <c r="D64" s="11">
        <f t="shared" si="1"/>
        <v>0.61950000000000005</v>
      </c>
      <c r="E64" s="11">
        <f>-0.19*1000</f>
        <v>-190</v>
      </c>
      <c r="F64" s="42" t="s">
        <v>263</v>
      </c>
      <c r="G64" s="24">
        <v>1.3</v>
      </c>
      <c r="H64" s="24">
        <f>G64/1000</f>
        <v>1.2999999999999999E-3</v>
      </c>
      <c r="I64" s="279"/>
      <c r="J64" s="8"/>
      <c r="K64" s="6"/>
      <c r="L64" s="6"/>
      <c r="M64" s="6"/>
      <c r="N64" s="6"/>
    </row>
    <row r="65" spans="1:14" ht="17.100000000000001" customHeight="1" x14ac:dyDescent="0.25">
      <c r="A65" s="236"/>
      <c r="B65" s="10" t="s">
        <v>264</v>
      </c>
      <c r="C65" s="11">
        <v>9</v>
      </c>
      <c r="D65" s="11">
        <f t="shared" si="1"/>
        <v>8.9999999999999993E-3</v>
      </c>
      <c r="E65" s="11">
        <f t="shared" si="2"/>
        <v>-10</v>
      </c>
      <c r="F65" s="36" t="s">
        <v>265</v>
      </c>
      <c r="G65" s="11">
        <f>SUM(G60:G64)</f>
        <v>184.9</v>
      </c>
      <c r="H65" s="11">
        <f>SUM(H60:H64)</f>
        <v>0.18490000000000001</v>
      </c>
      <c r="I65" s="280"/>
      <c r="J65" s="8"/>
      <c r="K65" s="6"/>
      <c r="L65" s="6"/>
      <c r="M65" s="6"/>
      <c r="N65" s="6"/>
    </row>
    <row r="66" spans="1:14" ht="17.100000000000001" customHeight="1" x14ac:dyDescent="0.25">
      <c r="A66" s="236"/>
      <c r="B66" s="10" t="s">
        <v>266</v>
      </c>
      <c r="C66" s="11">
        <v>106</v>
      </c>
      <c r="D66" s="11">
        <f t="shared" si="1"/>
        <v>0.106</v>
      </c>
      <c r="E66" s="11">
        <f t="shared" si="2"/>
        <v>-10</v>
      </c>
      <c r="F66" s="42" t="s">
        <v>267</v>
      </c>
      <c r="G66" s="24">
        <v>88.8</v>
      </c>
      <c r="H66" s="24">
        <f>G66/1000</f>
        <v>8.8800000000000004E-2</v>
      </c>
      <c r="I66" s="24">
        <f>-0.06*1000</f>
        <v>-60</v>
      </c>
      <c r="J66" s="8"/>
      <c r="K66" s="6"/>
      <c r="L66" s="6"/>
      <c r="M66" s="6"/>
      <c r="N66" s="6"/>
    </row>
    <row r="67" spans="1:14" ht="17.100000000000001" customHeight="1" x14ac:dyDescent="0.25">
      <c r="A67" s="236"/>
      <c r="B67" s="10" t="s">
        <v>228</v>
      </c>
      <c r="C67" s="11">
        <v>555</v>
      </c>
      <c r="D67" s="11">
        <f t="shared" si="1"/>
        <v>0.55500000000000005</v>
      </c>
      <c r="E67" s="11">
        <f>-0.66*1000</f>
        <v>-660</v>
      </c>
      <c r="F67" s="35"/>
      <c r="G67" s="17"/>
      <c r="H67" s="17"/>
      <c r="I67" s="17"/>
      <c r="J67" s="6"/>
      <c r="K67" s="6"/>
      <c r="L67" s="6"/>
      <c r="M67" s="6"/>
      <c r="N67" s="6"/>
    </row>
    <row r="68" spans="1:14" ht="17.100000000000001" customHeight="1" x14ac:dyDescent="0.25">
      <c r="A68" s="236"/>
      <c r="B68" s="10" t="s">
        <v>268</v>
      </c>
      <c r="C68" s="11">
        <v>12</v>
      </c>
      <c r="D68" s="11">
        <f t="shared" si="1"/>
        <v>1.2E-2</v>
      </c>
      <c r="E68" s="11">
        <f>-0.03*1000</f>
        <v>-30</v>
      </c>
      <c r="F68" s="8"/>
      <c r="G68" s="6"/>
      <c r="H68" s="6"/>
      <c r="I68" s="6"/>
      <c r="J68" s="6"/>
      <c r="K68" s="6"/>
      <c r="L68" s="6"/>
      <c r="M68" s="6"/>
      <c r="N68" s="6"/>
    </row>
    <row r="69" spans="1:14" ht="17.100000000000001" customHeight="1" x14ac:dyDescent="0.25">
      <c r="A69" s="236"/>
      <c r="B69" s="10" t="s">
        <v>269</v>
      </c>
      <c r="C69" s="11">
        <v>2</v>
      </c>
      <c r="D69" s="11">
        <f t="shared" si="1"/>
        <v>2E-3</v>
      </c>
      <c r="E69" s="11">
        <v>0</v>
      </c>
      <c r="F69" s="8"/>
      <c r="G69" s="6"/>
      <c r="H69" s="6"/>
      <c r="I69" s="6"/>
      <c r="J69" s="6"/>
      <c r="K69" s="6"/>
      <c r="L69" s="6"/>
      <c r="M69" s="6"/>
      <c r="N69" s="6"/>
    </row>
    <row r="70" spans="1:14" ht="17.100000000000001" customHeight="1" x14ac:dyDescent="0.25">
      <c r="A70" s="17"/>
      <c r="B70" s="17"/>
      <c r="C70" s="17"/>
      <c r="D70" s="17"/>
      <c r="E70" s="17"/>
      <c r="F70" s="6"/>
      <c r="G70" s="6"/>
      <c r="H70" s="6"/>
      <c r="I70" s="6"/>
      <c r="J70" s="6"/>
      <c r="K70" s="6"/>
      <c r="L70" s="6"/>
      <c r="M70" s="6"/>
      <c r="N70" s="6"/>
    </row>
    <row r="71" spans="1:14" ht="17.100000000000001" customHeight="1" x14ac:dyDescent="0.25">
      <c r="A71" s="6"/>
      <c r="B71" s="6"/>
      <c r="C71" s="6"/>
      <c r="D71" s="6"/>
      <c r="E71" s="6"/>
      <c r="F71" s="6"/>
      <c r="G71" s="6"/>
      <c r="H71" s="6"/>
      <c r="I71" s="6"/>
      <c r="J71" s="6"/>
      <c r="K71" s="6"/>
      <c r="L71" s="6"/>
      <c r="M71" s="6"/>
      <c r="N71" s="6"/>
    </row>
  </sheetData>
  <mergeCells count="24">
    <mergeCell ref="A59:A69"/>
    <mergeCell ref="A56:A58"/>
    <mergeCell ref="F56:G56"/>
    <mergeCell ref="H56:I56"/>
    <mergeCell ref="F57:G57"/>
    <mergeCell ref="H57:I57"/>
    <mergeCell ref="F58:G58"/>
    <mergeCell ref="H58:I58"/>
    <mergeCell ref="A3:G3"/>
    <mergeCell ref="A4:A6"/>
    <mergeCell ref="C7:E7"/>
    <mergeCell ref="A8:A10"/>
    <mergeCell ref="I60:I65"/>
    <mergeCell ref="A11:A12"/>
    <mergeCell ref="E11:F11"/>
    <mergeCell ref="E12:F12"/>
    <mergeCell ref="A13:F13"/>
    <mergeCell ref="A16:F16"/>
    <mergeCell ref="A17:A30"/>
    <mergeCell ref="B30:E30"/>
    <mergeCell ref="A33:I33"/>
    <mergeCell ref="A34:A55"/>
    <mergeCell ref="B55:G55"/>
    <mergeCell ref="H55:I55"/>
  </mergeCells>
  <pageMargins left="0.7" right="0.7" top="0.75" bottom="0.75" header="0.3" footer="0.3"/>
  <pageSetup orientation="portrait"/>
  <headerFooter>
    <oddFooter>&amp;C&amp;"Helvetica Neue,Regular"&amp;12&amp;K000000&amp;P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3"/>
  <sheetViews>
    <sheetView showGridLines="0" workbookViewId="0"/>
  </sheetViews>
  <sheetFormatPr baseColWidth="10" defaultColWidth="10.875" defaultRowHeight="15.75" customHeight="1" x14ac:dyDescent="0.25"/>
  <cols>
    <col min="1" max="1" width="14.875" style="44" customWidth="1"/>
    <col min="2" max="2" width="33.375" style="44" customWidth="1"/>
    <col min="3" max="4" width="10.875" style="44" customWidth="1"/>
    <col min="5" max="5" width="20.125" style="44" customWidth="1"/>
    <col min="6" max="6" width="37.125" style="44" customWidth="1"/>
    <col min="7" max="7" width="12.125" style="44" customWidth="1"/>
    <col min="8" max="8" width="12.5" style="44" customWidth="1"/>
    <col min="9" max="9" width="13.5" style="44" customWidth="1"/>
    <col min="10" max="10" width="30.5" style="44" customWidth="1"/>
    <col min="11" max="11" width="12.875" style="44" customWidth="1"/>
    <col min="12" max="256" width="10.875" style="44" customWidth="1"/>
  </cols>
  <sheetData>
    <row r="1" spans="1:13" ht="17.100000000000001" customHeight="1" x14ac:dyDescent="0.25">
      <c r="A1" s="6"/>
      <c r="B1" s="6"/>
      <c r="C1" s="6"/>
      <c r="D1" s="6"/>
      <c r="E1" s="6"/>
      <c r="F1" s="6"/>
      <c r="G1" s="6"/>
      <c r="H1" s="6"/>
      <c r="I1" s="6"/>
      <c r="J1" s="6"/>
      <c r="K1" s="6"/>
      <c r="L1" s="6"/>
      <c r="M1" s="6"/>
    </row>
    <row r="2" spans="1:13" ht="17.100000000000001" customHeight="1" x14ac:dyDescent="0.25">
      <c r="A2" s="7"/>
      <c r="B2" s="7"/>
      <c r="C2" s="7"/>
      <c r="D2" s="7"/>
      <c r="E2" s="7"/>
      <c r="F2" s="7"/>
      <c r="G2" s="7"/>
      <c r="H2" s="6"/>
      <c r="I2" s="6"/>
      <c r="J2" s="6"/>
      <c r="K2" s="6"/>
      <c r="L2" s="6"/>
      <c r="M2" s="6"/>
    </row>
    <row r="3" spans="1:13" ht="17.100000000000001" customHeight="1" x14ac:dyDescent="0.25">
      <c r="A3" s="257" t="s">
        <v>6</v>
      </c>
      <c r="B3" s="258"/>
      <c r="C3" s="258"/>
      <c r="D3" s="258"/>
      <c r="E3" s="258"/>
      <c r="F3" s="258"/>
      <c r="G3" s="258"/>
      <c r="H3" s="8"/>
      <c r="I3" s="6"/>
      <c r="J3" s="6"/>
      <c r="K3" s="6"/>
      <c r="L3" s="6"/>
      <c r="M3" s="6"/>
    </row>
    <row r="4" spans="1:13" ht="17.100000000000001" customHeight="1" x14ac:dyDescent="0.25">
      <c r="A4" s="259" t="s">
        <v>7</v>
      </c>
      <c r="B4" s="9" t="s">
        <v>8</v>
      </c>
      <c r="C4" s="9" t="s">
        <v>9</v>
      </c>
      <c r="D4" s="9" t="s">
        <v>10</v>
      </c>
      <c r="E4" s="9" t="s">
        <v>11</v>
      </c>
      <c r="F4" s="9" t="s">
        <v>12</v>
      </c>
      <c r="G4" s="9" t="s">
        <v>13</v>
      </c>
      <c r="H4" s="8"/>
      <c r="I4" s="6"/>
      <c r="J4" s="6"/>
      <c r="K4" s="6"/>
      <c r="L4" s="6"/>
      <c r="M4" s="45">
        <f>G5+G6</f>
        <v>75348.85097900001</v>
      </c>
    </row>
    <row r="5" spans="1:13" ht="17.100000000000001" customHeight="1" x14ac:dyDescent="0.25">
      <c r="A5" s="260"/>
      <c r="B5" s="10" t="s">
        <v>119</v>
      </c>
      <c r="C5" s="11">
        <v>290</v>
      </c>
      <c r="D5" s="10" t="s">
        <v>15</v>
      </c>
      <c r="E5" s="12"/>
      <c r="F5" s="11">
        <v>10.148999999999999</v>
      </c>
      <c r="G5" s="11">
        <f>F5*C5</f>
        <v>2943.2099999999996</v>
      </c>
      <c r="H5" s="8"/>
      <c r="I5" s="6"/>
      <c r="J5" s="6"/>
      <c r="K5" s="6"/>
      <c r="L5" s="6"/>
      <c r="M5" s="46">
        <f>SUM(G10:G16)</f>
        <v>108.32999999999998</v>
      </c>
    </row>
    <row r="6" spans="1:13" ht="17.100000000000001" customHeight="1" x14ac:dyDescent="0.25">
      <c r="A6" s="261"/>
      <c r="B6" s="10" t="s">
        <v>18</v>
      </c>
      <c r="C6" s="11">
        <v>8219.9740000000002</v>
      </c>
      <c r="D6" s="10" t="s">
        <v>15</v>
      </c>
      <c r="E6" s="12"/>
      <c r="F6" s="11">
        <v>8.8085000000000004</v>
      </c>
      <c r="G6" s="47">
        <f>F6*C6</f>
        <v>72405.640979000003</v>
      </c>
      <c r="H6" s="8"/>
      <c r="I6" s="6"/>
      <c r="J6" s="6"/>
      <c r="K6" s="6"/>
      <c r="L6" s="6"/>
      <c r="M6" s="6"/>
    </row>
    <row r="7" spans="1:13" ht="17.100000000000001" customHeight="1" x14ac:dyDescent="0.25">
      <c r="A7" s="259" t="s">
        <v>19</v>
      </c>
      <c r="B7" s="9" t="s">
        <v>20</v>
      </c>
      <c r="C7" s="250" t="s">
        <v>21</v>
      </c>
      <c r="D7" s="252"/>
      <c r="E7" s="251"/>
      <c r="F7" s="9" t="s">
        <v>12</v>
      </c>
      <c r="G7" s="9" t="s">
        <v>13</v>
      </c>
      <c r="H7" s="8"/>
      <c r="I7" s="6"/>
      <c r="J7" s="6"/>
      <c r="K7" s="6"/>
      <c r="L7" s="6"/>
      <c r="M7" s="6"/>
    </row>
    <row r="8" spans="1:13" ht="17.100000000000001" customHeight="1" x14ac:dyDescent="0.25">
      <c r="A8" s="261"/>
      <c r="B8" s="10" t="s">
        <v>270</v>
      </c>
      <c r="C8" s="275">
        <v>526.9</v>
      </c>
      <c r="D8" s="276"/>
      <c r="E8" s="277"/>
      <c r="F8" s="11">
        <v>18</v>
      </c>
      <c r="G8" s="11">
        <f>F8*C8</f>
        <v>9484.1999999999989</v>
      </c>
      <c r="H8" s="8"/>
      <c r="I8" s="6"/>
      <c r="J8" s="6"/>
      <c r="K8" s="6"/>
      <c r="L8" s="6"/>
      <c r="M8" s="6"/>
    </row>
    <row r="9" spans="1:13" ht="17.100000000000001" customHeight="1" x14ac:dyDescent="0.25">
      <c r="A9" s="259" t="s">
        <v>23</v>
      </c>
      <c r="B9" s="9" t="s">
        <v>20</v>
      </c>
      <c r="C9" s="9" t="s">
        <v>24</v>
      </c>
      <c r="D9" s="9" t="s">
        <v>25</v>
      </c>
      <c r="E9" s="9" t="s">
        <v>26</v>
      </c>
      <c r="F9" s="9" t="s">
        <v>12</v>
      </c>
      <c r="G9" s="9" t="s">
        <v>13</v>
      </c>
      <c r="H9" s="8"/>
      <c r="I9" s="6"/>
      <c r="J9" s="6"/>
      <c r="K9" s="6"/>
      <c r="L9" s="6"/>
      <c r="M9" s="6"/>
    </row>
    <row r="10" spans="1:13" ht="17.100000000000001" customHeight="1" x14ac:dyDescent="0.25">
      <c r="A10" s="260"/>
      <c r="B10" s="10" t="s">
        <v>121</v>
      </c>
      <c r="C10" s="11">
        <v>6</v>
      </c>
      <c r="D10" s="11">
        <v>4.5</v>
      </c>
      <c r="E10" s="11">
        <f>D10*C10</f>
        <v>27</v>
      </c>
      <c r="F10" s="11">
        <v>1</v>
      </c>
      <c r="G10" s="11">
        <f t="shared" ref="G10:G16" si="0">F10*E10</f>
        <v>27</v>
      </c>
      <c r="H10" s="8"/>
      <c r="I10" s="6"/>
      <c r="J10" s="6"/>
      <c r="K10" s="6"/>
      <c r="L10" s="6"/>
      <c r="M10" s="6"/>
    </row>
    <row r="11" spans="1:13" ht="17.100000000000001" customHeight="1" x14ac:dyDescent="0.25">
      <c r="A11" s="260"/>
      <c r="B11" s="10" t="s">
        <v>121</v>
      </c>
      <c r="C11" s="11">
        <v>9</v>
      </c>
      <c r="D11" s="11">
        <v>6.8</v>
      </c>
      <c r="E11" s="11">
        <f>D11*C11</f>
        <v>61.199999999999996</v>
      </c>
      <c r="F11" s="11">
        <v>1</v>
      </c>
      <c r="G11" s="11">
        <f t="shared" si="0"/>
        <v>61.199999999999996</v>
      </c>
      <c r="H11" s="8"/>
      <c r="I11" s="6"/>
      <c r="J11" s="6"/>
      <c r="K11" s="6"/>
      <c r="L11" s="6"/>
      <c r="M11" s="6"/>
    </row>
    <row r="12" spans="1:13" ht="17.100000000000001" customHeight="1" x14ac:dyDescent="0.25">
      <c r="A12" s="260"/>
      <c r="B12" s="10" t="s">
        <v>271</v>
      </c>
      <c r="C12" s="11">
        <v>1</v>
      </c>
      <c r="D12" s="11">
        <v>11.33</v>
      </c>
      <c r="E12" s="11">
        <f>C12*D12</f>
        <v>11.33</v>
      </c>
      <c r="F12" s="11">
        <v>1</v>
      </c>
      <c r="G12" s="11">
        <f t="shared" si="0"/>
        <v>11.33</v>
      </c>
      <c r="H12" s="8"/>
      <c r="I12" s="6"/>
      <c r="J12" s="6"/>
      <c r="K12" s="6"/>
      <c r="L12" s="6"/>
      <c r="M12" s="6"/>
    </row>
    <row r="13" spans="1:13" ht="17.100000000000001" customHeight="1" x14ac:dyDescent="0.25">
      <c r="A13" s="260"/>
      <c r="B13" s="10" t="s">
        <v>271</v>
      </c>
      <c r="C13" s="11">
        <v>4</v>
      </c>
      <c r="D13" s="11">
        <v>2.2000000000000002</v>
      </c>
      <c r="E13" s="11">
        <f>D13*C13</f>
        <v>8.8000000000000007</v>
      </c>
      <c r="F13" s="11">
        <v>1</v>
      </c>
      <c r="G13" s="11">
        <f t="shared" si="0"/>
        <v>8.8000000000000007</v>
      </c>
      <c r="H13" s="8"/>
      <c r="I13" s="6"/>
      <c r="J13" s="6"/>
      <c r="K13" s="6"/>
      <c r="L13" s="6"/>
      <c r="M13" s="6"/>
    </row>
    <row r="14" spans="1:13" ht="17.100000000000001" customHeight="1" x14ac:dyDescent="0.25">
      <c r="A14" s="260"/>
      <c r="B14" s="10" t="s">
        <v>28</v>
      </c>
      <c r="C14" s="11">
        <v>112</v>
      </c>
      <c r="D14" s="11">
        <v>3.7</v>
      </c>
      <c r="E14" s="11">
        <f>D14*C14</f>
        <v>414.40000000000003</v>
      </c>
      <c r="F14" s="11">
        <v>0</v>
      </c>
      <c r="G14" s="11">
        <f t="shared" si="0"/>
        <v>0</v>
      </c>
      <c r="H14" s="8"/>
      <c r="I14" s="6"/>
      <c r="J14" s="6"/>
      <c r="K14" s="6"/>
      <c r="L14" s="6"/>
      <c r="M14" s="6"/>
    </row>
    <row r="15" spans="1:13" ht="17.100000000000001" customHeight="1" x14ac:dyDescent="0.25">
      <c r="A15" s="260"/>
      <c r="B15" s="10" t="s">
        <v>28</v>
      </c>
      <c r="C15" s="11">
        <v>10</v>
      </c>
      <c r="D15" s="11">
        <v>7</v>
      </c>
      <c r="E15" s="11">
        <f>D15*C15</f>
        <v>70</v>
      </c>
      <c r="F15" s="11">
        <v>0</v>
      </c>
      <c r="G15" s="11">
        <f t="shared" si="0"/>
        <v>0</v>
      </c>
      <c r="H15" s="8"/>
      <c r="I15" s="6"/>
      <c r="J15" s="6"/>
      <c r="K15" s="6"/>
      <c r="L15" s="6"/>
      <c r="M15" s="6"/>
    </row>
    <row r="16" spans="1:13" ht="17.100000000000001" customHeight="1" x14ac:dyDescent="0.25">
      <c r="A16" s="261"/>
      <c r="B16" s="10" t="s">
        <v>28</v>
      </c>
      <c r="C16" s="11">
        <v>1</v>
      </c>
      <c r="D16" s="11">
        <v>9</v>
      </c>
      <c r="E16" s="11">
        <f>D16*C16</f>
        <v>9</v>
      </c>
      <c r="F16" s="11">
        <v>0</v>
      </c>
      <c r="G16" s="11">
        <f t="shared" si="0"/>
        <v>0</v>
      </c>
      <c r="H16" s="8"/>
      <c r="I16" s="6"/>
      <c r="J16" s="6"/>
      <c r="K16" s="6"/>
      <c r="L16" s="6"/>
      <c r="M16" s="6"/>
    </row>
    <row r="17" spans="1:13" ht="17.100000000000001" customHeight="1" x14ac:dyDescent="0.25">
      <c r="A17" s="16" t="s">
        <v>29</v>
      </c>
      <c r="B17" s="9" t="s">
        <v>20</v>
      </c>
      <c r="C17" s="9" t="s">
        <v>9</v>
      </c>
      <c r="D17" s="9" t="s">
        <v>30</v>
      </c>
      <c r="E17" s="250" t="s">
        <v>12</v>
      </c>
      <c r="F17" s="251"/>
      <c r="G17" s="9" t="s">
        <v>13</v>
      </c>
      <c r="H17" s="8"/>
      <c r="I17" s="6"/>
      <c r="J17" s="6"/>
      <c r="K17" s="6"/>
      <c r="L17" s="6"/>
      <c r="M17" s="6"/>
    </row>
    <row r="18" spans="1:13" ht="17.100000000000001" customHeight="1" x14ac:dyDescent="0.25">
      <c r="A18" s="255" t="s">
        <v>35</v>
      </c>
      <c r="B18" s="256"/>
      <c r="C18" s="256"/>
      <c r="D18" s="256"/>
      <c r="E18" s="256"/>
      <c r="F18" s="256"/>
      <c r="G18" s="47">
        <f>(SUM(G10:G16))+G8+G5+G6</f>
        <v>84941.380979000009</v>
      </c>
      <c r="H18" s="8"/>
      <c r="I18" s="6"/>
      <c r="J18" s="6"/>
      <c r="K18" s="6"/>
      <c r="L18" s="6"/>
      <c r="M18" s="6"/>
    </row>
    <row r="19" spans="1:13" ht="17.100000000000001" customHeight="1" x14ac:dyDescent="0.25">
      <c r="A19" s="17"/>
      <c r="B19" s="17"/>
      <c r="C19" s="17"/>
      <c r="D19" s="17"/>
      <c r="E19" s="17"/>
      <c r="F19" s="17"/>
      <c r="G19" s="17"/>
      <c r="H19" s="6"/>
      <c r="I19" s="6"/>
      <c r="J19" s="6"/>
      <c r="K19" s="6"/>
      <c r="L19" s="6"/>
      <c r="M19" s="6"/>
    </row>
    <row r="20" spans="1:13" ht="17.100000000000001" customHeight="1" x14ac:dyDescent="0.25">
      <c r="A20" s="7"/>
      <c r="B20" s="7"/>
      <c r="C20" s="7"/>
      <c r="D20" s="7"/>
      <c r="E20" s="7"/>
      <c r="F20" s="7"/>
      <c r="G20" s="6"/>
      <c r="H20" s="6"/>
      <c r="I20" s="6"/>
      <c r="J20" s="6"/>
      <c r="K20" s="6"/>
      <c r="L20" s="6"/>
      <c r="M20" s="6"/>
    </row>
    <row r="21" spans="1:13" ht="17.100000000000001" customHeight="1" x14ac:dyDescent="0.25">
      <c r="A21" s="264" t="s">
        <v>37</v>
      </c>
      <c r="B21" s="265"/>
      <c r="C21" s="265"/>
      <c r="D21" s="265"/>
      <c r="E21" s="265"/>
      <c r="F21" s="266"/>
      <c r="G21" s="8"/>
      <c r="H21" s="6"/>
      <c r="I21" s="6"/>
      <c r="J21" s="6"/>
      <c r="K21" s="6"/>
      <c r="L21" s="6"/>
      <c r="M21" s="6"/>
    </row>
    <row r="22" spans="1:13" ht="17.100000000000001" customHeight="1" x14ac:dyDescent="0.25">
      <c r="A22" s="217" t="s">
        <v>38</v>
      </c>
      <c r="B22" s="19" t="s">
        <v>39</v>
      </c>
      <c r="C22" s="20" t="s">
        <v>40</v>
      </c>
      <c r="D22" s="20" t="s">
        <v>41</v>
      </c>
      <c r="E22" s="20" t="s">
        <v>42</v>
      </c>
      <c r="F22" s="20" t="s">
        <v>13</v>
      </c>
      <c r="G22" s="8"/>
      <c r="H22" s="6"/>
      <c r="I22" s="6"/>
      <c r="J22" s="6"/>
      <c r="K22" s="6"/>
      <c r="L22" s="6"/>
      <c r="M22" s="6"/>
    </row>
    <row r="23" spans="1:13" ht="17.100000000000001" customHeight="1" x14ac:dyDescent="0.25">
      <c r="A23" s="218"/>
      <c r="B23" s="48">
        <v>1021001455</v>
      </c>
      <c r="C23" s="11">
        <v>66993</v>
      </c>
      <c r="D23" s="10" t="s">
        <v>272</v>
      </c>
      <c r="E23" s="24">
        <v>0.12</v>
      </c>
      <c r="F23" s="11">
        <f t="shared" ref="F23:F70" si="1">E23*C23</f>
        <v>8039.16</v>
      </c>
      <c r="G23" s="8"/>
      <c r="H23" s="6"/>
      <c r="I23" s="6"/>
      <c r="J23" s="6"/>
      <c r="K23" s="6"/>
      <c r="L23" s="6"/>
      <c r="M23" s="6"/>
    </row>
    <row r="24" spans="1:13" ht="17.100000000000001" customHeight="1" x14ac:dyDescent="0.25">
      <c r="A24" s="218"/>
      <c r="B24" s="48">
        <v>11101224</v>
      </c>
      <c r="C24" s="11">
        <v>141438</v>
      </c>
      <c r="D24" s="10" t="s">
        <v>129</v>
      </c>
      <c r="E24" s="24">
        <v>0.12</v>
      </c>
      <c r="F24" s="11">
        <f t="shared" si="1"/>
        <v>16972.559999999998</v>
      </c>
      <c r="G24" s="8"/>
      <c r="H24" s="6"/>
      <c r="I24" s="6"/>
      <c r="J24" s="6"/>
      <c r="K24" s="6"/>
      <c r="L24" s="6"/>
      <c r="M24" s="6"/>
    </row>
    <row r="25" spans="1:13" ht="17.100000000000001" customHeight="1" x14ac:dyDescent="0.25">
      <c r="A25" s="218"/>
      <c r="B25" s="48">
        <v>1030087106</v>
      </c>
      <c r="C25" s="11">
        <v>127721</v>
      </c>
      <c r="D25" s="10" t="s">
        <v>135</v>
      </c>
      <c r="E25" s="24">
        <v>0.12</v>
      </c>
      <c r="F25" s="11">
        <f t="shared" si="1"/>
        <v>15326.519999999999</v>
      </c>
      <c r="G25" s="8"/>
      <c r="H25" s="6"/>
      <c r="I25" s="6"/>
      <c r="J25" s="6"/>
      <c r="K25" s="6"/>
      <c r="L25" s="6"/>
      <c r="M25" s="6"/>
    </row>
    <row r="26" spans="1:13" ht="17.100000000000001" customHeight="1" x14ac:dyDescent="0.25">
      <c r="A26" s="218"/>
      <c r="B26" s="48">
        <v>1033864252</v>
      </c>
      <c r="C26" s="11">
        <v>140701</v>
      </c>
      <c r="D26" s="10" t="s">
        <v>141</v>
      </c>
      <c r="E26" s="24">
        <v>0.12</v>
      </c>
      <c r="F26" s="11">
        <f t="shared" si="1"/>
        <v>16884.12</v>
      </c>
      <c r="G26" s="8"/>
      <c r="H26" s="6"/>
      <c r="I26" s="6"/>
      <c r="J26" s="6"/>
      <c r="K26" s="6"/>
      <c r="L26" s="6"/>
      <c r="M26" s="6"/>
    </row>
    <row r="27" spans="1:13" ht="17.100000000000001" customHeight="1" x14ac:dyDescent="0.25">
      <c r="A27" s="218"/>
      <c r="B27" s="48">
        <v>1038159589</v>
      </c>
      <c r="C27" s="11">
        <v>147046</v>
      </c>
      <c r="D27" s="10" t="s">
        <v>147</v>
      </c>
      <c r="E27" s="24">
        <v>0.12</v>
      </c>
      <c r="F27" s="11">
        <f t="shared" si="1"/>
        <v>17645.52</v>
      </c>
      <c r="G27" s="8"/>
      <c r="H27" s="6"/>
      <c r="I27" s="6"/>
      <c r="J27" s="6"/>
      <c r="K27" s="6"/>
      <c r="L27" s="6"/>
      <c r="M27" s="6"/>
    </row>
    <row r="28" spans="1:13" ht="17.100000000000001" customHeight="1" x14ac:dyDescent="0.25">
      <c r="A28" s="218"/>
      <c r="B28" s="48">
        <v>11101224</v>
      </c>
      <c r="C28" s="11">
        <v>93379</v>
      </c>
      <c r="D28" s="10" t="s">
        <v>153</v>
      </c>
      <c r="E28" s="24">
        <v>0.12</v>
      </c>
      <c r="F28" s="11">
        <f t="shared" si="1"/>
        <v>11205.48</v>
      </c>
      <c r="G28" s="8"/>
      <c r="H28" s="6"/>
      <c r="I28" s="6"/>
      <c r="J28" s="6"/>
      <c r="K28" s="6"/>
      <c r="L28" s="6"/>
      <c r="M28" s="6"/>
    </row>
    <row r="29" spans="1:13" ht="17.100000000000001" customHeight="1" x14ac:dyDescent="0.25">
      <c r="A29" s="218"/>
      <c r="B29" s="48">
        <v>1047629961</v>
      </c>
      <c r="C29" s="11">
        <v>97435</v>
      </c>
      <c r="D29" s="10" t="s">
        <v>159</v>
      </c>
      <c r="E29" s="24">
        <v>0.12</v>
      </c>
      <c r="F29" s="11">
        <f t="shared" si="1"/>
        <v>11692.199999999999</v>
      </c>
      <c r="G29" s="8"/>
      <c r="H29" s="6"/>
      <c r="I29" s="6"/>
      <c r="J29" s="6"/>
      <c r="K29" s="6"/>
      <c r="L29" s="6"/>
      <c r="M29" s="6"/>
    </row>
    <row r="30" spans="1:13" ht="17.100000000000001" customHeight="1" x14ac:dyDescent="0.25">
      <c r="A30" s="218"/>
      <c r="B30" s="23"/>
      <c r="C30" s="11">
        <v>143827</v>
      </c>
      <c r="D30" s="10" t="s">
        <v>165</v>
      </c>
      <c r="E30" s="24">
        <v>0.12</v>
      </c>
      <c r="F30" s="11">
        <f t="shared" si="1"/>
        <v>17259.239999999998</v>
      </c>
      <c r="G30" s="8"/>
      <c r="H30" s="6"/>
      <c r="I30" s="6"/>
      <c r="J30" s="6"/>
      <c r="K30" s="6"/>
      <c r="L30" s="6"/>
      <c r="M30" s="6"/>
    </row>
    <row r="31" spans="1:13" ht="17.100000000000001" customHeight="1" x14ac:dyDescent="0.25">
      <c r="A31" s="218"/>
      <c r="B31" s="48">
        <v>1056738723</v>
      </c>
      <c r="C31" s="11">
        <v>146231</v>
      </c>
      <c r="D31" s="10" t="s">
        <v>171</v>
      </c>
      <c r="E31" s="24">
        <v>0.12</v>
      </c>
      <c r="F31" s="11">
        <f t="shared" si="1"/>
        <v>17547.72</v>
      </c>
      <c r="G31" s="8"/>
      <c r="H31" s="6"/>
      <c r="I31" s="6"/>
      <c r="J31" s="6"/>
      <c r="K31" s="6"/>
      <c r="L31" s="6"/>
      <c r="M31" s="6"/>
    </row>
    <row r="32" spans="1:13" ht="17.100000000000001" customHeight="1" x14ac:dyDescent="0.25">
      <c r="A32" s="218"/>
      <c r="B32" s="48">
        <v>1060509375</v>
      </c>
      <c r="C32" s="11">
        <v>150997</v>
      </c>
      <c r="D32" s="10" t="s">
        <v>177</v>
      </c>
      <c r="E32" s="24">
        <v>0.12</v>
      </c>
      <c r="F32" s="11">
        <f t="shared" si="1"/>
        <v>18119.64</v>
      </c>
      <c r="G32" s="8"/>
      <c r="H32" s="6"/>
      <c r="I32" s="6"/>
      <c r="J32" s="6"/>
      <c r="K32" s="6"/>
      <c r="L32" s="6"/>
      <c r="M32" s="6"/>
    </row>
    <row r="33" spans="1:13" ht="17.100000000000001" customHeight="1" x14ac:dyDescent="0.25">
      <c r="A33" s="218"/>
      <c r="B33" s="48">
        <v>1066703363</v>
      </c>
      <c r="C33" s="11">
        <v>146798</v>
      </c>
      <c r="D33" s="10" t="s">
        <v>273</v>
      </c>
      <c r="E33" s="24">
        <v>0.12</v>
      </c>
      <c r="F33" s="11">
        <f t="shared" si="1"/>
        <v>17615.759999999998</v>
      </c>
      <c r="G33" s="8"/>
      <c r="H33" s="6"/>
      <c r="I33" s="6"/>
      <c r="J33" s="6"/>
      <c r="K33" s="6"/>
      <c r="L33" s="6"/>
      <c r="M33" s="6"/>
    </row>
    <row r="34" spans="1:13" ht="17.100000000000001" customHeight="1" x14ac:dyDescent="0.25">
      <c r="A34" s="218"/>
      <c r="B34" s="48">
        <v>1071385345</v>
      </c>
      <c r="C34" s="11">
        <v>71473</v>
      </c>
      <c r="D34" s="10" t="s">
        <v>189</v>
      </c>
      <c r="E34" s="24">
        <v>0.12</v>
      </c>
      <c r="F34" s="11">
        <f t="shared" si="1"/>
        <v>8576.76</v>
      </c>
      <c r="G34" s="8"/>
      <c r="H34" s="6"/>
      <c r="I34" s="6"/>
      <c r="J34" s="6"/>
      <c r="K34" s="6"/>
      <c r="L34" s="6"/>
      <c r="M34" s="6"/>
    </row>
    <row r="35" spans="1:13" ht="17.100000000000001" customHeight="1" x14ac:dyDescent="0.25">
      <c r="A35" s="218"/>
      <c r="B35" s="48">
        <v>1021001396</v>
      </c>
      <c r="C35" s="11">
        <v>48469</v>
      </c>
      <c r="D35" s="10" t="s">
        <v>272</v>
      </c>
      <c r="E35" s="24">
        <v>0.12</v>
      </c>
      <c r="F35" s="11">
        <f t="shared" si="1"/>
        <v>5816.28</v>
      </c>
      <c r="G35" s="8"/>
      <c r="H35" s="6"/>
      <c r="I35" s="6"/>
      <c r="J35" s="6"/>
      <c r="K35" s="6"/>
      <c r="L35" s="6"/>
      <c r="M35" s="6"/>
    </row>
    <row r="36" spans="1:13" ht="17.100000000000001" customHeight="1" x14ac:dyDescent="0.25">
      <c r="A36" s="218"/>
      <c r="B36" s="48">
        <v>1025545148</v>
      </c>
      <c r="C36" s="11">
        <v>78665</v>
      </c>
      <c r="D36" s="10" t="s">
        <v>129</v>
      </c>
      <c r="E36" s="24">
        <v>0.12</v>
      </c>
      <c r="F36" s="11">
        <f t="shared" si="1"/>
        <v>9439.7999999999993</v>
      </c>
      <c r="G36" s="8"/>
      <c r="H36" s="6"/>
      <c r="I36" s="6"/>
      <c r="J36" s="6"/>
      <c r="K36" s="6"/>
      <c r="L36" s="6"/>
      <c r="M36" s="6"/>
    </row>
    <row r="37" spans="1:13" ht="17.100000000000001" customHeight="1" x14ac:dyDescent="0.25">
      <c r="A37" s="218"/>
      <c r="B37" s="48">
        <v>1030087072</v>
      </c>
      <c r="C37" s="11">
        <v>69085</v>
      </c>
      <c r="D37" s="10" t="s">
        <v>135</v>
      </c>
      <c r="E37" s="24">
        <v>0.12</v>
      </c>
      <c r="F37" s="11">
        <f t="shared" si="1"/>
        <v>8290.1999999999989</v>
      </c>
      <c r="G37" s="8"/>
      <c r="H37" s="6"/>
      <c r="I37" s="6"/>
      <c r="J37" s="6"/>
      <c r="K37" s="6"/>
      <c r="L37" s="6"/>
      <c r="M37" s="6"/>
    </row>
    <row r="38" spans="1:13" ht="17.100000000000001" customHeight="1" x14ac:dyDescent="0.25">
      <c r="A38" s="218"/>
      <c r="B38" s="48">
        <v>1033864175</v>
      </c>
      <c r="C38" s="11">
        <v>72024</v>
      </c>
      <c r="D38" s="10" t="s">
        <v>141</v>
      </c>
      <c r="E38" s="24">
        <v>0.12</v>
      </c>
      <c r="F38" s="11">
        <f t="shared" si="1"/>
        <v>8642.8799999999992</v>
      </c>
      <c r="G38" s="8"/>
      <c r="H38" s="6"/>
      <c r="I38" s="6"/>
      <c r="J38" s="6"/>
      <c r="K38" s="6"/>
      <c r="L38" s="6"/>
      <c r="M38" s="6"/>
    </row>
    <row r="39" spans="1:13" ht="17.100000000000001" customHeight="1" x14ac:dyDescent="0.25">
      <c r="A39" s="218"/>
      <c r="B39" s="48">
        <v>1038159517</v>
      </c>
      <c r="C39" s="11">
        <v>71565</v>
      </c>
      <c r="D39" s="10" t="s">
        <v>147</v>
      </c>
      <c r="E39" s="24">
        <v>0.12</v>
      </c>
      <c r="F39" s="11">
        <f t="shared" si="1"/>
        <v>8587.7999999999993</v>
      </c>
      <c r="G39" s="8"/>
      <c r="H39" s="6"/>
      <c r="I39" s="6"/>
      <c r="J39" s="6"/>
      <c r="K39" s="6"/>
      <c r="L39" s="6"/>
      <c r="M39" s="6"/>
    </row>
    <row r="40" spans="1:13" ht="17.100000000000001" customHeight="1" x14ac:dyDescent="0.25">
      <c r="A40" s="218"/>
      <c r="B40" s="48">
        <v>1042241221</v>
      </c>
      <c r="C40" s="11">
        <v>53424</v>
      </c>
      <c r="D40" s="10" t="s">
        <v>153</v>
      </c>
      <c r="E40" s="24">
        <v>0.12</v>
      </c>
      <c r="F40" s="11">
        <f t="shared" si="1"/>
        <v>6410.88</v>
      </c>
      <c r="G40" s="8"/>
      <c r="H40" s="6"/>
      <c r="I40" s="6"/>
      <c r="J40" s="6"/>
      <c r="K40" s="6"/>
      <c r="L40" s="6"/>
      <c r="M40" s="6"/>
    </row>
    <row r="41" spans="1:13" ht="17.100000000000001" customHeight="1" x14ac:dyDescent="0.25">
      <c r="A41" s="218"/>
      <c r="B41" s="48">
        <v>1047629880</v>
      </c>
      <c r="C41" s="11">
        <v>58287</v>
      </c>
      <c r="D41" s="10" t="s">
        <v>159</v>
      </c>
      <c r="E41" s="24">
        <v>0.12</v>
      </c>
      <c r="F41" s="11">
        <f t="shared" si="1"/>
        <v>6994.44</v>
      </c>
      <c r="G41" s="8"/>
      <c r="H41" s="6"/>
      <c r="I41" s="6"/>
      <c r="J41" s="6"/>
      <c r="K41" s="6"/>
      <c r="L41" s="6"/>
      <c r="M41" s="6"/>
    </row>
    <row r="42" spans="1:13" ht="17.100000000000001" customHeight="1" x14ac:dyDescent="0.25">
      <c r="A42" s="218"/>
      <c r="B42" s="48">
        <v>1056738609</v>
      </c>
      <c r="C42" s="11">
        <v>71857</v>
      </c>
      <c r="D42" s="10" t="s">
        <v>165</v>
      </c>
      <c r="E42" s="24">
        <v>0.12</v>
      </c>
      <c r="F42" s="11">
        <f t="shared" si="1"/>
        <v>8622.84</v>
      </c>
      <c r="G42" s="8"/>
      <c r="H42" s="6"/>
      <c r="I42" s="6"/>
      <c r="J42" s="6"/>
      <c r="K42" s="6"/>
      <c r="L42" s="6"/>
      <c r="M42" s="6"/>
    </row>
    <row r="43" spans="1:13" ht="17.100000000000001" customHeight="1" x14ac:dyDescent="0.25">
      <c r="A43" s="218"/>
      <c r="B43" s="48">
        <v>1060509291</v>
      </c>
      <c r="C43" s="11">
        <v>74407</v>
      </c>
      <c r="D43" s="10" t="s">
        <v>171</v>
      </c>
      <c r="E43" s="24">
        <v>0.12</v>
      </c>
      <c r="F43" s="11">
        <f t="shared" si="1"/>
        <v>8928.84</v>
      </c>
      <c r="G43" s="8"/>
      <c r="H43" s="6"/>
      <c r="I43" s="6"/>
      <c r="J43" s="6"/>
      <c r="K43" s="6"/>
      <c r="L43" s="6"/>
      <c r="M43" s="6"/>
    </row>
    <row r="44" spans="1:13" ht="17.100000000000001" customHeight="1" x14ac:dyDescent="0.25">
      <c r="A44" s="218"/>
      <c r="B44" s="48">
        <v>1066703262</v>
      </c>
      <c r="C44" s="11">
        <v>74990</v>
      </c>
      <c r="D44" s="10" t="s">
        <v>177</v>
      </c>
      <c r="E44" s="24">
        <v>0.12</v>
      </c>
      <c r="F44" s="11">
        <f t="shared" si="1"/>
        <v>8998.7999999999993</v>
      </c>
      <c r="G44" s="8"/>
      <c r="H44" s="6"/>
      <c r="I44" s="6"/>
      <c r="J44" s="6"/>
      <c r="K44" s="6"/>
      <c r="L44" s="6"/>
      <c r="M44" s="6"/>
    </row>
    <row r="45" spans="1:13" ht="17.100000000000001" customHeight="1" x14ac:dyDescent="0.25">
      <c r="A45" s="218"/>
      <c r="B45" s="48">
        <v>1071385269</v>
      </c>
      <c r="C45" s="11">
        <v>70635</v>
      </c>
      <c r="D45" s="10" t="s">
        <v>273</v>
      </c>
      <c r="E45" s="24">
        <v>0.12</v>
      </c>
      <c r="F45" s="11">
        <f t="shared" si="1"/>
        <v>8476.1999999999989</v>
      </c>
      <c r="G45" s="8"/>
      <c r="H45" s="6"/>
      <c r="I45" s="6"/>
      <c r="J45" s="6"/>
      <c r="K45" s="6"/>
      <c r="L45" s="6"/>
      <c r="M45" s="6"/>
    </row>
    <row r="46" spans="1:13" ht="17.100000000000001" customHeight="1" x14ac:dyDescent="0.25">
      <c r="A46" s="218"/>
      <c r="B46" s="48">
        <v>1075988057</v>
      </c>
      <c r="C46" s="11">
        <v>48822</v>
      </c>
      <c r="D46" s="10" t="s">
        <v>189</v>
      </c>
      <c r="E46" s="24">
        <v>0.12</v>
      </c>
      <c r="F46" s="11">
        <f t="shared" si="1"/>
        <v>5858.6399999999994</v>
      </c>
      <c r="G46" s="8"/>
      <c r="H46" s="6"/>
      <c r="I46" s="6"/>
      <c r="J46" s="6"/>
      <c r="K46" s="6"/>
      <c r="L46" s="6"/>
      <c r="M46" s="6"/>
    </row>
    <row r="47" spans="1:13" ht="17.100000000000001" customHeight="1" x14ac:dyDescent="0.25">
      <c r="A47" s="218"/>
      <c r="B47" s="48">
        <v>2510153</v>
      </c>
      <c r="C47" s="11">
        <v>1319</v>
      </c>
      <c r="D47" s="10" t="s">
        <v>272</v>
      </c>
      <c r="E47" s="24">
        <v>0.12</v>
      </c>
      <c r="F47" s="11">
        <f t="shared" si="1"/>
        <v>158.28</v>
      </c>
      <c r="G47" s="8"/>
      <c r="H47" s="6"/>
      <c r="I47" s="6"/>
      <c r="J47" s="6"/>
      <c r="K47" s="6"/>
      <c r="L47" s="6"/>
      <c r="M47" s="6"/>
    </row>
    <row r="48" spans="1:13" ht="17.100000000000001" customHeight="1" x14ac:dyDescent="0.25">
      <c r="A48" s="218"/>
      <c r="B48" s="48">
        <v>2529049</v>
      </c>
      <c r="C48" s="11">
        <v>1702</v>
      </c>
      <c r="D48" s="10" t="s">
        <v>129</v>
      </c>
      <c r="E48" s="24">
        <v>0.12</v>
      </c>
      <c r="F48" s="11">
        <f t="shared" si="1"/>
        <v>204.23999999999998</v>
      </c>
      <c r="G48" s="8"/>
      <c r="H48" s="6"/>
      <c r="I48" s="6"/>
      <c r="J48" s="6"/>
      <c r="K48" s="6"/>
      <c r="L48" s="6"/>
      <c r="M48" s="6"/>
    </row>
    <row r="49" spans="1:13" ht="17.100000000000001" customHeight="1" x14ac:dyDescent="0.25">
      <c r="A49" s="218"/>
      <c r="B49" s="48">
        <v>2558540</v>
      </c>
      <c r="C49" s="11">
        <v>1513</v>
      </c>
      <c r="D49" s="10" t="s">
        <v>135</v>
      </c>
      <c r="E49" s="24">
        <v>0.12</v>
      </c>
      <c r="F49" s="11">
        <f t="shared" si="1"/>
        <v>181.56</v>
      </c>
      <c r="G49" s="8"/>
      <c r="H49" s="6"/>
      <c r="I49" s="6"/>
      <c r="J49" s="6"/>
      <c r="K49" s="6"/>
      <c r="L49" s="6"/>
      <c r="M49" s="6"/>
    </row>
    <row r="50" spans="1:13" ht="17.100000000000001" customHeight="1" x14ac:dyDescent="0.25">
      <c r="A50" s="218"/>
      <c r="B50" s="48">
        <v>2586711</v>
      </c>
      <c r="C50" s="11">
        <v>1587</v>
      </c>
      <c r="D50" s="10" t="s">
        <v>141</v>
      </c>
      <c r="E50" s="24">
        <v>0.12</v>
      </c>
      <c r="F50" s="11">
        <f t="shared" si="1"/>
        <v>190.44</v>
      </c>
      <c r="G50" s="8"/>
      <c r="H50" s="6"/>
      <c r="I50" s="6"/>
      <c r="J50" s="6"/>
      <c r="K50" s="6"/>
      <c r="L50" s="6"/>
      <c r="M50" s="6"/>
    </row>
    <row r="51" spans="1:13" ht="17.100000000000001" customHeight="1" x14ac:dyDescent="0.25">
      <c r="A51" s="218"/>
      <c r="B51" s="48">
        <v>2593810</v>
      </c>
      <c r="C51" s="11">
        <v>1613</v>
      </c>
      <c r="D51" s="10" t="s">
        <v>147</v>
      </c>
      <c r="E51" s="24">
        <v>0.12</v>
      </c>
      <c r="F51" s="11">
        <f t="shared" si="1"/>
        <v>193.56</v>
      </c>
      <c r="G51" s="8"/>
      <c r="H51" s="6"/>
      <c r="I51" s="6"/>
      <c r="J51" s="6"/>
      <c r="K51" s="6"/>
      <c r="L51" s="6"/>
      <c r="M51" s="6"/>
    </row>
    <row r="52" spans="1:13" ht="17.100000000000001" customHeight="1" x14ac:dyDescent="0.25">
      <c r="A52" s="218"/>
      <c r="B52" s="48">
        <v>2644354</v>
      </c>
      <c r="C52" s="11">
        <v>1301</v>
      </c>
      <c r="D52" s="10" t="s">
        <v>153</v>
      </c>
      <c r="E52" s="24">
        <v>0.12</v>
      </c>
      <c r="F52" s="11">
        <f t="shared" si="1"/>
        <v>156.12</v>
      </c>
      <c r="G52" s="8"/>
      <c r="H52" s="6"/>
      <c r="I52" s="6"/>
      <c r="J52" s="6"/>
      <c r="K52" s="6"/>
      <c r="L52" s="6"/>
      <c r="M52" s="6"/>
    </row>
    <row r="53" spans="1:13" ht="17.100000000000001" customHeight="1" x14ac:dyDescent="0.25">
      <c r="A53" s="218"/>
      <c r="B53" s="48">
        <v>2673266</v>
      </c>
      <c r="C53" s="11">
        <v>1294</v>
      </c>
      <c r="D53" s="10" t="s">
        <v>159</v>
      </c>
      <c r="E53" s="24">
        <v>0.12</v>
      </c>
      <c r="F53" s="11">
        <f t="shared" si="1"/>
        <v>155.28</v>
      </c>
      <c r="G53" s="8"/>
      <c r="H53" s="6"/>
      <c r="I53" s="6"/>
      <c r="J53" s="6"/>
      <c r="K53" s="6"/>
      <c r="L53" s="6"/>
      <c r="M53" s="6"/>
    </row>
    <row r="54" spans="1:13" ht="17.100000000000001" customHeight="1" x14ac:dyDescent="0.25">
      <c r="A54" s="218"/>
      <c r="B54" s="48">
        <v>2701498</v>
      </c>
      <c r="C54" s="11">
        <v>1609</v>
      </c>
      <c r="D54" s="10" t="s">
        <v>165</v>
      </c>
      <c r="E54" s="24">
        <v>0.12</v>
      </c>
      <c r="F54" s="11">
        <f t="shared" si="1"/>
        <v>193.07999999999998</v>
      </c>
      <c r="G54" s="8"/>
      <c r="H54" s="6"/>
      <c r="I54" s="6"/>
      <c r="J54" s="6"/>
      <c r="K54" s="6"/>
      <c r="L54" s="6"/>
      <c r="M54" s="6"/>
    </row>
    <row r="55" spans="1:13" ht="17.100000000000001" customHeight="1" x14ac:dyDescent="0.25">
      <c r="A55" s="218"/>
      <c r="B55" s="48">
        <v>2769921</v>
      </c>
      <c r="C55" s="11">
        <v>1794</v>
      </c>
      <c r="D55" s="10" t="s">
        <v>171</v>
      </c>
      <c r="E55" s="24">
        <v>0.12</v>
      </c>
      <c r="F55" s="11">
        <f t="shared" si="1"/>
        <v>215.28</v>
      </c>
      <c r="G55" s="8"/>
      <c r="H55" s="6"/>
      <c r="I55" s="6"/>
      <c r="J55" s="6"/>
      <c r="K55" s="6"/>
      <c r="L55" s="6"/>
      <c r="M55" s="6"/>
    </row>
    <row r="56" spans="1:13" ht="17.100000000000001" customHeight="1" x14ac:dyDescent="0.25">
      <c r="A56" s="218"/>
      <c r="B56" s="48">
        <v>2797852</v>
      </c>
      <c r="C56" s="11">
        <v>1933</v>
      </c>
      <c r="D56" s="10" t="s">
        <v>177</v>
      </c>
      <c r="E56" s="24">
        <v>0.12</v>
      </c>
      <c r="F56" s="11">
        <f t="shared" si="1"/>
        <v>231.95999999999998</v>
      </c>
      <c r="G56" s="8"/>
      <c r="H56" s="6"/>
      <c r="I56" s="6"/>
      <c r="J56" s="6"/>
      <c r="K56" s="6"/>
      <c r="L56" s="6"/>
      <c r="M56" s="6"/>
    </row>
    <row r="57" spans="1:13" ht="17.100000000000001" customHeight="1" x14ac:dyDescent="0.25">
      <c r="A57" s="218"/>
      <c r="B57" s="48">
        <v>2789411</v>
      </c>
      <c r="C57" s="11">
        <v>1500</v>
      </c>
      <c r="D57" s="10" t="s">
        <v>273</v>
      </c>
      <c r="E57" s="24">
        <v>0.12</v>
      </c>
      <c r="F57" s="11">
        <f t="shared" si="1"/>
        <v>180</v>
      </c>
      <c r="G57" s="8"/>
      <c r="H57" s="6"/>
      <c r="I57" s="6"/>
      <c r="J57" s="6"/>
      <c r="K57" s="6"/>
      <c r="L57" s="6"/>
      <c r="M57" s="6"/>
    </row>
    <row r="58" spans="1:13" ht="17.100000000000001" customHeight="1" x14ac:dyDescent="0.25">
      <c r="A58" s="218"/>
      <c r="B58" s="48">
        <v>2827292</v>
      </c>
      <c r="C58" s="11">
        <v>1572</v>
      </c>
      <c r="D58" s="10" t="s">
        <v>189</v>
      </c>
      <c r="E58" s="24">
        <v>0.12</v>
      </c>
      <c r="F58" s="11">
        <f t="shared" si="1"/>
        <v>188.64</v>
      </c>
      <c r="G58" s="8"/>
      <c r="H58" s="6"/>
      <c r="I58" s="6"/>
      <c r="J58" s="6"/>
      <c r="K58" s="6"/>
      <c r="L58" s="6"/>
      <c r="M58" s="6"/>
    </row>
    <row r="59" spans="1:13" ht="17.100000000000001" customHeight="1" x14ac:dyDescent="0.25">
      <c r="A59" s="218"/>
      <c r="B59" s="48">
        <v>138256684</v>
      </c>
      <c r="C59" s="11">
        <v>500</v>
      </c>
      <c r="D59" s="10" t="s">
        <v>272</v>
      </c>
      <c r="E59" s="24">
        <v>0.12</v>
      </c>
      <c r="F59" s="11">
        <f t="shared" si="1"/>
        <v>60</v>
      </c>
      <c r="G59" s="8"/>
      <c r="H59" s="6"/>
      <c r="I59" s="6"/>
      <c r="J59" s="6"/>
      <c r="K59" s="6"/>
      <c r="L59" s="6"/>
      <c r="M59" s="6"/>
    </row>
    <row r="60" spans="1:13" ht="17.100000000000001" customHeight="1" x14ac:dyDescent="0.25">
      <c r="A60" s="218"/>
      <c r="B60" s="48">
        <v>139167928</v>
      </c>
      <c r="C60" s="11">
        <v>527</v>
      </c>
      <c r="D60" s="10" t="s">
        <v>129</v>
      </c>
      <c r="E60" s="24">
        <v>0.12</v>
      </c>
      <c r="F60" s="11">
        <f t="shared" si="1"/>
        <v>63.239999999999995</v>
      </c>
      <c r="G60" s="8"/>
      <c r="H60" s="6"/>
      <c r="I60" s="6"/>
      <c r="J60" s="6"/>
      <c r="K60" s="6"/>
      <c r="L60" s="6"/>
      <c r="M60" s="6"/>
    </row>
    <row r="61" spans="1:13" ht="17.100000000000001" customHeight="1" x14ac:dyDescent="0.25">
      <c r="A61" s="218"/>
      <c r="B61" s="48">
        <v>140147175</v>
      </c>
      <c r="C61" s="11">
        <v>519</v>
      </c>
      <c r="D61" s="10" t="s">
        <v>135</v>
      </c>
      <c r="E61" s="24">
        <v>0.12</v>
      </c>
      <c r="F61" s="11">
        <f t="shared" si="1"/>
        <v>62.28</v>
      </c>
      <c r="G61" s="8"/>
      <c r="H61" s="6"/>
      <c r="I61" s="6"/>
      <c r="J61" s="6"/>
      <c r="K61" s="6"/>
      <c r="L61" s="6"/>
      <c r="M61" s="6"/>
    </row>
    <row r="62" spans="1:13" ht="17.100000000000001" customHeight="1" x14ac:dyDescent="0.25">
      <c r="A62" s="218"/>
      <c r="B62" s="48">
        <v>141156196</v>
      </c>
      <c r="C62" s="11">
        <v>525</v>
      </c>
      <c r="D62" s="10" t="s">
        <v>141</v>
      </c>
      <c r="E62" s="24">
        <v>0.12</v>
      </c>
      <c r="F62" s="11">
        <f t="shared" si="1"/>
        <v>63</v>
      </c>
      <c r="G62" s="8"/>
      <c r="H62" s="6"/>
      <c r="I62" s="6"/>
      <c r="J62" s="6"/>
      <c r="K62" s="6"/>
      <c r="L62" s="6"/>
      <c r="M62" s="6"/>
    </row>
    <row r="63" spans="1:13" ht="17.100000000000001" customHeight="1" x14ac:dyDescent="0.25">
      <c r="A63" s="218"/>
      <c r="B63" s="48">
        <v>142232757</v>
      </c>
      <c r="C63" s="11">
        <v>537</v>
      </c>
      <c r="D63" s="10" t="s">
        <v>147</v>
      </c>
      <c r="E63" s="24">
        <v>0.12</v>
      </c>
      <c r="F63" s="11">
        <f t="shared" si="1"/>
        <v>64.44</v>
      </c>
      <c r="G63" s="8"/>
      <c r="H63" s="6"/>
      <c r="I63" s="6"/>
      <c r="J63" s="6"/>
      <c r="K63" s="6"/>
      <c r="L63" s="6"/>
      <c r="M63" s="6"/>
    </row>
    <row r="64" spans="1:13" ht="17.100000000000001" customHeight="1" x14ac:dyDescent="0.25">
      <c r="A64" s="218"/>
      <c r="B64" s="48">
        <v>143271592</v>
      </c>
      <c r="C64" s="11">
        <v>529</v>
      </c>
      <c r="D64" s="10" t="s">
        <v>153</v>
      </c>
      <c r="E64" s="24">
        <v>0.12</v>
      </c>
      <c r="F64" s="11">
        <f t="shared" si="1"/>
        <v>63.48</v>
      </c>
      <c r="G64" s="8"/>
      <c r="H64" s="6"/>
      <c r="I64" s="6"/>
      <c r="J64" s="6"/>
      <c r="K64" s="6"/>
      <c r="L64" s="6"/>
      <c r="M64" s="6"/>
    </row>
    <row r="65" spans="1:13" ht="17.100000000000001" customHeight="1" x14ac:dyDescent="0.25">
      <c r="A65" s="218"/>
      <c r="B65" s="48">
        <v>144323143</v>
      </c>
      <c r="C65" s="11">
        <v>536</v>
      </c>
      <c r="D65" s="10" t="s">
        <v>159</v>
      </c>
      <c r="E65" s="24">
        <v>0.12</v>
      </c>
      <c r="F65" s="11">
        <f t="shared" si="1"/>
        <v>64.319999999999993</v>
      </c>
      <c r="G65" s="8"/>
      <c r="H65" s="6"/>
      <c r="I65" s="6"/>
      <c r="J65" s="6"/>
      <c r="K65" s="6"/>
      <c r="L65" s="6"/>
      <c r="M65" s="6"/>
    </row>
    <row r="66" spans="1:13" ht="17.100000000000001" customHeight="1" x14ac:dyDescent="0.25">
      <c r="A66" s="218"/>
      <c r="B66" s="48">
        <v>145430920</v>
      </c>
      <c r="C66" s="11">
        <v>561</v>
      </c>
      <c r="D66" s="10" t="s">
        <v>165</v>
      </c>
      <c r="E66" s="24">
        <v>0.12</v>
      </c>
      <c r="F66" s="11">
        <f t="shared" si="1"/>
        <v>67.319999999999993</v>
      </c>
      <c r="G66" s="8"/>
      <c r="H66" s="6"/>
      <c r="I66" s="6"/>
      <c r="J66" s="6"/>
      <c r="K66" s="6"/>
      <c r="L66" s="6"/>
      <c r="M66" s="6"/>
    </row>
    <row r="67" spans="1:13" ht="17.100000000000001" customHeight="1" x14ac:dyDescent="0.25">
      <c r="A67" s="218"/>
      <c r="B67" s="48">
        <v>147552834</v>
      </c>
      <c r="C67" s="11">
        <v>563</v>
      </c>
      <c r="D67" s="10" t="s">
        <v>171</v>
      </c>
      <c r="E67" s="24">
        <v>0.12</v>
      </c>
      <c r="F67" s="11">
        <f t="shared" si="1"/>
        <v>67.56</v>
      </c>
      <c r="G67" s="8"/>
      <c r="H67" s="6"/>
      <c r="I67" s="6"/>
      <c r="J67" s="6"/>
      <c r="K67" s="6"/>
      <c r="L67" s="6"/>
      <c r="M67" s="6"/>
    </row>
    <row r="68" spans="1:13" ht="17.100000000000001" customHeight="1" x14ac:dyDescent="0.25">
      <c r="A68" s="218"/>
      <c r="B68" s="48">
        <v>147623142</v>
      </c>
      <c r="C68" s="11">
        <v>574</v>
      </c>
      <c r="D68" s="10" t="s">
        <v>177</v>
      </c>
      <c r="E68" s="24">
        <v>0.12</v>
      </c>
      <c r="F68" s="11">
        <f t="shared" si="1"/>
        <v>68.88</v>
      </c>
      <c r="G68" s="8"/>
      <c r="H68" s="6"/>
      <c r="I68" s="6"/>
      <c r="J68" s="6"/>
      <c r="K68" s="6"/>
      <c r="L68" s="6"/>
      <c r="M68" s="6"/>
    </row>
    <row r="69" spans="1:13" ht="17.100000000000001" customHeight="1" x14ac:dyDescent="0.25">
      <c r="A69" s="218"/>
      <c r="B69" s="48">
        <v>148236513</v>
      </c>
      <c r="C69" s="11">
        <v>550</v>
      </c>
      <c r="D69" s="10" t="s">
        <v>273</v>
      </c>
      <c r="E69" s="24">
        <v>0.12</v>
      </c>
      <c r="F69" s="11">
        <f t="shared" si="1"/>
        <v>66</v>
      </c>
      <c r="G69" s="8"/>
      <c r="H69" s="6"/>
      <c r="I69" s="6"/>
      <c r="J69" s="6"/>
      <c r="K69" s="6"/>
      <c r="L69" s="6"/>
      <c r="M69" s="6"/>
    </row>
    <row r="70" spans="1:13" ht="17.100000000000001" customHeight="1" x14ac:dyDescent="0.25">
      <c r="A70" s="218"/>
      <c r="B70" s="23"/>
      <c r="C70" s="11">
        <v>554</v>
      </c>
      <c r="D70" s="10" t="s">
        <v>189</v>
      </c>
      <c r="E70" s="24">
        <v>0.12</v>
      </c>
      <c r="F70" s="11">
        <f t="shared" si="1"/>
        <v>66.48</v>
      </c>
      <c r="G70" s="8"/>
      <c r="H70" s="6"/>
      <c r="I70" s="6"/>
      <c r="J70" s="6"/>
      <c r="K70" s="6"/>
      <c r="L70" s="6"/>
      <c r="M70" s="6"/>
    </row>
    <row r="71" spans="1:13" ht="17.100000000000001" customHeight="1" x14ac:dyDescent="0.25">
      <c r="A71" s="219"/>
      <c r="B71" s="222" t="s">
        <v>56</v>
      </c>
      <c r="C71" s="223"/>
      <c r="D71" s="221"/>
      <c r="E71" s="220">
        <f>SUM(F23:F70)</f>
        <v>274977.72000000009</v>
      </c>
      <c r="F71" s="221"/>
      <c r="G71" s="8"/>
      <c r="H71" s="6"/>
      <c r="I71" s="6"/>
      <c r="J71" s="6"/>
      <c r="K71" s="6"/>
      <c r="L71" s="6"/>
      <c r="M71" s="6"/>
    </row>
    <row r="72" spans="1:13" ht="17.100000000000001" customHeight="1" x14ac:dyDescent="0.25">
      <c r="A72" s="17"/>
      <c r="B72" s="17"/>
      <c r="C72" s="17"/>
      <c r="D72" s="17"/>
      <c r="E72" s="17"/>
      <c r="F72" s="17"/>
      <c r="G72" s="6"/>
      <c r="H72" s="6"/>
      <c r="I72" s="6"/>
      <c r="J72" s="6"/>
      <c r="K72" s="6"/>
      <c r="L72" s="6"/>
      <c r="M72" s="6"/>
    </row>
    <row r="73" spans="1:13" ht="17.100000000000001" customHeight="1" x14ac:dyDescent="0.25">
      <c r="A73" s="7"/>
      <c r="B73" s="7"/>
      <c r="C73" s="7"/>
      <c r="D73" s="7"/>
      <c r="E73" s="7"/>
      <c r="F73" s="7"/>
      <c r="G73" s="7"/>
      <c r="H73" s="7"/>
      <c r="I73" s="7"/>
      <c r="J73" s="6"/>
      <c r="K73" s="6"/>
      <c r="L73" s="6"/>
      <c r="M73" s="6"/>
    </row>
    <row r="74" spans="1:13" ht="17.100000000000001" customHeight="1" x14ac:dyDescent="0.25">
      <c r="A74" s="224" t="s">
        <v>57</v>
      </c>
      <c r="B74" s="225"/>
      <c r="C74" s="225"/>
      <c r="D74" s="225"/>
      <c r="E74" s="225"/>
      <c r="F74" s="225"/>
      <c r="G74" s="225"/>
      <c r="H74" s="225"/>
      <c r="I74" s="226"/>
      <c r="J74" s="8"/>
      <c r="K74" s="6"/>
      <c r="L74" s="6"/>
      <c r="M74" s="6"/>
    </row>
    <row r="75" spans="1:13" ht="17.100000000000001" customHeight="1" x14ac:dyDescent="0.25">
      <c r="A75" s="227" t="s">
        <v>58</v>
      </c>
      <c r="B75" s="25" t="s">
        <v>59</v>
      </c>
      <c r="C75" s="25" t="s">
        <v>60</v>
      </c>
      <c r="D75" s="25" t="s">
        <v>61</v>
      </c>
      <c r="E75" s="25" t="s">
        <v>60</v>
      </c>
      <c r="F75" s="25" t="s">
        <v>62</v>
      </c>
      <c r="G75" s="25" t="s">
        <v>63</v>
      </c>
      <c r="H75" s="25" t="s">
        <v>64</v>
      </c>
      <c r="I75" s="25" t="s">
        <v>13</v>
      </c>
      <c r="J75" s="8"/>
      <c r="K75" s="6"/>
      <c r="L75" s="6"/>
      <c r="M75" s="6"/>
    </row>
    <row r="76" spans="1:13" ht="17.100000000000001" customHeight="1" x14ac:dyDescent="0.25">
      <c r="A76" s="228"/>
      <c r="B76" s="12"/>
      <c r="C76" s="10" t="s">
        <v>274</v>
      </c>
      <c r="D76" s="12"/>
      <c r="E76" s="10" t="s">
        <v>275</v>
      </c>
      <c r="F76" s="10" t="s">
        <v>276</v>
      </c>
      <c r="G76" s="12"/>
      <c r="H76" s="49">
        <v>598</v>
      </c>
      <c r="I76" s="11">
        <v>59756.800000000003</v>
      </c>
      <c r="J76" s="8"/>
      <c r="K76" s="6"/>
      <c r="L76" s="6"/>
      <c r="M76" s="6"/>
    </row>
    <row r="77" spans="1:13" ht="17.100000000000001" customHeight="1" x14ac:dyDescent="0.25">
      <c r="A77" s="228"/>
      <c r="B77" s="12"/>
      <c r="C77" s="10" t="s">
        <v>274</v>
      </c>
      <c r="D77" s="12"/>
      <c r="E77" s="10" t="s">
        <v>277</v>
      </c>
      <c r="F77" s="10" t="s">
        <v>276</v>
      </c>
      <c r="G77" s="12"/>
      <c r="H77" s="49">
        <v>34</v>
      </c>
      <c r="I77" s="11">
        <v>6554.2</v>
      </c>
      <c r="J77" s="8"/>
      <c r="K77" s="6"/>
      <c r="L77" s="6"/>
      <c r="M77" s="6"/>
    </row>
    <row r="78" spans="1:13" ht="17.100000000000001" customHeight="1" x14ac:dyDescent="0.25">
      <c r="A78" s="228"/>
      <c r="B78" s="12"/>
      <c r="C78" s="10" t="s">
        <v>274</v>
      </c>
      <c r="D78" s="12"/>
      <c r="E78" s="10" t="s">
        <v>278</v>
      </c>
      <c r="F78" s="10" t="s">
        <v>276</v>
      </c>
      <c r="G78" s="12"/>
      <c r="H78" s="49">
        <v>17</v>
      </c>
      <c r="I78" s="11">
        <v>1680.8</v>
      </c>
      <c r="J78" s="8"/>
      <c r="K78" s="6"/>
      <c r="L78" s="6"/>
      <c r="M78" s="6"/>
    </row>
    <row r="79" spans="1:13" ht="17.100000000000001" customHeight="1" x14ac:dyDescent="0.25">
      <c r="A79" s="228"/>
      <c r="B79" s="12"/>
      <c r="C79" s="10" t="s">
        <v>274</v>
      </c>
      <c r="D79" s="12"/>
      <c r="E79" s="10" t="s">
        <v>279</v>
      </c>
      <c r="F79" s="10" t="s">
        <v>276</v>
      </c>
      <c r="G79" s="12"/>
      <c r="H79" s="49">
        <v>6</v>
      </c>
      <c r="I79" s="11">
        <v>580.20000000000005</v>
      </c>
      <c r="J79" s="8"/>
      <c r="K79" s="6"/>
      <c r="L79" s="6"/>
      <c r="M79" s="6"/>
    </row>
    <row r="80" spans="1:13" ht="17.100000000000001" customHeight="1" x14ac:dyDescent="0.25">
      <c r="A80" s="228"/>
      <c r="B80" s="12"/>
      <c r="C80" s="10" t="s">
        <v>274</v>
      </c>
      <c r="D80" s="12"/>
      <c r="E80" s="10" t="s">
        <v>280</v>
      </c>
      <c r="F80" s="10" t="s">
        <v>276</v>
      </c>
      <c r="G80" s="12"/>
      <c r="H80" s="49">
        <v>4</v>
      </c>
      <c r="I80" s="11">
        <v>1077.3</v>
      </c>
      <c r="J80" s="8"/>
      <c r="K80" s="6"/>
      <c r="L80" s="6"/>
      <c r="M80" s="6"/>
    </row>
    <row r="81" spans="1:13" ht="17.100000000000001" customHeight="1" x14ac:dyDescent="0.25">
      <c r="A81" s="228"/>
      <c r="B81" s="12"/>
      <c r="C81" s="10" t="s">
        <v>274</v>
      </c>
      <c r="D81" s="12"/>
      <c r="E81" s="10" t="s">
        <v>281</v>
      </c>
      <c r="F81" s="10" t="s">
        <v>276</v>
      </c>
      <c r="G81" s="12"/>
      <c r="H81" s="49">
        <v>3</v>
      </c>
      <c r="I81" s="11">
        <v>1067.7</v>
      </c>
      <c r="J81" s="8"/>
      <c r="K81" s="6"/>
      <c r="L81" s="6"/>
      <c r="M81" s="6"/>
    </row>
    <row r="82" spans="1:13" ht="17.100000000000001" customHeight="1" x14ac:dyDescent="0.25">
      <c r="A82" s="228"/>
      <c r="B82" s="12"/>
      <c r="C82" s="10" t="s">
        <v>275</v>
      </c>
      <c r="D82" s="12"/>
      <c r="E82" s="10" t="s">
        <v>277</v>
      </c>
      <c r="F82" s="10" t="s">
        <v>276</v>
      </c>
      <c r="G82" s="12"/>
      <c r="H82" s="49">
        <v>4</v>
      </c>
      <c r="I82" s="11">
        <v>759.3</v>
      </c>
      <c r="J82" s="8"/>
      <c r="K82" s="6"/>
      <c r="L82" s="6"/>
      <c r="M82" s="6"/>
    </row>
    <row r="83" spans="1:13" ht="17.100000000000001" customHeight="1" x14ac:dyDescent="0.25">
      <c r="A83" s="228"/>
      <c r="B83" s="12"/>
      <c r="C83" s="10" t="s">
        <v>274</v>
      </c>
      <c r="D83" s="12"/>
      <c r="E83" s="10" t="s">
        <v>282</v>
      </c>
      <c r="F83" s="10" t="s">
        <v>276</v>
      </c>
      <c r="G83" s="12"/>
      <c r="H83" s="49">
        <v>2</v>
      </c>
      <c r="I83" s="11">
        <v>311.5</v>
      </c>
      <c r="J83" s="8"/>
      <c r="K83" s="6"/>
      <c r="L83" s="6"/>
      <c r="M83" s="6"/>
    </row>
    <row r="84" spans="1:13" ht="17.100000000000001" customHeight="1" x14ac:dyDescent="0.25">
      <c r="A84" s="228"/>
      <c r="B84" s="12"/>
      <c r="C84" s="10" t="s">
        <v>283</v>
      </c>
      <c r="D84" s="12"/>
      <c r="E84" s="10" t="s">
        <v>274</v>
      </c>
      <c r="F84" s="10" t="s">
        <v>276</v>
      </c>
      <c r="G84" s="12"/>
      <c r="H84" s="49">
        <v>2</v>
      </c>
      <c r="I84" s="11">
        <v>177.4</v>
      </c>
      <c r="J84" s="8"/>
      <c r="K84" s="6"/>
      <c r="L84" s="6"/>
      <c r="M84" s="6"/>
    </row>
    <row r="85" spans="1:13" ht="17.100000000000001" customHeight="1" x14ac:dyDescent="0.25">
      <c r="A85" s="228"/>
      <c r="B85" s="12"/>
      <c r="C85" s="10" t="s">
        <v>274</v>
      </c>
      <c r="D85" s="12"/>
      <c r="E85" s="10" t="s">
        <v>284</v>
      </c>
      <c r="F85" s="10" t="s">
        <v>276</v>
      </c>
      <c r="G85" s="12"/>
      <c r="H85" s="49">
        <v>2</v>
      </c>
      <c r="I85" s="11">
        <v>171.4</v>
      </c>
      <c r="J85" s="8"/>
      <c r="K85" s="6"/>
      <c r="L85" s="6"/>
      <c r="M85" s="6"/>
    </row>
    <row r="86" spans="1:13" ht="17.100000000000001" customHeight="1" x14ac:dyDescent="0.25">
      <c r="A86" s="228"/>
      <c r="B86" s="12"/>
      <c r="C86" s="10" t="s">
        <v>275</v>
      </c>
      <c r="D86" s="12"/>
      <c r="E86" s="10" t="s">
        <v>285</v>
      </c>
      <c r="F86" s="10" t="s">
        <v>276</v>
      </c>
      <c r="G86" s="12"/>
      <c r="H86" s="49">
        <v>2</v>
      </c>
      <c r="I86" s="11">
        <v>45.6</v>
      </c>
      <c r="J86" s="8"/>
      <c r="K86" s="6"/>
      <c r="L86" s="6"/>
      <c r="M86" s="6"/>
    </row>
    <row r="87" spans="1:13" ht="17.100000000000001" customHeight="1" x14ac:dyDescent="0.25">
      <c r="A87" s="228"/>
      <c r="B87" s="12"/>
      <c r="C87" s="10" t="s">
        <v>275</v>
      </c>
      <c r="D87" s="12"/>
      <c r="E87" s="10" t="s">
        <v>278</v>
      </c>
      <c r="F87" s="10" t="s">
        <v>276</v>
      </c>
      <c r="G87" s="12"/>
      <c r="H87" s="49">
        <v>2</v>
      </c>
      <c r="I87" s="11">
        <v>145.30000000000001</v>
      </c>
      <c r="J87" s="8"/>
      <c r="K87" s="6"/>
      <c r="L87" s="6"/>
      <c r="M87" s="6"/>
    </row>
    <row r="88" spans="1:13" ht="17.100000000000001" customHeight="1" x14ac:dyDescent="0.25">
      <c r="A88" s="228"/>
      <c r="B88" s="12"/>
      <c r="C88" s="10" t="s">
        <v>274</v>
      </c>
      <c r="D88" s="12"/>
      <c r="E88" s="10" t="s">
        <v>285</v>
      </c>
      <c r="F88" s="10" t="s">
        <v>276</v>
      </c>
      <c r="G88" s="12"/>
      <c r="H88" s="49">
        <v>1</v>
      </c>
      <c r="I88" s="11">
        <v>122.7</v>
      </c>
      <c r="J88" s="8"/>
      <c r="K88" s="6"/>
      <c r="L88" s="6"/>
      <c r="M88" s="6"/>
    </row>
    <row r="89" spans="1:13" ht="17.100000000000001" customHeight="1" x14ac:dyDescent="0.25">
      <c r="A89" s="228"/>
      <c r="B89" s="12"/>
      <c r="C89" s="10" t="s">
        <v>275</v>
      </c>
      <c r="D89" s="12"/>
      <c r="E89" s="10" t="s">
        <v>281</v>
      </c>
      <c r="F89" s="10" t="s">
        <v>276</v>
      </c>
      <c r="G89" s="12"/>
      <c r="H89" s="49">
        <v>1</v>
      </c>
      <c r="I89" s="11">
        <v>167</v>
      </c>
      <c r="J89" s="8"/>
      <c r="K89" s="6"/>
      <c r="L89" s="6"/>
      <c r="M89" s="6"/>
    </row>
    <row r="90" spans="1:13" ht="17.100000000000001" customHeight="1" x14ac:dyDescent="0.25">
      <c r="A90" s="228"/>
      <c r="B90" s="12"/>
      <c r="C90" s="10" t="s">
        <v>275</v>
      </c>
      <c r="D90" s="12"/>
      <c r="E90" s="10" t="s">
        <v>286</v>
      </c>
      <c r="F90" s="10" t="s">
        <v>276</v>
      </c>
      <c r="G90" s="12"/>
      <c r="H90" s="49">
        <v>1</v>
      </c>
      <c r="I90" s="11">
        <v>121.2</v>
      </c>
      <c r="J90" s="8"/>
      <c r="K90" s="6"/>
      <c r="L90" s="6"/>
      <c r="M90" s="6"/>
    </row>
    <row r="91" spans="1:13" ht="17.100000000000001" customHeight="1" x14ac:dyDescent="0.25">
      <c r="A91" s="228"/>
      <c r="B91" s="12"/>
      <c r="C91" s="10" t="s">
        <v>275</v>
      </c>
      <c r="D91" s="12"/>
      <c r="E91" s="10" t="s">
        <v>284</v>
      </c>
      <c r="F91" s="10" t="s">
        <v>276</v>
      </c>
      <c r="G91" s="12"/>
      <c r="H91" s="49">
        <v>1</v>
      </c>
      <c r="I91" s="11">
        <v>157.4</v>
      </c>
      <c r="J91" s="8"/>
      <c r="K91" s="6"/>
      <c r="L91" s="6"/>
      <c r="M91" s="6"/>
    </row>
    <row r="92" spans="1:13" ht="17.100000000000001" customHeight="1" x14ac:dyDescent="0.25">
      <c r="A92" s="228"/>
      <c r="B92" s="12"/>
      <c r="C92" s="10" t="s">
        <v>274</v>
      </c>
      <c r="D92" s="12"/>
      <c r="E92" s="21" t="s">
        <v>287</v>
      </c>
      <c r="F92" s="10" t="s">
        <v>276</v>
      </c>
      <c r="G92" s="12"/>
      <c r="H92" s="49">
        <v>8</v>
      </c>
      <c r="I92" s="11">
        <v>6829.9</v>
      </c>
      <c r="J92" s="8"/>
      <c r="K92" s="6"/>
      <c r="L92" s="6"/>
      <c r="M92" s="6"/>
    </row>
    <row r="93" spans="1:13" ht="17.100000000000001" customHeight="1" x14ac:dyDescent="0.25">
      <c r="A93" s="228"/>
      <c r="B93" s="12"/>
      <c r="C93" s="10" t="s">
        <v>275</v>
      </c>
      <c r="D93" s="12"/>
      <c r="E93" s="10" t="s">
        <v>287</v>
      </c>
      <c r="F93" s="10" t="s">
        <v>276</v>
      </c>
      <c r="G93" s="12"/>
      <c r="H93" s="49">
        <v>4</v>
      </c>
      <c r="I93" s="11">
        <v>3015.2</v>
      </c>
      <c r="J93" s="8"/>
      <c r="K93" s="6"/>
      <c r="L93" s="6"/>
      <c r="M93" s="6"/>
    </row>
    <row r="94" spans="1:13" ht="17.100000000000001" customHeight="1" x14ac:dyDescent="0.25">
      <c r="A94" s="228"/>
      <c r="B94" s="12"/>
      <c r="C94" s="10" t="s">
        <v>274</v>
      </c>
      <c r="D94" s="12"/>
      <c r="E94" s="21" t="s">
        <v>288</v>
      </c>
      <c r="F94" s="10" t="s">
        <v>276</v>
      </c>
      <c r="G94" s="12"/>
      <c r="H94" s="49">
        <v>10</v>
      </c>
      <c r="I94" s="11">
        <v>5653.3</v>
      </c>
      <c r="J94" s="8"/>
      <c r="K94" s="6"/>
      <c r="L94" s="6"/>
      <c r="M94" s="6"/>
    </row>
    <row r="95" spans="1:13" ht="17.100000000000001" customHeight="1" x14ac:dyDescent="0.25">
      <c r="A95" s="228"/>
      <c r="B95" s="12"/>
      <c r="C95" s="10" t="s">
        <v>274</v>
      </c>
      <c r="D95" s="12"/>
      <c r="E95" s="10" t="s">
        <v>289</v>
      </c>
      <c r="F95" s="10" t="s">
        <v>276</v>
      </c>
      <c r="G95" s="12"/>
      <c r="H95" s="49">
        <v>2</v>
      </c>
      <c r="I95" s="11">
        <v>1431.4</v>
      </c>
      <c r="J95" s="8"/>
      <c r="K95" s="6"/>
      <c r="L95" s="6"/>
      <c r="M95" s="6"/>
    </row>
    <row r="96" spans="1:13" ht="17.100000000000001" customHeight="1" x14ac:dyDescent="0.25">
      <c r="A96" s="228"/>
      <c r="B96" s="12"/>
      <c r="C96" s="10" t="s">
        <v>274</v>
      </c>
      <c r="D96" s="12"/>
      <c r="E96" s="10" t="s">
        <v>290</v>
      </c>
      <c r="F96" s="10" t="s">
        <v>276</v>
      </c>
      <c r="G96" s="12"/>
      <c r="H96" s="49">
        <v>2</v>
      </c>
      <c r="I96" s="11">
        <v>1256.5999999999999</v>
      </c>
      <c r="J96" s="8"/>
      <c r="K96" s="6"/>
      <c r="L96" s="6"/>
      <c r="M96" s="6"/>
    </row>
    <row r="97" spans="1:13" ht="17.100000000000001" customHeight="1" x14ac:dyDescent="0.25">
      <c r="A97" s="228"/>
      <c r="B97" s="12"/>
      <c r="C97" s="10" t="s">
        <v>274</v>
      </c>
      <c r="D97" s="12"/>
      <c r="E97" s="10" t="s">
        <v>291</v>
      </c>
      <c r="F97" s="10" t="s">
        <v>276</v>
      </c>
      <c r="G97" s="12"/>
      <c r="H97" s="49">
        <v>2</v>
      </c>
      <c r="I97" s="11">
        <v>1303.9000000000001</v>
      </c>
      <c r="J97" s="8"/>
      <c r="K97" s="6"/>
      <c r="L97" s="6"/>
      <c r="M97" s="6"/>
    </row>
    <row r="98" spans="1:13" ht="17.100000000000001" customHeight="1" x14ac:dyDescent="0.25">
      <c r="A98" s="228"/>
      <c r="B98" s="12"/>
      <c r="C98" s="10" t="s">
        <v>275</v>
      </c>
      <c r="D98" s="12"/>
      <c r="E98" s="21" t="s">
        <v>291</v>
      </c>
      <c r="F98" s="10" t="s">
        <v>276</v>
      </c>
      <c r="G98" s="12"/>
      <c r="H98" s="49">
        <v>2</v>
      </c>
      <c r="I98" s="11">
        <v>1104</v>
      </c>
      <c r="J98" s="8"/>
      <c r="K98" s="6"/>
      <c r="L98" s="6"/>
      <c r="M98" s="6"/>
    </row>
    <row r="99" spans="1:13" ht="17.100000000000001" customHeight="1" x14ac:dyDescent="0.25">
      <c r="A99" s="228"/>
      <c r="B99" s="12"/>
      <c r="C99" s="10" t="s">
        <v>274</v>
      </c>
      <c r="D99" s="12"/>
      <c r="E99" s="21" t="s">
        <v>292</v>
      </c>
      <c r="F99" s="10" t="s">
        <v>276</v>
      </c>
      <c r="G99" s="12"/>
      <c r="H99" s="49">
        <v>2</v>
      </c>
      <c r="I99" s="11">
        <v>821.3</v>
      </c>
      <c r="J99" s="8"/>
      <c r="K99" s="6"/>
      <c r="L99" s="6"/>
      <c r="M99" s="6"/>
    </row>
    <row r="100" spans="1:13" ht="17.100000000000001" customHeight="1" x14ac:dyDescent="0.25">
      <c r="A100" s="228"/>
      <c r="B100" s="12"/>
      <c r="C100" s="10" t="s">
        <v>274</v>
      </c>
      <c r="D100" s="12"/>
      <c r="E100" s="21" t="s">
        <v>293</v>
      </c>
      <c r="F100" s="10" t="s">
        <v>276</v>
      </c>
      <c r="G100" s="12"/>
      <c r="H100" s="49">
        <v>2</v>
      </c>
      <c r="I100" s="11">
        <v>1353.5</v>
      </c>
      <c r="J100" s="8"/>
      <c r="K100" s="6"/>
      <c r="L100" s="6"/>
      <c r="M100" s="6"/>
    </row>
    <row r="101" spans="1:13" ht="17.100000000000001" customHeight="1" x14ac:dyDescent="0.25">
      <c r="A101" s="228"/>
      <c r="B101" s="12"/>
      <c r="C101" s="10" t="s">
        <v>274</v>
      </c>
      <c r="D101" s="12"/>
      <c r="E101" s="21" t="s">
        <v>294</v>
      </c>
      <c r="F101" s="10" t="s">
        <v>276</v>
      </c>
      <c r="G101" s="12"/>
      <c r="H101" s="49">
        <v>2</v>
      </c>
      <c r="I101" s="11">
        <v>525.79999999999995</v>
      </c>
      <c r="J101" s="8"/>
      <c r="K101" s="6"/>
      <c r="L101" s="6"/>
      <c r="M101" s="6"/>
    </row>
    <row r="102" spans="1:13" ht="17.100000000000001" customHeight="1" x14ac:dyDescent="0.25">
      <c r="A102" s="228"/>
      <c r="B102" s="12"/>
      <c r="C102" s="10" t="s">
        <v>274</v>
      </c>
      <c r="D102" s="12"/>
      <c r="E102" s="21" t="s">
        <v>295</v>
      </c>
      <c r="F102" s="10" t="s">
        <v>276</v>
      </c>
      <c r="G102" s="12"/>
      <c r="H102" s="49">
        <v>2</v>
      </c>
      <c r="I102" s="11">
        <v>590.1</v>
      </c>
      <c r="J102" s="8"/>
      <c r="K102" s="6"/>
      <c r="L102" s="6"/>
      <c r="M102" s="6"/>
    </row>
    <row r="103" spans="1:13" ht="17.100000000000001" customHeight="1" x14ac:dyDescent="0.25">
      <c r="A103" s="228"/>
      <c r="B103" s="12"/>
      <c r="C103" s="21" t="s">
        <v>274</v>
      </c>
      <c r="D103" s="12"/>
      <c r="E103" s="10" t="s">
        <v>296</v>
      </c>
      <c r="F103" s="10" t="s">
        <v>276</v>
      </c>
      <c r="G103" s="12"/>
      <c r="H103" s="49">
        <v>2</v>
      </c>
      <c r="I103" s="11">
        <v>893.1</v>
      </c>
      <c r="J103" s="8"/>
      <c r="K103" s="6"/>
      <c r="L103" s="6"/>
      <c r="M103" s="6"/>
    </row>
    <row r="104" spans="1:13" ht="17.100000000000001" customHeight="1" x14ac:dyDescent="0.25">
      <c r="A104" s="229"/>
      <c r="B104" s="222" t="s">
        <v>56</v>
      </c>
      <c r="C104" s="223"/>
      <c r="D104" s="223"/>
      <c r="E104" s="223"/>
      <c r="F104" s="223"/>
      <c r="G104" s="221"/>
      <c r="H104" s="220">
        <f>SUM(I76:I103)</f>
        <v>97673.9</v>
      </c>
      <c r="I104" s="221"/>
      <c r="J104" s="8"/>
      <c r="K104" s="6"/>
      <c r="L104" s="6"/>
      <c r="M104" s="6"/>
    </row>
    <row r="105" spans="1:13" ht="17.100000000000001" customHeight="1" x14ac:dyDescent="0.25">
      <c r="A105" s="235" t="s">
        <v>95</v>
      </c>
      <c r="B105" s="25" t="s">
        <v>96</v>
      </c>
      <c r="C105" s="25" t="s">
        <v>97</v>
      </c>
      <c r="D105" s="25" t="s">
        <v>9</v>
      </c>
      <c r="E105" s="25" t="s">
        <v>98</v>
      </c>
      <c r="F105" s="241" t="s">
        <v>99</v>
      </c>
      <c r="G105" s="242"/>
      <c r="H105" s="289" t="s">
        <v>100</v>
      </c>
      <c r="I105" s="290"/>
      <c r="J105" s="8"/>
      <c r="K105" s="6"/>
      <c r="L105" s="6"/>
      <c r="M105" s="6"/>
    </row>
    <row r="106" spans="1:13" ht="17.100000000000001" customHeight="1" x14ac:dyDescent="0.25">
      <c r="A106" s="236"/>
      <c r="B106" s="10" t="s">
        <v>297</v>
      </c>
      <c r="C106" s="10" t="s">
        <v>298</v>
      </c>
      <c r="D106" s="11">
        <v>400</v>
      </c>
      <c r="E106" s="10" t="s">
        <v>103</v>
      </c>
      <c r="F106" s="232">
        <f>D106*3.46</f>
        <v>1384</v>
      </c>
      <c r="G106" s="231"/>
      <c r="H106" s="220">
        <v>3642.96</v>
      </c>
      <c r="I106" s="221"/>
      <c r="J106" s="8"/>
      <c r="K106" s="6"/>
      <c r="L106" s="6"/>
      <c r="M106" s="6"/>
    </row>
    <row r="107" spans="1:13" ht="17.100000000000001" customHeight="1" x14ac:dyDescent="0.25">
      <c r="A107" s="236"/>
      <c r="B107" s="10" t="s">
        <v>299</v>
      </c>
      <c r="C107" s="10" t="s">
        <v>102</v>
      </c>
      <c r="D107" s="11">
        <v>500</v>
      </c>
      <c r="E107" s="10" t="s">
        <v>103</v>
      </c>
      <c r="F107" s="232">
        <f>D107*2.3</f>
        <v>1150</v>
      </c>
      <c r="G107" s="231"/>
      <c r="H107" s="220">
        <v>3027.03</v>
      </c>
      <c r="I107" s="221"/>
      <c r="J107" s="8"/>
      <c r="K107" s="6"/>
      <c r="L107" s="6"/>
      <c r="M107" s="6"/>
    </row>
    <row r="108" spans="1:13" ht="17.100000000000001" customHeight="1" x14ac:dyDescent="0.25">
      <c r="A108" s="235" t="s">
        <v>105</v>
      </c>
      <c r="B108" s="50" t="s">
        <v>106</v>
      </c>
      <c r="C108" s="50" t="s">
        <v>9</v>
      </c>
      <c r="D108" s="50" t="s">
        <v>107</v>
      </c>
      <c r="E108" s="50" t="s">
        <v>108</v>
      </c>
      <c r="F108" s="51" t="s">
        <v>109</v>
      </c>
      <c r="G108" s="50" t="s">
        <v>9</v>
      </c>
      <c r="H108" s="50" t="s">
        <v>107</v>
      </c>
      <c r="I108" s="50" t="s">
        <v>110</v>
      </c>
      <c r="J108" s="8"/>
      <c r="K108" s="6"/>
      <c r="L108" s="6"/>
      <c r="M108" s="6"/>
    </row>
    <row r="109" spans="1:13" ht="17.100000000000001" customHeight="1" x14ac:dyDescent="0.25">
      <c r="A109" s="236"/>
      <c r="B109" s="10" t="s">
        <v>300</v>
      </c>
      <c r="C109" s="11">
        <v>367.4</v>
      </c>
      <c r="D109" s="11">
        <f>C109/1000</f>
        <v>0.3674</v>
      </c>
      <c r="E109" s="12"/>
      <c r="F109" s="42" t="s">
        <v>301</v>
      </c>
      <c r="G109" s="24">
        <v>4012</v>
      </c>
      <c r="H109" s="24">
        <f t="shared" ref="H109:H120" si="2">G109/1000</f>
        <v>4.0119999999999996</v>
      </c>
      <c r="I109" s="278">
        <f>0.44*1000</f>
        <v>440</v>
      </c>
      <c r="J109" s="8"/>
      <c r="K109" s="6"/>
      <c r="L109" s="6"/>
      <c r="M109" s="6"/>
    </row>
    <row r="110" spans="1:13" ht="17.100000000000001" customHeight="1" x14ac:dyDescent="0.25">
      <c r="A110" s="236"/>
      <c r="B110" s="10" t="s">
        <v>300</v>
      </c>
      <c r="C110" s="11">
        <v>320.39999999999998</v>
      </c>
      <c r="D110" s="11">
        <f>C110/1000</f>
        <v>0.32039999999999996</v>
      </c>
      <c r="E110" s="12"/>
      <c r="F110" s="42" t="s">
        <v>302</v>
      </c>
      <c r="G110" s="24">
        <v>132.6</v>
      </c>
      <c r="H110" s="24">
        <f t="shared" si="2"/>
        <v>0.1326</v>
      </c>
      <c r="I110" s="279"/>
      <c r="J110" s="8"/>
      <c r="K110" s="6"/>
      <c r="L110" s="6"/>
      <c r="M110" s="6"/>
    </row>
    <row r="111" spans="1:13" ht="17.100000000000001" customHeight="1" x14ac:dyDescent="0.25">
      <c r="A111" s="236"/>
      <c r="B111" s="10" t="s">
        <v>303</v>
      </c>
      <c r="C111" s="11">
        <v>56</v>
      </c>
      <c r="D111" s="11">
        <f>C111/1000</f>
        <v>5.6000000000000001E-2</v>
      </c>
      <c r="E111" s="12"/>
      <c r="F111" s="42" t="s">
        <v>304</v>
      </c>
      <c r="G111" s="24">
        <v>69.7</v>
      </c>
      <c r="H111" s="24">
        <f t="shared" si="2"/>
        <v>6.9699999999999998E-2</v>
      </c>
      <c r="I111" s="279"/>
      <c r="J111" s="8"/>
      <c r="K111" s="6"/>
      <c r="L111" s="6"/>
      <c r="M111" s="6"/>
    </row>
    <row r="112" spans="1:13" ht="17.100000000000001" customHeight="1" x14ac:dyDescent="0.25">
      <c r="A112" s="236"/>
      <c r="B112" s="10" t="s">
        <v>305</v>
      </c>
      <c r="C112" s="11">
        <v>1500</v>
      </c>
      <c r="D112" s="11">
        <f>C112/1000</f>
        <v>1.5</v>
      </c>
      <c r="E112" s="11">
        <f>-1.16*1000</f>
        <v>-1160</v>
      </c>
      <c r="F112" s="42" t="s">
        <v>306</v>
      </c>
      <c r="G112" s="24">
        <v>12</v>
      </c>
      <c r="H112" s="24">
        <f t="shared" si="2"/>
        <v>1.2E-2</v>
      </c>
      <c r="I112" s="279"/>
      <c r="J112" s="8"/>
      <c r="K112" s="6"/>
      <c r="L112" s="6"/>
      <c r="M112" s="6"/>
    </row>
    <row r="113" spans="1:13" ht="17.100000000000001" customHeight="1" x14ac:dyDescent="0.25">
      <c r="A113" s="236"/>
      <c r="B113" s="12"/>
      <c r="C113" s="12"/>
      <c r="D113" s="12"/>
      <c r="E113" s="12"/>
      <c r="F113" s="42" t="s">
        <v>307</v>
      </c>
      <c r="G113" s="24">
        <v>131.6</v>
      </c>
      <c r="H113" s="24">
        <f t="shared" si="2"/>
        <v>0.13159999999999999</v>
      </c>
      <c r="I113" s="279"/>
      <c r="J113" s="8"/>
      <c r="K113" s="6"/>
      <c r="L113" s="6"/>
      <c r="M113" s="6"/>
    </row>
    <row r="114" spans="1:13" ht="17.100000000000001" customHeight="1" x14ac:dyDescent="0.25">
      <c r="A114" s="236"/>
      <c r="B114" s="12"/>
      <c r="C114" s="12"/>
      <c r="D114" s="12"/>
      <c r="E114" s="12"/>
      <c r="F114" s="10" t="s">
        <v>308</v>
      </c>
      <c r="G114" s="11">
        <v>3</v>
      </c>
      <c r="H114" s="24">
        <f t="shared" si="2"/>
        <v>3.0000000000000001E-3</v>
      </c>
      <c r="I114" s="279"/>
      <c r="J114" s="8"/>
      <c r="K114" s="6"/>
      <c r="L114" s="6"/>
      <c r="M114" s="6"/>
    </row>
    <row r="115" spans="1:13" ht="17.100000000000001" customHeight="1" x14ac:dyDescent="0.25">
      <c r="A115" s="17"/>
      <c r="B115" s="17"/>
      <c r="C115" s="17"/>
      <c r="D115" s="17"/>
      <c r="E115" s="33"/>
      <c r="F115" s="10" t="s">
        <v>309</v>
      </c>
      <c r="G115" s="11">
        <v>8</v>
      </c>
      <c r="H115" s="24">
        <f t="shared" si="2"/>
        <v>8.0000000000000002E-3</v>
      </c>
      <c r="I115" s="279"/>
      <c r="J115" s="8"/>
      <c r="K115" s="6"/>
      <c r="L115" s="6"/>
      <c r="M115" s="6"/>
    </row>
    <row r="116" spans="1:13" ht="17.100000000000001" customHeight="1" x14ac:dyDescent="0.25">
      <c r="A116" s="6"/>
      <c r="B116" s="6"/>
      <c r="C116" s="6"/>
      <c r="D116" s="6"/>
      <c r="E116" s="14"/>
      <c r="F116" s="10" t="s">
        <v>310</v>
      </c>
      <c r="G116" s="11">
        <v>271</v>
      </c>
      <c r="H116" s="24">
        <f t="shared" si="2"/>
        <v>0.27100000000000002</v>
      </c>
      <c r="I116" s="279"/>
      <c r="J116" s="8"/>
      <c r="K116" s="6"/>
      <c r="L116" s="6"/>
      <c r="M116" s="6"/>
    </row>
    <row r="117" spans="1:13" ht="17.100000000000001" customHeight="1" x14ac:dyDescent="0.25">
      <c r="A117" s="6"/>
      <c r="B117" s="6"/>
      <c r="C117" s="6"/>
      <c r="D117" s="6"/>
      <c r="E117" s="14"/>
      <c r="F117" s="10" t="s">
        <v>311</v>
      </c>
      <c r="G117" s="11">
        <v>8.3000000000000007</v>
      </c>
      <c r="H117" s="24">
        <f t="shared" si="2"/>
        <v>8.3000000000000001E-3</v>
      </c>
      <c r="I117" s="279"/>
      <c r="J117" s="8"/>
      <c r="K117" s="6"/>
      <c r="L117" s="6"/>
      <c r="M117" s="6"/>
    </row>
    <row r="118" spans="1:13" ht="17.100000000000001" customHeight="1" x14ac:dyDescent="0.25">
      <c r="A118" s="6"/>
      <c r="B118" s="6"/>
      <c r="C118" s="6"/>
      <c r="D118" s="6"/>
      <c r="E118" s="14"/>
      <c r="F118" s="10" t="s">
        <v>312</v>
      </c>
      <c r="G118" s="11">
        <v>17.5</v>
      </c>
      <c r="H118" s="24">
        <f t="shared" si="2"/>
        <v>1.7500000000000002E-2</v>
      </c>
      <c r="I118" s="279"/>
      <c r="J118" s="8"/>
      <c r="K118" s="6"/>
      <c r="L118" s="6"/>
      <c r="M118" s="6"/>
    </row>
    <row r="119" spans="1:13" ht="17.100000000000001" customHeight="1" x14ac:dyDescent="0.25">
      <c r="A119" s="6"/>
      <c r="B119" s="6"/>
      <c r="C119" s="6"/>
      <c r="D119" s="6"/>
      <c r="E119" s="14"/>
      <c r="F119" s="10" t="s">
        <v>313</v>
      </c>
      <c r="G119" s="11">
        <v>12</v>
      </c>
      <c r="H119" s="24">
        <f t="shared" si="2"/>
        <v>1.2E-2</v>
      </c>
      <c r="I119" s="279"/>
      <c r="J119" s="8"/>
      <c r="K119" s="6"/>
      <c r="L119" s="6"/>
      <c r="M119" s="6"/>
    </row>
    <row r="120" spans="1:13" ht="17.100000000000001" customHeight="1" x14ac:dyDescent="0.25">
      <c r="A120" s="6"/>
      <c r="B120" s="6"/>
      <c r="C120" s="6"/>
      <c r="D120" s="6"/>
      <c r="E120" s="14"/>
      <c r="F120" s="10" t="s">
        <v>314</v>
      </c>
      <c r="G120" s="11">
        <v>3.5</v>
      </c>
      <c r="H120" s="24">
        <f t="shared" si="2"/>
        <v>3.5000000000000001E-3</v>
      </c>
      <c r="I120" s="279"/>
      <c r="J120" s="8"/>
      <c r="K120" s="6"/>
      <c r="L120" s="6"/>
      <c r="M120" s="6"/>
    </row>
    <row r="121" spans="1:13" ht="17.100000000000001" customHeight="1" x14ac:dyDescent="0.25">
      <c r="A121" s="6"/>
      <c r="B121" s="6"/>
      <c r="C121" s="6"/>
      <c r="D121" s="6"/>
      <c r="E121" s="14"/>
      <c r="F121" s="10" t="s">
        <v>315</v>
      </c>
      <c r="G121" s="11">
        <f>SUM(G109:G120)</f>
        <v>4681.2000000000007</v>
      </c>
      <c r="H121" s="11">
        <f>SUM(H109:H120)</f>
        <v>4.6811999999999987</v>
      </c>
      <c r="I121" s="280"/>
      <c r="J121" s="8"/>
      <c r="K121" s="6"/>
      <c r="L121" s="6"/>
      <c r="M121" s="6"/>
    </row>
    <row r="122" spans="1:13" ht="17.100000000000001" customHeight="1" x14ac:dyDescent="0.25">
      <c r="A122" s="6"/>
      <c r="B122" s="6"/>
      <c r="C122" s="6"/>
      <c r="D122" s="6"/>
      <c r="E122" s="14"/>
      <c r="F122" s="42" t="s">
        <v>316</v>
      </c>
      <c r="G122" s="24">
        <v>139.5</v>
      </c>
      <c r="H122" s="24">
        <f>G122/1000</f>
        <v>0.13950000000000001</v>
      </c>
      <c r="I122" s="24">
        <f>-0.01*1000</f>
        <v>-10</v>
      </c>
      <c r="J122" s="8"/>
      <c r="K122" s="6"/>
      <c r="L122" s="6"/>
      <c r="M122" s="6"/>
    </row>
    <row r="123" spans="1:13" ht="17.100000000000001" customHeight="1" x14ac:dyDescent="0.25">
      <c r="A123" s="6"/>
      <c r="B123" s="6"/>
      <c r="C123" s="6"/>
      <c r="D123" s="6"/>
      <c r="E123" s="14"/>
      <c r="F123" s="10" t="s">
        <v>317</v>
      </c>
      <c r="G123" s="11">
        <v>10</v>
      </c>
      <c r="H123" s="24">
        <f>G123/1000</f>
        <v>0.01</v>
      </c>
      <c r="I123" s="24">
        <v>0</v>
      </c>
      <c r="J123" s="8"/>
      <c r="K123" s="6"/>
      <c r="L123" s="6"/>
      <c r="M123" s="6"/>
    </row>
  </sheetData>
  <mergeCells count="25">
    <mergeCell ref="A74:I74"/>
    <mergeCell ref="A75:A104"/>
    <mergeCell ref="A105:A107"/>
    <mergeCell ref="F105:G105"/>
    <mergeCell ref="F106:G106"/>
    <mergeCell ref="H106:I106"/>
    <mergeCell ref="H107:I107"/>
    <mergeCell ref="B104:G104"/>
    <mergeCell ref="H104:I104"/>
    <mergeCell ref="I109:I121"/>
    <mergeCell ref="A3:G3"/>
    <mergeCell ref="A4:A6"/>
    <mergeCell ref="C7:E7"/>
    <mergeCell ref="E17:F17"/>
    <mergeCell ref="A108:A114"/>
    <mergeCell ref="F107:G107"/>
    <mergeCell ref="A22:A71"/>
    <mergeCell ref="A18:F18"/>
    <mergeCell ref="A21:F21"/>
    <mergeCell ref="B71:D71"/>
    <mergeCell ref="C8:E8"/>
    <mergeCell ref="A7:A8"/>
    <mergeCell ref="H105:I105"/>
    <mergeCell ref="A9:A16"/>
    <mergeCell ref="E71:F71"/>
  </mergeCells>
  <conditionalFormatting sqref="H76:H103">
    <cfRule type="cellIs" dxfId="1" priority="1" stopIfTrue="1" operator="lessThan">
      <formula>0</formula>
    </cfRule>
  </conditionalFormatting>
  <pageMargins left="0.7" right="0.7" top="0.75" bottom="0.75" header="0.3" footer="0.3"/>
  <pageSetup orientation="portrait"/>
  <headerFooter>
    <oddFooter>&amp;C&amp;"Helvetica Neue,Regular"&amp;12&amp;K000000&amp;P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63"/>
  <sheetViews>
    <sheetView showGridLines="0" workbookViewId="0"/>
  </sheetViews>
  <sheetFormatPr baseColWidth="10" defaultColWidth="10.875" defaultRowHeight="15.75" customHeight="1" x14ac:dyDescent="0.25"/>
  <cols>
    <col min="1" max="1" width="12.125" style="52" customWidth="1"/>
    <col min="2" max="2" width="18.125" style="52" customWidth="1"/>
    <col min="3" max="3" width="10.875" style="52" customWidth="1"/>
    <col min="4" max="4" width="24.5" style="52" customWidth="1"/>
    <col min="5" max="5" width="10.875" style="52" customWidth="1"/>
    <col min="6" max="6" width="11.5" style="52" customWidth="1"/>
    <col min="7" max="7" width="10.875" style="52" customWidth="1"/>
    <col min="8" max="8" width="12.5" style="52" customWidth="1"/>
    <col min="9" max="9" width="10.875" style="52" customWidth="1"/>
    <col min="10" max="10" width="12.375" style="52" customWidth="1"/>
    <col min="11" max="256" width="10.875" style="52" customWidth="1"/>
  </cols>
  <sheetData>
    <row r="1" spans="1:14" ht="17.100000000000001" customHeight="1" x14ac:dyDescent="0.25">
      <c r="A1" s="6"/>
      <c r="B1" s="6"/>
      <c r="C1" s="6"/>
      <c r="D1" s="6"/>
      <c r="E1" s="6"/>
      <c r="F1" s="6"/>
      <c r="G1" s="6"/>
      <c r="H1" s="6"/>
      <c r="I1" s="6"/>
      <c r="J1" s="6"/>
      <c r="K1" s="6"/>
      <c r="L1" s="6"/>
      <c r="M1" s="6"/>
      <c r="N1" s="6"/>
    </row>
    <row r="2" spans="1:14" ht="17.100000000000001" customHeight="1" x14ac:dyDescent="0.25">
      <c r="A2" s="7"/>
      <c r="B2" s="7"/>
      <c r="C2" s="7"/>
      <c r="D2" s="7"/>
      <c r="E2" s="7"/>
      <c r="F2" s="7"/>
      <c r="G2" s="7"/>
      <c r="H2" s="6"/>
      <c r="I2" s="6"/>
      <c r="J2" s="6"/>
      <c r="K2" s="6"/>
      <c r="L2" s="6"/>
      <c r="M2" s="6"/>
      <c r="N2" s="6"/>
    </row>
    <row r="3" spans="1:14" ht="17.100000000000001" customHeight="1" x14ac:dyDescent="0.25">
      <c r="A3" s="294" t="s">
        <v>6</v>
      </c>
      <c r="B3" s="295"/>
      <c r="C3" s="295"/>
      <c r="D3" s="295"/>
      <c r="E3" s="295"/>
      <c r="F3" s="295"/>
      <c r="G3" s="296"/>
      <c r="H3" s="8"/>
      <c r="I3" s="6"/>
      <c r="J3" s="6"/>
      <c r="K3" s="6"/>
      <c r="L3" s="6"/>
      <c r="M3" s="6"/>
      <c r="N3" s="6"/>
    </row>
    <row r="4" spans="1:14" ht="17.100000000000001" customHeight="1" x14ac:dyDescent="0.25">
      <c r="A4" s="297" t="s">
        <v>7</v>
      </c>
      <c r="B4" s="53" t="s">
        <v>8</v>
      </c>
      <c r="C4" s="53" t="s">
        <v>9</v>
      </c>
      <c r="D4" s="53" t="s">
        <v>10</v>
      </c>
      <c r="E4" s="53" t="s">
        <v>11</v>
      </c>
      <c r="F4" s="53" t="s">
        <v>12</v>
      </c>
      <c r="G4" s="53" t="s">
        <v>13</v>
      </c>
      <c r="H4" s="8"/>
      <c r="I4" s="6"/>
      <c r="J4" s="6"/>
      <c r="K4" s="6"/>
      <c r="L4" s="6"/>
      <c r="M4" s="6"/>
      <c r="N4" s="6"/>
    </row>
    <row r="5" spans="1:14" ht="17.100000000000001" customHeight="1" x14ac:dyDescent="0.25">
      <c r="A5" s="298"/>
      <c r="B5" s="10" t="s">
        <v>318</v>
      </c>
      <c r="C5" s="11">
        <v>88101</v>
      </c>
      <c r="D5" s="10" t="s">
        <v>319</v>
      </c>
      <c r="E5" s="12"/>
      <c r="F5" s="41">
        <v>1.8391999999999999</v>
      </c>
      <c r="G5" s="47">
        <f>F5*C5</f>
        <v>162035.35920000001</v>
      </c>
      <c r="H5" s="8"/>
      <c r="I5" s="6"/>
      <c r="J5" s="6"/>
      <c r="K5" s="6"/>
      <c r="L5" s="6"/>
      <c r="M5" s="6"/>
      <c r="N5" s="6"/>
    </row>
    <row r="6" spans="1:14" ht="17.100000000000001" customHeight="1" x14ac:dyDescent="0.25">
      <c r="A6" s="298"/>
      <c r="B6" s="10" t="s">
        <v>320</v>
      </c>
      <c r="C6" s="11">
        <f>100+40</f>
        <v>140</v>
      </c>
      <c r="D6" s="10" t="s">
        <v>321</v>
      </c>
      <c r="E6" s="12"/>
      <c r="F6" s="41">
        <v>8.8085000000000004</v>
      </c>
      <c r="G6" s="47">
        <f>F6*C6</f>
        <v>1233.19</v>
      </c>
      <c r="H6" s="8"/>
      <c r="I6" s="6"/>
      <c r="J6" s="6"/>
      <c r="K6" s="6"/>
      <c r="L6" s="6"/>
      <c r="M6" s="6"/>
      <c r="N6" s="6"/>
    </row>
    <row r="7" spans="1:14" ht="17.100000000000001" customHeight="1" x14ac:dyDescent="0.25">
      <c r="A7" s="299"/>
      <c r="B7" s="10" t="s">
        <v>322</v>
      </c>
      <c r="C7" s="11">
        <f>601+91+2</f>
        <v>694</v>
      </c>
      <c r="D7" s="10" t="s">
        <v>321</v>
      </c>
      <c r="E7" s="12"/>
      <c r="F7" s="41">
        <v>7.6181000000000001</v>
      </c>
      <c r="G7" s="47">
        <f>F7*C7</f>
        <v>5286.9614000000001</v>
      </c>
      <c r="H7" s="8"/>
      <c r="I7" s="6"/>
      <c r="J7" s="6"/>
      <c r="K7" s="6"/>
      <c r="L7" s="6"/>
      <c r="M7" s="6"/>
      <c r="N7" s="6"/>
    </row>
    <row r="8" spans="1:14" ht="17.100000000000001" customHeight="1" x14ac:dyDescent="0.25">
      <c r="A8" s="297" t="s">
        <v>19</v>
      </c>
      <c r="B8" s="53" t="s">
        <v>20</v>
      </c>
      <c r="C8" s="300" t="s">
        <v>21</v>
      </c>
      <c r="D8" s="301"/>
      <c r="E8" s="302"/>
      <c r="F8" s="53" t="s">
        <v>12</v>
      </c>
      <c r="G8" s="53" t="s">
        <v>13</v>
      </c>
      <c r="H8" s="8"/>
      <c r="I8" s="6"/>
      <c r="J8" s="6"/>
      <c r="K8" s="6"/>
      <c r="L8" s="6"/>
      <c r="M8" s="6"/>
      <c r="N8" s="54"/>
    </row>
    <row r="9" spans="1:14" ht="17.100000000000001" customHeight="1" x14ac:dyDescent="0.25">
      <c r="A9" s="299"/>
      <c r="B9" s="12"/>
      <c r="C9" s="303"/>
      <c r="D9" s="276"/>
      <c r="E9" s="277"/>
      <c r="F9" s="12"/>
      <c r="G9" s="12"/>
      <c r="H9" s="8"/>
      <c r="I9" s="6"/>
      <c r="J9" s="6"/>
      <c r="K9" s="6"/>
      <c r="L9" s="6"/>
      <c r="M9" s="55"/>
      <c r="N9" s="56"/>
    </row>
    <row r="10" spans="1:14" ht="17.100000000000001" customHeight="1" x14ac:dyDescent="0.25">
      <c r="A10" s="297" t="s">
        <v>23</v>
      </c>
      <c r="B10" s="53" t="s">
        <v>20</v>
      </c>
      <c r="C10" s="53" t="s">
        <v>24</v>
      </c>
      <c r="D10" s="53" t="s">
        <v>25</v>
      </c>
      <c r="E10" s="53" t="s">
        <v>26</v>
      </c>
      <c r="F10" s="53" t="s">
        <v>12</v>
      </c>
      <c r="G10" s="53" t="s">
        <v>13</v>
      </c>
      <c r="H10" s="8"/>
      <c r="I10" s="6"/>
      <c r="J10" s="6"/>
      <c r="K10" s="6"/>
      <c r="L10" s="6"/>
      <c r="M10" s="6"/>
      <c r="N10" s="38"/>
    </row>
    <row r="11" spans="1:14" ht="17.100000000000001" customHeight="1" x14ac:dyDescent="0.25">
      <c r="A11" s="298"/>
      <c r="B11" s="10" t="s">
        <v>121</v>
      </c>
      <c r="C11" s="11">
        <v>2</v>
      </c>
      <c r="D11" s="11">
        <v>20</v>
      </c>
      <c r="E11" s="11">
        <v>40</v>
      </c>
      <c r="F11" s="11">
        <v>1</v>
      </c>
      <c r="G11" s="11">
        <f>F11*E11</f>
        <v>40</v>
      </c>
      <c r="H11" s="8"/>
      <c r="I11" s="6"/>
      <c r="J11" s="6"/>
      <c r="K11" s="6"/>
      <c r="L11" s="6"/>
      <c r="M11" s="6"/>
      <c r="N11" s="6"/>
    </row>
    <row r="12" spans="1:14" ht="17.100000000000001" customHeight="1" x14ac:dyDescent="0.25">
      <c r="A12" s="298"/>
      <c r="B12" s="10" t="s">
        <v>121</v>
      </c>
      <c r="C12" s="11">
        <v>36</v>
      </c>
      <c r="D12" s="11">
        <v>10</v>
      </c>
      <c r="E12" s="11">
        <f>D12*C12</f>
        <v>360</v>
      </c>
      <c r="F12" s="11">
        <v>1</v>
      </c>
      <c r="G12" s="11">
        <f>F12*E12</f>
        <v>360</v>
      </c>
      <c r="H12" s="8"/>
      <c r="I12" s="6"/>
      <c r="J12" s="6"/>
      <c r="K12" s="6"/>
      <c r="L12" s="6"/>
      <c r="M12" s="6"/>
      <c r="N12" s="6"/>
    </row>
    <row r="13" spans="1:14" ht="17.100000000000001" customHeight="1" x14ac:dyDescent="0.25">
      <c r="A13" s="299"/>
      <c r="B13" s="10" t="s">
        <v>121</v>
      </c>
      <c r="C13" s="11">
        <v>7</v>
      </c>
      <c r="D13" s="11">
        <v>15</v>
      </c>
      <c r="E13" s="11">
        <f>D13*C13</f>
        <v>105</v>
      </c>
      <c r="F13" s="11">
        <v>1</v>
      </c>
      <c r="G13" s="11">
        <f>F13*E13</f>
        <v>105</v>
      </c>
      <c r="H13" s="8"/>
      <c r="I13" s="6"/>
      <c r="J13" s="6"/>
      <c r="K13" s="6"/>
      <c r="L13" s="6"/>
      <c r="M13" s="6"/>
      <c r="N13" s="6"/>
    </row>
    <row r="14" spans="1:14" ht="17.100000000000001" customHeight="1" x14ac:dyDescent="0.25">
      <c r="A14" s="57" t="s">
        <v>29</v>
      </c>
      <c r="B14" s="53" t="s">
        <v>20</v>
      </c>
      <c r="C14" s="53" t="s">
        <v>9</v>
      </c>
      <c r="D14" s="53" t="s">
        <v>30</v>
      </c>
      <c r="E14" s="300" t="s">
        <v>12</v>
      </c>
      <c r="F14" s="302"/>
      <c r="G14" s="53" t="s">
        <v>13</v>
      </c>
      <c r="H14" s="8"/>
      <c r="I14" s="6"/>
      <c r="J14" s="6"/>
      <c r="K14" s="6"/>
      <c r="L14" s="6"/>
      <c r="M14" s="6"/>
      <c r="N14" s="6"/>
    </row>
    <row r="15" spans="1:14" ht="17.100000000000001" customHeight="1" x14ac:dyDescent="0.25">
      <c r="A15" s="304" t="s">
        <v>35</v>
      </c>
      <c r="B15" s="305"/>
      <c r="C15" s="305"/>
      <c r="D15" s="305"/>
      <c r="E15" s="305"/>
      <c r="F15" s="306"/>
      <c r="G15" s="47">
        <f>G13+G12+G11+G7+G5+G6</f>
        <v>169060.51060000001</v>
      </c>
      <c r="H15" s="8"/>
      <c r="I15" s="6"/>
      <c r="J15" s="6"/>
      <c r="K15" s="6"/>
      <c r="L15" s="6"/>
      <c r="M15" s="6"/>
      <c r="N15" s="6"/>
    </row>
    <row r="16" spans="1:14" ht="17.100000000000001" customHeight="1" x14ac:dyDescent="0.25">
      <c r="A16" s="33"/>
      <c r="B16" s="34"/>
      <c r="C16" s="35"/>
      <c r="D16" s="17"/>
      <c r="E16" s="17"/>
      <c r="F16" s="17"/>
      <c r="G16" s="17"/>
      <c r="H16" s="6"/>
      <c r="I16" s="6"/>
      <c r="J16" s="6"/>
      <c r="K16" s="6"/>
      <c r="L16" s="6"/>
      <c r="M16" s="6"/>
      <c r="N16" s="6"/>
    </row>
    <row r="17" spans="1:14" ht="17.100000000000001" customHeight="1" x14ac:dyDescent="0.25">
      <c r="A17" s="7"/>
      <c r="B17" s="7"/>
      <c r="C17" s="7"/>
      <c r="D17" s="7"/>
      <c r="E17" s="7"/>
      <c r="F17" s="7"/>
      <c r="G17" s="6"/>
      <c r="H17" s="6"/>
      <c r="I17" s="6"/>
      <c r="J17" s="6"/>
      <c r="K17" s="6"/>
      <c r="L17" s="6"/>
      <c r="M17" s="6"/>
      <c r="N17" s="6"/>
    </row>
    <row r="18" spans="1:14" ht="17.100000000000001" customHeight="1" x14ac:dyDescent="0.25">
      <c r="A18" s="291" t="s">
        <v>37</v>
      </c>
      <c r="B18" s="292"/>
      <c r="C18" s="292"/>
      <c r="D18" s="292"/>
      <c r="E18" s="292"/>
      <c r="F18" s="293"/>
      <c r="G18" s="8"/>
      <c r="H18" s="6"/>
      <c r="I18" s="6"/>
      <c r="J18" s="6"/>
      <c r="K18" s="6"/>
      <c r="L18" s="6"/>
      <c r="M18" s="6"/>
      <c r="N18" s="6"/>
    </row>
    <row r="19" spans="1:14" ht="17.100000000000001" customHeight="1" x14ac:dyDescent="0.25">
      <c r="A19" s="267" t="s">
        <v>38</v>
      </c>
      <c r="B19" s="20" t="s">
        <v>39</v>
      </c>
      <c r="C19" s="20" t="s">
        <v>40</v>
      </c>
      <c r="D19" s="20" t="s">
        <v>41</v>
      </c>
      <c r="E19" s="20" t="s">
        <v>42</v>
      </c>
      <c r="F19" s="20" t="s">
        <v>13</v>
      </c>
      <c r="G19" s="8"/>
      <c r="H19" s="6"/>
      <c r="I19" s="6"/>
      <c r="J19" s="6"/>
      <c r="K19" s="6"/>
      <c r="L19" s="6"/>
      <c r="M19" s="6"/>
      <c r="N19" s="6"/>
    </row>
    <row r="20" spans="1:14" ht="17.100000000000001" customHeight="1" x14ac:dyDescent="0.25">
      <c r="A20" s="268"/>
      <c r="B20" s="12"/>
      <c r="C20" s="11">
        <v>130138.85</v>
      </c>
      <c r="D20" s="10" t="s">
        <v>323</v>
      </c>
      <c r="E20" s="24">
        <v>0.12</v>
      </c>
      <c r="F20" s="11">
        <f t="shared" ref="F20:F31" si="0">E20*C20</f>
        <v>15616.662</v>
      </c>
      <c r="G20" s="8"/>
      <c r="H20" s="6"/>
      <c r="I20" s="6"/>
      <c r="J20" s="6"/>
      <c r="K20" s="6"/>
      <c r="L20" s="6"/>
      <c r="M20" s="6"/>
      <c r="N20" s="6"/>
    </row>
    <row r="21" spans="1:14" ht="17.100000000000001" customHeight="1" x14ac:dyDescent="0.25">
      <c r="A21" s="268"/>
      <c r="B21" s="12"/>
      <c r="C21" s="11">
        <v>209716.08</v>
      </c>
      <c r="D21" s="10" t="s">
        <v>324</v>
      </c>
      <c r="E21" s="24">
        <v>0.12</v>
      </c>
      <c r="F21" s="11">
        <f t="shared" si="0"/>
        <v>25165.929599999996</v>
      </c>
      <c r="G21" s="8"/>
      <c r="H21" s="6"/>
      <c r="I21" s="6"/>
      <c r="J21" s="6"/>
      <c r="K21" s="6"/>
      <c r="L21" s="6"/>
      <c r="M21" s="6"/>
      <c r="N21" s="6"/>
    </row>
    <row r="22" spans="1:14" ht="17.100000000000001" customHeight="1" x14ac:dyDescent="0.25">
      <c r="A22" s="268"/>
      <c r="B22" s="12"/>
      <c r="C22" s="11">
        <v>196423.29</v>
      </c>
      <c r="D22" s="10" t="s">
        <v>325</v>
      </c>
      <c r="E22" s="24">
        <v>0.12</v>
      </c>
      <c r="F22" s="11">
        <f t="shared" si="0"/>
        <v>23570.7948</v>
      </c>
      <c r="G22" s="8"/>
      <c r="H22" s="6"/>
      <c r="I22" s="6"/>
      <c r="J22" s="6"/>
      <c r="K22" s="6"/>
      <c r="L22" s="6"/>
      <c r="M22" s="6"/>
      <c r="N22" s="6"/>
    </row>
    <row r="23" spans="1:14" ht="17.100000000000001" customHeight="1" x14ac:dyDescent="0.25">
      <c r="A23" s="268"/>
      <c r="B23" s="12"/>
      <c r="C23" s="11">
        <v>135596.25</v>
      </c>
      <c r="D23" s="10" t="s">
        <v>326</v>
      </c>
      <c r="E23" s="24">
        <v>0.12</v>
      </c>
      <c r="F23" s="11">
        <f t="shared" si="0"/>
        <v>16271.55</v>
      </c>
      <c r="G23" s="8"/>
      <c r="H23" s="6"/>
      <c r="I23" s="6"/>
      <c r="J23" s="6"/>
      <c r="K23" s="6"/>
      <c r="L23" s="6"/>
      <c r="M23" s="6"/>
      <c r="N23" s="6"/>
    </row>
    <row r="24" spans="1:14" ht="17.100000000000001" customHeight="1" x14ac:dyDescent="0.25">
      <c r="A24" s="268"/>
      <c r="B24" s="12"/>
      <c r="C24" s="11">
        <v>208670.26</v>
      </c>
      <c r="D24" s="10" t="s">
        <v>327</v>
      </c>
      <c r="E24" s="24">
        <v>0.12</v>
      </c>
      <c r="F24" s="11">
        <f t="shared" si="0"/>
        <v>25040.431199999999</v>
      </c>
      <c r="G24" s="8"/>
      <c r="H24" s="6"/>
      <c r="I24" s="6"/>
      <c r="J24" s="6"/>
      <c r="K24" s="6"/>
      <c r="L24" s="6"/>
      <c r="M24" s="6"/>
      <c r="N24" s="6"/>
    </row>
    <row r="25" spans="1:14" ht="17.100000000000001" customHeight="1" x14ac:dyDescent="0.25">
      <c r="A25" s="268"/>
      <c r="B25" s="12"/>
      <c r="C25" s="11">
        <v>165333.70000000001</v>
      </c>
      <c r="D25" s="10" t="s">
        <v>328</v>
      </c>
      <c r="E25" s="24">
        <v>0.12</v>
      </c>
      <c r="F25" s="11">
        <f t="shared" si="0"/>
        <v>19840.044000000002</v>
      </c>
      <c r="G25" s="8"/>
      <c r="H25" s="6"/>
      <c r="I25" s="6"/>
      <c r="J25" s="6"/>
      <c r="K25" s="6"/>
      <c r="L25" s="6"/>
      <c r="M25" s="6"/>
      <c r="N25" s="6"/>
    </row>
    <row r="26" spans="1:14" ht="17.100000000000001" customHeight="1" x14ac:dyDescent="0.25">
      <c r="A26" s="268"/>
      <c r="B26" s="12"/>
      <c r="C26" s="11">
        <v>149894.79</v>
      </c>
      <c r="D26" s="10" t="s">
        <v>329</v>
      </c>
      <c r="E26" s="24">
        <v>0.12</v>
      </c>
      <c r="F26" s="11">
        <f t="shared" si="0"/>
        <v>17987.374800000001</v>
      </c>
      <c r="G26" s="8"/>
      <c r="H26" s="6"/>
      <c r="I26" s="6"/>
      <c r="J26" s="6"/>
      <c r="K26" s="6"/>
      <c r="L26" s="6"/>
      <c r="M26" s="6"/>
      <c r="N26" s="6"/>
    </row>
    <row r="27" spans="1:14" ht="17.100000000000001" customHeight="1" x14ac:dyDescent="0.25">
      <c r="A27" s="268"/>
      <c r="B27" s="12"/>
      <c r="C27" s="11">
        <v>198900</v>
      </c>
      <c r="D27" s="10" t="s">
        <v>330</v>
      </c>
      <c r="E27" s="24">
        <v>0.12</v>
      </c>
      <c r="F27" s="11">
        <f t="shared" si="0"/>
        <v>23868</v>
      </c>
      <c r="G27" s="8"/>
      <c r="H27" s="6"/>
      <c r="I27" s="6"/>
      <c r="J27" s="6"/>
      <c r="K27" s="6"/>
      <c r="L27" s="6"/>
      <c r="M27" s="6"/>
      <c r="N27" s="6"/>
    </row>
    <row r="28" spans="1:14" ht="17.100000000000001" customHeight="1" x14ac:dyDescent="0.25">
      <c r="A28" s="268"/>
      <c r="B28" s="12"/>
      <c r="C28" s="11">
        <v>206797</v>
      </c>
      <c r="D28" s="10" t="s">
        <v>331</v>
      </c>
      <c r="E28" s="24">
        <v>0.12</v>
      </c>
      <c r="F28" s="11">
        <f t="shared" si="0"/>
        <v>24815.64</v>
      </c>
      <c r="G28" s="8"/>
      <c r="H28" s="6"/>
      <c r="I28" s="6"/>
      <c r="J28" s="6"/>
      <c r="K28" s="6"/>
      <c r="L28" s="6"/>
      <c r="M28" s="6"/>
      <c r="N28" s="6"/>
    </row>
    <row r="29" spans="1:14" ht="17.100000000000001" customHeight="1" x14ac:dyDescent="0.25">
      <c r="A29" s="268"/>
      <c r="B29" s="12"/>
      <c r="C29" s="11">
        <v>222871</v>
      </c>
      <c r="D29" s="10" t="s">
        <v>332</v>
      </c>
      <c r="E29" s="24">
        <v>0.12</v>
      </c>
      <c r="F29" s="11">
        <f t="shared" si="0"/>
        <v>26744.52</v>
      </c>
      <c r="G29" s="8"/>
      <c r="H29" s="6"/>
      <c r="I29" s="6"/>
      <c r="J29" s="6"/>
      <c r="K29" s="6"/>
      <c r="L29" s="6"/>
      <c r="M29" s="6"/>
      <c r="N29" s="6"/>
    </row>
    <row r="30" spans="1:14" ht="17.100000000000001" customHeight="1" x14ac:dyDescent="0.25">
      <c r="A30" s="268"/>
      <c r="B30" s="12"/>
      <c r="C30" s="11">
        <v>208281</v>
      </c>
      <c r="D30" s="10" t="s">
        <v>333</v>
      </c>
      <c r="E30" s="24">
        <v>0.12</v>
      </c>
      <c r="F30" s="11">
        <f t="shared" si="0"/>
        <v>24993.719999999998</v>
      </c>
      <c r="G30" s="8"/>
      <c r="H30" s="6"/>
      <c r="I30" s="6"/>
      <c r="J30" s="6"/>
      <c r="K30" s="6"/>
      <c r="L30" s="6"/>
      <c r="M30" s="6"/>
      <c r="N30" s="6"/>
    </row>
    <row r="31" spans="1:14" ht="17.100000000000001" customHeight="1" x14ac:dyDescent="0.25">
      <c r="A31" s="268"/>
      <c r="B31" s="12"/>
      <c r="C31" s="11">
        <v>145893.03</v>
      </c>
      <c r="D31" s="10" t="s">
        <v>334</v>
      </c>
      <c r="E31" s="24">
        <v>0.12</v>
      </c>
      <c r="F31" s="11">
        <f t="shared" si="0"/>
        <v>17507.1636</v>
      </c>
      <c r="G31" s="8"/>
      <c r="H31" s="6"/>
      <c r="I31" s="6"/>
      <c r="J31" s="6"/>
      <c r="K31" s="6"/>
      <c r="L31" s="6"/>
      <c r="M31" s="6"/>
      <c r="N31" s="6"/>
    </row>
    <row r="32" spans="1:14" ht="17.100000000000001" customHeight="1" x14ac:dyDescent="0.25">
      <c r="A32" s="269"/>
      <c r="B32" s="222" t="s">
        <v>56</v>
      </c>
      <c r="C32" s="223"/>
      <c r="D32" s="223"/>
      <c r="E32" s="221"/>
      <c r="F32" s="26">
        <f>SUM(F20:F31)</f>
        <v>261421.83</v>
      </c>
      <c r="G32" s="8"/>
      <c r="H32" s="6"/>
      <c r="I32" s="6"/>
      <c r="J32" s="6"/>
      <c r="K32" s="6"/>
      <c r="L32" s="6"/>
      <c r="M32" s="6"/>
      <c r="N32" s="6"/>
    </row>
    <row r="33" spans="1:14" ht="17.100000000000001" customHeight="1" x14ac:dyDescent="0.25">
      <c r="A33" s="17"/>
      <c r="B33" s="17"/>
      <c r="C33" s="17"/>
      <c r="D33" s="17"/>
      <c r="E33" s="17"/>
      <c r="F33" s="17"/>
      <c r="G33" s="6"/>
      <c r="H33" s="6"/>
      <c r="I33" s="6"/>
      <c r="J33" s="6"/>
      <c r="K33" s="6"/>
      <c r="L33" s="6"/>
      <c r="M33" s="6"/>
      <c r="N33" s="6"/>
    </row>
    <row r="34" spans="1:14" ht="17.100000000000001" customHeight="1" x14ac:dyDescent="0.25">
      <c r="A34" s="7"/>
      <c r="B34" s="7"/>
      <c r="C34" s="7"/>
      <c r="D34" s="7"/>
      <c r="E34" s="7"/>
      <c r="F34" s="7"/>
      <c r="G34" s="7"/>
      <c r="H34" s="7"/>
      <c r="I34" s="7"/>
      <c r="J34" s="6"/>
      <c r="K34" s="6"/>
      <c r="L34" s="6"/>
      <c r="M34" s="6"/>
      <c r="N34" s="6"/>
    </row>
    <row r="35" spans="1:14" ht="17.100000000000001" customHeight="1" x14ac:dyDescent="0.25">
      <c r="A35" s="224" t="s">
        <v>57</v>
      </c>
      <c r="B35" s="225"/>
      <c r="C35" s="225"/>
      <c r="D35" s="225"/>
      <c r="E35" s="225"/>
      <c r="F35" s="225"/>
      <c r="G35" s="225"/>
      <c r="H35" s="225"/>
      <c r="I35" s="226"/>
      <c r="J35" s="8"/>
      <c r="K35" s="6"/>
      <c r="L35" s="6"/>
      <c r="M35" s="6"/>
      <c r="N35" s="6"/>
    </row>
    <row r="36" spans="1:14" ht="17.100000000000001" customHeight="1" x14ac:dyDescent="0.25">
      <c r="A36" s="307" t="s">
        <v>58</v>
      </c>
      <c r="B36" s="25" t="s">
        <v>59</v>
      </c>
      <c r="C36" s="25" t="s">
        <v>60</v>
      </c>
      <c r="D36" s="25" t="s">
        <v>61</v>
      </c>
      <c r="E36" s="25" t="s">
        <v>60</v>
      </c>
      <c r="F36" s="25" t="s">
        <v>62</v>
      </c>
      <c r="G36" s="25" t="s">
        <v>63</v>
      </c>
      <c r="H36" s="25" t="s">
        <v>64</v>
      </c>
      <c r="I36" s="25" t="s">
        <v>13</v>
      </c>
      <c r="J36" s="8"/>
      <c r="K36" s="6"/>
      <c r="L36" s="6"/>
      <c r="M36" s="6"/>
      <c r="N36" s="6"/>
    </row>
    <row r="37" spans="1:14" ht="17.100000000000001" customHeight="1" x14ac:dyDescent="0.25">
      <c r="A37" s="308"/>
      <c r="B37" s="10" t="s">
        <v>335</v>
      </c>
      <c r="C37" s="12"/>
      <c r="D37" s="10" t="s">
        <v>336</v>
      </c>
      <c r="E37" s="12"/>
      <c r="F37" s="10" t="s">
        <v>194</v>
      </c>
      <c r="G37" s="12"/>
      <c r="H37" s="49">
        <v>1</v>
      </c>
      <c r="I37" s="58">
        <v>1059</v>
      </c>
      <c r="J37" s="8"/>
      <c r="K37" s="6"/>
      <c r="L37" s="6"/>
      <c r="M37" s="6"/>
      <c r="N37" s="6"/>
    </row>
    <row r="38" spans="1:14" ht="17.100000000000001" customHeight="1" x14ac:dyDescent="0.25">
      <c r="A38" s="308"/>
      <c r="B38" s="10" t="s">
        <v>337</v>
      </c>
      <c r="C38" s="12"/>
      <c r="D38" s="10" t="s">
        <v>336</v>
      </c>
      <c r="E38" s="12"/>
      <c r="F38" s="10" t="s">
        <v>194</v>
      </c>
      <c r="G38" s="12"/>
      <c r="H38" s="49">
        <v>3</v>
      </c>
      <c r="I38" s="11">
        <f>776.8*3</f>
        <v>2330.3999999999996</v>
      </c>
      <c r="J38" s="8"/>
      <c r="K38" s="6"/>
      <c r="L38" s="6"/>
      <c r="M38" s="6"/>
      <c r="N38" s="6"/>
    </row>
    <row r="39" spans="1:14" ht="17.100000000000001" customHeight="1" x14ac:dyDescent="0.25">
      <c r="A39" s="308"/>
      <c r="B39" s="10" t="s">
        <v>338</v>
      </c>
      <c r="C39" s="12"/>
      <c r="D39" s="10" t="s">
        <v>336</v>
      </c>
      <c r="E39" s="12"/>
      <c r="F39" s="10" t="s">
        <v>194</v>
      </c>
      <c r="G39" s="12"/>
      <c r="H39" s="49">
        <v>11</v>
      </c>
      <c r="I39" s="11">
        <f t="shared" ref="I39:I44" si="1">165*11</f>
        <v>1815</v>
      </c>
      <c r="J39" s="8"/>
      <c r="K39" s="6"/>
      <c r="L39" s="6"/>
      <c r="M39" s="6"/>
      <c r="N39" s="6"/>
    </row>
    <row r="40" spans="1:14" ht="17.100000000000001" customHeight="1" x14ac:dyDescent="0.25">
      <c r="A40" s="308"/>
      <c r="B40" s="10" t="s">
        <v>336</v>
      </c>
      <c r="C40" s="12"/>
      <c r="D40" s="10" t="s">
        <v>339</v>
      </c>
      <c r="E40" s="12"/>
      <c r="F40" s="10" t="s">
        <v>194</v>
      </c>
      <c r="G40" s="12"/>
      <c r="H40" s="49">
        <v>1</v>
      </c>
      <c r="I40" s="11">
        <v>110.8</v>
      </c>
      <c r="J40" s="8"/>
      <c r="K40" s="6"/>
      <c r="L40" s="6"/>
      <c r="M40" s="6"/>
      <c r="N40" s="6"/>
    </row>
    <row r="41" spans="1:14" ht="17.100000000000001" customHeight="1" x14ac:dyDescent="0.25">
      <c r="A41" s="308"/>
      <c r="B41" s="10" t="s">
        <v>336</v>
      </c>
      <c r="C41" s="12"/>
      <c r="D41" s="10" t="s">
        <v>340</v>
      </c>
      <c r="E41" s="12"/>
      <c r="F41" s="10" t="s">
        <v>194</v>
      </c>
      <c r="G41" s="12"/>
      <c r="H41" s="49">
        <v>3</v>
      </c>
      <c r="I41" s="11">
        <f>190*3</f>
        <v>570</v>
      </c>
      <c r="J41" s="8"/>
      <c r="K41" s="6"/>
      <c r="L41" s="6"/>
      <c r="M41" s="6"/>
      <c r="N41" s="6"/>
    </row>
    <row r="42" spans="1:14" ht="17.100000000000001" customHeight="1" x14ac:dyDescent="0.25">
      <c r="A42" s="308"/>
      <c r="B42" s="10" t="s">
        <v>336</v>
      </c>
      <c r="C42" s="12"/>
      <c r="D42" s="10" t="s">
        <v>341</v>
      </c>
      <c r="E42" s="12"/>
      <c r="F42" s="10" t="s">
        <v>194</v>
      </c>
      <c r="G42" s="12"/>
      <c r="H42" s="49">
        <v>3</v>
      </c>
      <c r="I42" s="49">
        <f>64.1*H42</f>
        <v>192.29999999999998</v>
      </c>
      <c r="J42" s="8"/>
      <c r="K42" s="6"/>
      <c r="L42" s="6"/>
      <c r="M42" s="6"/>
      <c r="N42" s="6"/>
    </row>
    <row r="43" spans="1:14" ht="17.100000000000001" customHeight="1" x14ac:dyDescent="0.25">
      <c r="A43" s="308"/>
      <c r="B43" s="10" t="s">
        <v>336</v>
      </c>
      <c r="C43" s="12"/>
      <c r="D43" s="10" t="s">
        <v>337</v>
      </c>
      <c r="E43" s="12"/>
      <c r="F43" s="10" t="s">
        <v>194</v>
      </c>
      <c r="G43" s="12"/>
      <c r="H43" s="49">
        <v>1</v>
      </c>
      <c r="I43" s="11">
        <v>776.8</v>
      </c>
      <c r="J43" s="8"/>
      <c r="K43" s="6"/>
      <c r="L43" s="6"/>
      <c r="M43" s="6"/>
      <c r="N43" s="6"/>
    </row>
    <row r="44" spans="1:14" ht="17.100000000000001" customHeight="1" x14ac:dyDescent="0.25">
      <c r="A44" s="308"/>
      <c r="B44" s="10" t="s">
        <v>336</v>
      </c>
      <c r="C44" s="12"/>
      <c r="D44" s="10" t="s">
        <v>338</v>
      </c>
      <c r="E44" s="12"/>
      <c r="F44" s="10" t="s">
        <v>194</v>
      </c>
      <c r="G44" s="12"/>
      <c r="H44" s="49">
        <v>11</v>
      </c>
      <c r="I44" s="11">
        <f t="shared" si="1"/>
        <v>1815</v>
      </c>
      <c r="J44" s="8"/>
      <c r="K44" s="6"/>
      <c r="L44" s="6"/>
      <c r="M44" s="6"/>
      <c r="N44" s="6"/>
    </row>
    <row r="45" spans="1:14" ht="17.100000000000001" customHeight="1" x14ac:dyDescent="0.25">
      <c r="A45" s="308"/>
      <c r="B45" s="10" t="s">
        <v>336</v>
      </c>
      <c r="C45" s="12"/>
      <c r="D45" s="10" t="s">
        <v>335</v>
      </c>
      <c r="E45" s="12"/>
      <c r="F45" s="10" t="s">
        <v>194</v>
      </c>
      <c r="G45" s="12"/>
      <c r="H45" s="49">
        <v>2</v>
      </c>
      <c r="I45" s="11">
        <v>1059</v>
      </c>
      <c r="J45" s="8"/>
      <c r="K45" s="6"/>
      <c r="L45" s="6"/>
      <c r="M45" s="6"/>
      <c r="N45" s="6"/>
    </row>
    <row r="46" spans="1:14" ht="17.100000000000001" customHeight="1" x14ac:dyDescent="0.25">
      <c r="A46" s="308"/>
      <c r="B46" s="10" t="s">
        <v>336</v>
      </c>
      <c r="C46" s="12"/>
      <c r="D46" s="10" t="s">
        <v>342</v>
      </c>
      <c r="E46" s="12"/>
      <c r="F46" s="10" t="s">
        <v>194</v>
      </c>
      <c r="G46" s="12"/>
      <c r="H46" s="49">
        <v>2</v>
      </c>
      <c r="I46" s="11">
        <f>878.8*2</f>
        <v>1757.6</v>
      </c>
      <c r="J46" s="8"/>
      <c r="K46" s="6"/>
      <c r="L46" s="6"/>
      <c r="M46" s="6"/>
      <c r="N46" s="6"/>
    </row>
    <row r="47" spans="1:14" ht="17.100000000000001" customHeight="1" x14ac:dyDescent="0.25">
      <c r="A47" s="308"/>
      <c r="B47" s="10" t="s">
        <v>336</v>
      </c>
      <c r="C47" s="12"/>
      <c r="D47" s="10" t="s">
        <v>343</v>
      </c>
      <c r="E47" s="12"/>
      <c r="F47" s="10" t="s">
        <v>194</v>
      </c>
      <c r="G47" s="12"/>
      <c r="H47" s="49">
        <v>1</v>
      </c>
      <c r="I47" s="11">
        <v>1103.2</v>
      </c>
      <c r="J47" s="8"/>
      <c r="K47" s="6"/>
      <c r="L47" s="6"/>
      <c r="M47" s="6"/>
      <c r="N47" s="6"/>
    </row>
    <row r="48" spans="1:14" ht="17.100000000000001" customHeight="1" x14ac:dyDescent="0.25">
      <c r="A48" s="308"/>
      <c r="B48" s="10" t="s">
        <v>336</v>
      </c>
      <c r="C48" s="12"/>
      <c r="D48" s="10" t="s">
        <v>344</v>
      </c>
      <c r="E48" s="12"/>
      <c r="F48" s="10" t="s">
        <v>194</v>
      </c>
      <c r="G48" s="12"/>
      <c r="H48" s="49">
        <v>39</v>
      </c>
      <c r="I48" s="49">
        <f>99.9*H48</f>
        <v>3896.1000000000004</v>
      </c>
      <c r="J48" s="8"/>
      <c r="K48" s="6"/>
      <c r="L48" s="6"/>
      <c r="M48" s="6"/>
      <c r="N48" s="6"/>
    </row>
    <row r="49" spans="1:14" ht="17.100000000000001" customHeight="1" x14ac:dyDescent="0.25">
      <c r="A49" s="308"/>
      <c r="B49" s="10" t="s">
        <v>336</v>
      </c>
      <c r="C49" s="12"/>
      <c r="D49" s="10" t="s">
        <v>345</v>
      </c>
      <c r="E49" s="12"/>
      <c r="F49" s="10" t="s">
        <v>194</v>
      </c>
      <c r="G49" s="12"/>
      <c r="H49" s="49">
        <v>6</v>
      </c>
      <c r="I49" s="49">
        <f>615.8*H49</f>
        <v>3694.7999999999997</v>
      </c>
      <c r="J49" s="8"/>
      <c r="K49" s="6"/>
      <c r="L49" s="6"/>
      <c r="M49" s="6"/>
      <c r="N49" s="6"/>
    </row>
    <row r="50" spans="1:14" ht="17.100000000000001" customHeight="1" x14ac:dyDescent="0.25">
      <c r="A50" s="308"/>
      <c r="B50" s="10" t="s">
        <v>336</v>
      </c>
      <c r="C50" s="12"/>
      <c r="D50" s="10" t="s">
        <v>346</v>
      </c>
      <c r="E50" s="12"/>
      <c r="F50" s="10" t="s">
        <v>194</v>
      </c>
      <c r="G50" s="12"/>
      <c r="H50" s="49">
        <v>23</v>
      </c>
      <c r="I50" s="49">
        <f>89.9*H50</f>
        <v>2067.7000000000003</v>
      </c>
      <c r="J50" s="8"/>
      <c r="K50" s="6"/>
      <c r="L50" s="6"/>
      <c r="M50" s="6"/>
      <c r="N50" s="6"/>
    </row>
    <row r="51" spans="1:14" ht="17.100000000000001" customHeight="1" x14ac:dyDescent="0.25">
      <c r="A51" s="308"/>
      <c r="B51" s="10" t="s">
        <v>336</v>
      </c>
      <c r="C51" s="12"/>
      <c r="D51" s="10" t="s">
        <v>347</v>
      </c>
      <c r="E51" s="12"/>
      <c r="F51" s="10" t="s">
        <v>194</v>
      </c>
      <c r="G51" s="12"/>
      <c r="H51" s="49">
        <v>23</v>
      </c>
      <c r="I51" s="49">
        <f>157.4*H51</f>
        <v>3620.2000000000003</v>
      </c>
      <c r="J51" s="8"/>
      <c r="K51" s="6"/>
      <c r="L51" s="6"/>
      <c r="M51" s="6"/>
      <c r="N51" s="6"/>
    </row>
    <row r="52" spans="1:14" ht="17.100000000000001" customHeight="1" x14ac:dyDescent="0.25">
      <c r="A52" s="308"/>
      <c r="B52" s="10" t="s">
        <v>336</v>
      </c>
      <c r="C52" s="12"/>
      <c r="D52" s="10" t="s">
        <v>348</v>
      </c>
      <c r="E52" s="12"/>
      <c r="F52" s="10" t="s">
        <v>194</v>
      </c>
      <c r="G52" s="12"/>
      <c r="H52" s="49">
        <v>8</v>
      </c>
      <c r="I52" s="49">
        <f>465.4*H52</f>
        <v>3723.2</v>
      </c>
      <c r="J52" s="8"/>
      <c r="K52" s="6"/>
      <c r="L52" s="6"/>
      <c r="M52" s="6"/>
      <c r="N52" s="6"/>
    </row>
    <row r="53" spans="1:14" ht="17.100000000000001" customHeight="1" x14ac:dyDescent="0.25">
      <c r="A53" s="308"/>
      <c r="B53" s="10" t="s">
        <v>336</v>
      </c>
      <c r="C53" s="12"/>
      <c r="D53" s="10" t="s">
        <v>349</v>
      </c>
      <c r="E53" s="12"/>
      <c r="F53" s="10" t="s">
        <v>194</v>
      </c>
      <c r="G53" s="12"/>
      <c r="H53" s="49">
        <v>3</v>
      </c>
      <c r="I53" s="49">
        <f>784.4*H53</f>
        <v>2353.1999999999998</v>
      </c>
      <c r="J53" s="8"/>
      <c r="K53" s="6"/>
      <c r="L53" s="6"/>
      <c r="M53" s="6"/>
      <c r="N53" s="6"/>
    </row>
    <row r="54" spans="1:14" ht="17.100000000000001" customHeight="1" x14ac:dyDescent="0.25">
      <c r="A54" s="308"/>
      <c r="B54" s="10" t="s">
        <v>336</v>
      </c>
      <c r="C54" s="12"/>
      <c r="D54" s="10" t="s">
        <v>350</v>
      </c>
      <c r="E54" s="12"/>
      <c r="F54" s="10" t="s">
        <v>194</v>
      </c>
      <c r="G54" s="12"/>
      <c r="H54" s="49">
        <v>1</v>
      </c>
      <c r="I54" s="49">
        <f>422.6*H54</f>
        <v>422.6</v>
      </c>
      <c r="J54" s="8"/>
      <c r="K54" s="6"/>
      <c r="L54" s="6"/>
      <c r="M54" s="6"/>
      <c r="N54" s="6"/>
    </row>
    <row r="55" spans="1:14" ht="17.100000000000001" customHeight="1" x14ac:dyDescent="0.25">
      <c r="A55" s="308"/>
      <c r="B55" s="10" t="s">
        <v>336</v>
      </c>
      <c r="C55" s="12"/>
      <c r="D55" s="10" t="s">
        <v>351</v>
      </c>
      <c r="E55" s="12"/>
      <c r="F55" s="10" t="s">
        <v>194</v>
      </c>
      <c r="G55" s="12"/>
      <c r="H55" s="49">
        <v>26</v>
      </c>
      <c r="I55" s="49">
        <f>121.2*H55</f>
        <v>3151.2000000000003</v>
      </c>
      <c r="J55" s="8"/>
      <c r="K55" s="6"/>
      <c r="L55" s="6"/>
      <c r="M55" s="6"/>
      <c r="N55" s="6"/>
    </row>
    <row r="56" spans="1:14" ht="17.100000000000001" customHeight="1" x14ac:dyDescent="0.25">
      <c r="A56" s="308"/>
      <c r="B56" s="10" t="s">
        <v>336</v>
      </c>
      <c r="C56" s="12"/>
      <c r="D56" s="10" t="s">
        <v>352</v>
      </c>
      <c r="E56" s="12"/>
      <c r="F56" s="10" t="s">
        <v>194</v>
      </c>
      <c r="G56" s="12"/>
      <c r="H56" s="49">
        <v>1</v>
      </c>
      <c r="I56" s="49">
        <f>346.6*H56</f>
        <v>346.6</v>
      </c>
      <c r="J56" s="8"/>
      <c r="K56" s="6"/>
      <c r="L56" s="6"/>
      <c r="M56" s="6"/>
      <c r="N56" s="6"/>
    </row>
    <row r="57" spans="1:14" ht="17.100000000000001" customHeight="1" x14ac:dyDescent="0.25">
      <c r="A57" s="308"/>
      <c r="B57" s="10" t="s">
        <v>336</v>
      </c>
      <c r="C57" s="12"/>
      <c r="D57" s="10" t="s">
        <v>353</v>
      </c>
      <c r="E57" s="12"/>
      <c r="F57" s="10" t="s">
        <v>194</v>
      </c>
      <c r="G57" s="12"/>
      <c r="H57" s="49">
        <v>1</v>
      </c>
      <c r="I57" s="49">
        <f>77*H57</f>
        <v>77</v>
      </c>
      <c r="J57" s="8"/>
      <c r="K57" s="6"/>
      <c r="L57" s="6"/>
      <c r="M57" s="6"/>
      <c r="N57" s="6"/>
    </row>
    <row r="58" spans="1:14" ht="17.100000000000001" customHeight="1" x14ac:dyDescent="0.25">
      <c r="A58" s="308"/>
      <c r="B58" s="10" t="s">
        <v>336</v>
      </c>
      <c r="C58" s="12"/>
      <c r="D58" s="10" t="s">
        <v>354</v>
      </c>
      <c r="E58" s="12"/>
      <c r="F58" s="10" t="s">
        <v>194</v>
      </c>
      <c r="G58" s="12"/>
      <c r="H58" s="49">
        <v>1</v>
      </c>
      <c r="I58" s="49">
        <f>1166.2*H58</f>
        <v>1166.2</v>
      </c>
      <c r="J58" s="8"/>
      <c r="K58" s="6"/>
      <c r="L58" s="6"/>
      <c r="M58" s="6"/>
      <c r="N58" s="6"/>
    </row>
    <row r="59" spans="1:14" ht="17.100000000000001" customHeight="1" x14ac:dyDescent="0.25">
      <c r="A59" s="308"/>
      <c r="B59" s="10" t="s">
        <v>336</v>
      </c>
      <c r="C59" s="12"/>
      <c r="D59" s="10" t="s">
        <v>355</v>
      </c>
      <c r="E59" s="12"/>
      <c r="F59" s="10" t="s">
        <v>194</v>
      </c>
      <c r="G59" s="12"/>
      <c r="H59" s="49">
        <v>1</v>
      </c>
      <c r="I59" s="49">
        <f>H59*621.4</f>
        <v>621.4</v>
      </c>
      <c r="J59" s="8"/>
      <c r="K59" s="6"/>
      <c r="L59" s="6"/>
      <c r="M59" s="6"/>
      <c r="N59" s="6"/>
    </row>
    <row r="60" spans="1:14" ht="17.100000000000001" customHeight="1" x14ac:dyDescent="0.25">
      <c r="A60" s="308"/>
      <c r="B60" s="10" t="s">
        <v>336</v>
      </c>
      <c r="C60" s="12"/>
      <c r="D60" s="10" t="s">
        <v>356</v>
      </c>
      <c r="E60" s="12"/>
      <c r="F60" s="10" t="s">
        <v>194</v>
      </c>
      <c r="G60" s="12"/>
      <c r="H60" s="49">
        <v>2</v>
      </c>
      <c r="I60" s="49">
        <f>H60*195.2</f>
        <v>390.4</v>
      </c>
      <c r="J60" s="8"/>
      <c r="K60" s="6"/>
      <c r="L60" s="6"/>
      <c r="M60" s="6"/>
      <c r="N60" s="6"/>
    </row>
    <row r="61" spans="1:14" ht="17.100000000000001" customHeight="1" x14ac:dyDescent="0.25">
      <c r="A61" s="308"/>
      <c r="B61" s="10" t="s">
        <v>336</v>
      </c>
      <c r="C61" s="12"/>
      <c r="D61" s="10" t="s">
        <v>357</v>
      </c>
      <c r="E61" s="12"/>
      <c r="F61" s="10" t="s">
        <v>194</v>
      </c>
      <c r="G61" s="12"/>
      <c r="H61" s="49">
        <v>6</v>
      </c>
      <c r="I61" s="49">
        <f>H61*28</f>
        <v>168</v>
      </c>
      <c r="J61" s="8"/>
      <c r="K61" s="6"/>
      <c r="L61" s="6"/>
      <c r="M61" s="6"/>
      <c r="N61" s="6"/>
    </row>
    <row r="62" spans="1:14" ht="17.100000000000001" customHeight="1" x14ac:dyDescent="0.25">
      <c r="A62" s="308"/>
      <c r="B62" s="10" t="s">
        <v>336</v>
      </c>
      <c r="C62" s="12"/>
      <c r="D62" s="10" t="s">
        <v>358</v>
      </c>
      <c r="E62" s="12"/>
      <c r="F62" s="10" t="s">
        <v>194</v>
      </c>
      <c r="G62" s="12"/>
      <c r="H62" s="49">
        <v>1</v>
      </c>
      <c r="I62" s="49">
        <f>H62*998.8</f>
        <v>998.8</v>
      </c>
      <c r="J62" s="8"/>
      <c r="K62" s="6"/>
      <c r="L62" s="6"/>
      <c r="M62" s="6"/>
      <c r="N62" s="6"/>
    </row>
    <row r="63" spans="1:14" ht="17.100000000000001" customHeight="1" x14ac:dyDescent="0.25">
      <c r="A63" s="308"/>
      <c r="B63" s="10" t="s">
        <v>336</v>
      </c>
      <c r="C63" s="12"/>
      <c r="D63" s="10" t="s">
        <v>359</v>
      </c>
      <c r="E63" s="12"/>
      <c r="F63" s="10" t="s">
        <v>194</v>
      </c>
      <c r="G63" s="12"/>
      <c r="H63" s="49">
        <v>1</v>
      </c>
      <c r="I63" s="49">
        <f>H63*621.4</f>
        <v>621.4</v>
      </c>
      <c r="J63" s="8"/>
      <c r="K63" s="6"/>
      <c r="L63" s="6"/>
      <c r="M63" s="6"/>
      <c r="N63" s="6"/>
    </row>
    <row r="64" spans="1:14" ht="17.100000000000001" customHeight="1" x14ac:dyDescent="0.25">
      <c r="A64" s="308"/>
      <c r="B64" s="10" t="s">
        <v>336</v>
      </c>
      <c r="C64" s="12"/>
      <c r="D64" s="10" t="s">
        <v>360</v>
      </c>
      <c r="E64" s="12"/>
      <c r="F64" s="10" t="s">
        <v>194</v>
      </c>
      <c r="G64" s="12"/>
      <c r="H64" s="49">
        <v>1</v>
      </c>
      <c r="I64" s="49">
        <f>H64*878.5</f>
        <v>878.5</v>
      </c>
      <c r="J64" s="8"/>
      <c r="K64" s="6"/>
      <c r="L64" s="6"/>
      <c r="M64" s="6"/>
      <c r="N64" s="6"/>
    </row>
    <row r="65" spans="1:14" ht="17.100000000000001" customHeight="1" x14ac:dyDescent="0.25">
      <c r="A65" s="308"/>
      <c r="B65" s="10" t="s">
        <v>336</v>
      </c>
      <c r="C65" s="12"/>
      <c r="D65" s="10" t="s">
        <v>361</v>
      </c>
      <c r="E65" s="12"/>
      <c r="F65" s="10" t="s">
        <v>194</v>
      </c>
      <c r="G65" s="12"/>
      <c r="H65" s="49">
        <v>7</v>
      </c>
      <c r="I65" s="49">
        <f>H65*310.6</f>
        <v>2174.2000000000003</v>
      </c>
      <c r="J65" s="8"/>
      <c r="K65" s="6"/>
      <c r="L65" s="6"/>
      <c r="M65" s="6"/>
      <c r="N65" s="6"/>
    </row>
    <row r="66" spans="1:14" ht="17.100000000000001" customHeight="1" x14ac:dyDescent="0.25">
      <c r="A66" s="308"/>
      <c r="B66" s="10" t="s">
        <v>336</v>
      </c>
      <c r="C66" s="12"/>
      <c r="D66" s="10" t="s">
        <v>362</v>
      </c>
      <c r="E66" s="12"/>
      <c r="F66" s="10" t="s">
        <v>194</v>
      </c>
      <c r="G66" s="12"/>
      <c r="H66" s="49">
        <v>6</v>
      </c>
      <c r="I66" s="49">
        <f>H66*75308</f>
        <v>451848</v>
      </c>
      <c r="J66" s="8"/>
      <c r="K66" s="6"/>
      <c r="L66" s="6"/>
      <c r="M66" s="6"/>
      <c r="N66" s="6"/>
    </row>
    <row r="67" spans="1:14" ht="17.100000000000001" customHeight="1" x14ac:dyDescent="0.25">
      <c r="A67" s="308"/>
      <c r="B67" s="10" t="s">
        <v>336</v>
      </c>
      <c r="C67" s="12"/>
      <c r="D67" s="10" t="s">
        <v>363</v>
      </c>
      <c r="E67" s="12"/>
      <c r="F67" s="10" t="s">
        <v>194</v>
      </c>
      <c r="G67" s="12"/>
      <c r="H67" s="49">
        <v>6</v>
      </c>
      <c r="I67" s="49">
        <f>H67*36.4</f>
        <v>218.39999999999998</v>
      </c>
      <c r="J67" s="8"/>
      <c r="K67" s="6"/>
      <c r="L67" s="6"/>
      <c r="M67" s="6"/>
      <c r="N67" s="6"/>
    </row>
    <row r="68" spans="1:14" ht="17.100000000000001" customHeight="1" x14ac:dyDescent="0.25">
      <c r="A68" s="308"/>
      <c r="B68" s="10" t="s">
        <v>336</v>
      </c>
      <c r="C68" s="12"/>
      <c r="D68" s="10" t="s">
        <v>364</v>
      </c>
      <c r="E68" s="12"/>
      <c r="F68" s="10" t="s">
        <v>194</v>
      </c>
      <c r="G68" s="12"/>
      <c r="H68" s="49">
        <v>71</v>
      </c>
      <c r="I68" s="49">
        <f>H68*104.7</f>
        <v>7433.7</v>
      </c>
      <c r="J68" s="8"/>
      <c r="K68" s="6"/>
      <c r="L68" s="6"/>
      <c r="M68" s="6"/>
      <c r="N68" s="6"/>
    </row>
    <row r="69" spans="1:14" ht="17.100000000000001" customHeight="1" x14ac:dyDescent="0.25">
      <c r="A69" s="308"/>
      <c r="B69" s="10" t="s">
        <v>336</v>
      </c>
      <c r="C69" s="12"/>
      <c r="D69" s="10" t="s">
        <v>365</v>
      </c>
      <c r="E69" s="12"/>
      <c r="F69" s="10" t="s">
        <v>194</v>
      </c>
      <c r="G69" s="12"/>
      <c r="H69" s="49">
        <v>3</v>
      </c>
      <c r="I69" s="49">
        <f>346.6*H69</f>
        <v>1039.8000000000002</v>
      </c>
      <c r="J69" s="8"/>
      <c r="K69" s="6"/>
      <c r="L69" s="6"/>
      <c r="M69" s="6"/>
      <c r="N69" s="6"/>
    </row>
    <row r="70" spans="1:14" ht="17.100000000000001" customHeight="1" x14ac:dyDescent="0.25">
      <c r="A70" s="308"/>
      <c r="B70" s="10" t="s">
        <v>336</v>
      </c>
      <c r="C70" s="12"/>
      <c r="D70" s="10" t="s">
        <v>366</v>
      </c>
      <c r="E70" s="12"/>
      <c r="F70" s="10" t="s">
        <v>194</v>
      </c>
      <c r="G70" s="12"/>
      <c r="H70" s="49">
        <v>4</v>
      </c>
      <c r="I70" s="49">
        <f>H70*136.4</f>
        <v>545.6</v>
      </c>
      <c r="J70" s="8"/>
      <c r="K70" s="6"/>
      <c r="L70" s="6"/>
      <c r="M70" s="6"/>
      <c r="N70" s="6"/>
    </row>
    <row r="71" spans="1:14" ht="17.100000000000001" customHeight="1" x14ac:dyDescent="0.25">
      <c r="A71" s="308"/>
      <c r="B71" s="10" t="s">
        <v>336</v>
      </c>
      <c r="C71" s="12"/>
      <c r="D71" s="10" t="s">
        <v>367</v>
      </c>
      <c r="E71" s="12"/>
      <c r="F71" s="10" t="s">
        <v>194</v>
      </c>
      <c r="G71" s="12"/>
      <c r="H71" s="49">
        <v>2</v>
      </c>
      <c r="I71" s="49">
        <f>H71*1032.6</f>
        <v>2065.1999999999998</v>
      </c>
      <c r="J71" s="8"/>
      <c r="K71" s="6"/>
      <c r="L71" s="6"/>
      <c r="M71" s="6"/>
      <c r="N71" s="6"/>
    </row>
    <row r="72" spans="1:14" ht="17.100000000000001" customHeight="1" x14ac:dyDescent="0.25">
      <c r="A72" s="308"/>
      <c r="B72" s="10" t="s">
        <v>336</v>
      </c>
      <c r="C72" s="12"/>
      <c r="D72" s="10" t="s">
        <v>368</v>
      </c>
      <c r="E72" s="12"/>
      <c r="F72" s="10" t="s">
        <v>194</v>
      </c>
      <c r="G72" s="12"/>
      <c r="H72" s="49">
        <v>4</v>
      </c>
      <c r="I72" s="49">
        <f>H73*55.8</f>
        <v>55.8</v>
      </c>
      <c r="J72" s="8"/>
      <c r="K72" s="6"/>
      <c r="L72" s="6"/>
      <c r="M72" s="6"/>
      <c r="N72" s="6"/>
    </row>
    <row r="73" spans="1:14" ht="17.100000000000001" customHeight="1" x14ac:dyDescent="0.25">
      <c r="A73" s="308"/>
      <c r="B73" s="10" t="s">
        <v>336</v>
      </c>
      <c r="C73" s="12"/>
      <c r="D73" s="10" t="s">
        <v>369</v>
      </c>
      <c r="E73" s="12"/>
      <c r="F73" s="10" t="s">
        <v>194</v>
      </c>
      <c r="G73" s="12"/>
      <c r="H73" s="49">
        <v>1</v>
      </c>
      <c r="I73" s="49">
        <f>H73*894.4</f>
        <v>894.4</v>
      </c>
      <c r="J73" s="8"/>
      <c r="K73" s="6"/>
      <c r="L73" s="6"/>
      <c r="M73" s="6"/>
      <c r="N73" s="6"/>
    </row>
    <row r="74" spans="1:14" ht="17.100000000000001" customHeight="1" x14ac:dyDescent="0.25">
      <c r="A74" s="308"/>
      <c r="B74" s="10" t="s">
        <v>336</v>
      </c>
      <c r="C74" s="12"/>
      <c r="D74" s="10" t="s">
        <v>370</v>
      </c>
      <c r="E74" s="12"/>
      <c r="F74" s="10" t="s">
        <v>194</v>
      </c>
      <c r="G74" s="12"/>
      <c r="H74" s="49">
        <v>1</v>
      </c>
      <c r="I74" s="49">
        <f>H74*1014.2</f>
        <v>1014.2</v>
      </c>
      <c r="J74" s="8"/>
      <c r="K74" s="6"/>
      <c r="L74" s="6"/>
      <c r="M74" s="6"/>
      <c r="N74" s="6"/>
    </row>
    <row r="75" spans="1:14" ht="17.100000000000001" customHeight="1" x14ac:dyDescent="0.25">
      <c r="A75" s="308"/>
      <c r="B75" s="10" t="s">
        <v>336</v>
      </c>
      <c r="C75" s="12"/>
      <c r="D75" s="10" t="s">
        <v>371</v>
      </c>
      <c r="E75" s="12"/>
      <c r="F75" s="10" t="s">
        <v>194</v>
      </c>
      <c r="G75" s="12"/>
      <c r="H75" s="49">
        <v>1</v>
      </c>
      <c r="I75" s="49">
        <f>H75*894.6</f>
        <v>894.6</v>
      </c>
      <c r="J75" s="8"/>
      <c r="K75" s="6"/>
      <c r="L75" s="6"/>
      <c r="M75" s="6"/>
      <c r="N75" s="6"/>
    </row>
    <row r="76" spans="1:14" ht="17.100000000000001" customHeight="1" x14ac:dyDescent="0.25">
      <c r="A76" s="308"/>
      <c r="B76" s="10" t="s">
        <v>336</v>
      </c>
      <c r="C76" s="12"/>
      <c r="D76" s="10" t="s">
        <v>372</v>
      </c>
      <c r="E76" s="12"/>
      <c r="F76" s="10" t="s">
        <v>194</v>
      </c>
      <c r="G76" s="12"/>
      <c r="H76" s="49">
        <v>4</v>
      </c>
      <c r="I76" s="49">
        <f>H76*714.4</f>
        <v>2857.6</v>
      </c>
      <c r="J76" s="8"/>
      <c r="K76" s="6"/>
      <c r="L76" s="6"/>
      <c r="M76" s="6"/>
      <c r="N76" s="6"/>
    </row>
    <row r="77" spans="1:14" ht="17.100000000000001" customHeight="1" x14ac:dyDescent="0.25">
      <c r="A77" s="308"/>
      <c r="B77" s="10" t="s">
        <v>336</v>
      </c>
      <c r="C77" s="12"/>
      <c r="D77" s="10" t="s">
        <v>373</v>
      </c>
      <c r="E77" s="12"/>
      <c r="F77" s="10" t="s">
        <v>194</v>
      </c>
      <c r="G77" s="12"/>
      <c r="H77" s="49">
        <v>4</v>
      </c>
      <c r="I77" s="49">
        <f>H77*155.2</f>
        <v>620.79999999999995</v>
      </c>
      <c r="J77" s="8"/>
      <c r="K77" s="6"/>
      <c r="L77" s="6"/>
      <c r="M77" s="6"/>
      <c r="N77" s="6"/>
    </row>
    <row r="78" spans="1:14" ht="17.100000000000001" customHeight="1" x14ac:dyDescent="0.25">
      <c r="A78" s="308"/>
      <c r="B78" s="10" t="s">
        <v>336</v>
      </c>
      <c r="C78" s="12"/>
      <c r="D78" s="10" t="s">
        <v>374</v>
      </c>
      <c r="E78" s="12"/>
      <c r="F78" s="10" t="s">
        <v>194</v>
      </c>
      <c r="G78" s="12"/>
      <c r="H78" s="49">
        <v>2</v>
      </c>
      <c r="I78" s="49">
        <f>H78*61.3</f>
        <v>122.6</v>
      </c>
      <c r="J78" s="8"/>
      <c r="K78" s="6"/>
      <c r="L78" s="6"/>
      <c r="M78" s="6"/>
      <c r="N78" s="6"/>
    </row>
    <row r="79" spans="1:14" ht="17.100000000000001" customHeight="1" x14ac:dyDescent="0.25">
      <c r="A79" s="308"/>
      <c r="B79" s="10" t="s">
        <v>336</v>
      </c>
      <c r="C79" s="12"/>
      <c r="D79" s="10" t="s">
        <v>375</v>
      </c>
      <c r="E79" s="12"/>
      <c r="F79" s="10" t="s">
        <v>194</v>
      </c>
      <c r="G79" s="12"/>
      <c r="H79" s="49">
        <v>8</v>
      </c>
      <c r="I79" s="49">
        <f>H79*75.8</f>
        <v>606.4</v>
      </c>
      <c r="J79" s="8"/>
      <c r="K79" s="6"/>
      <c r="L79" s="6"/>
      <c r="M79" s="6"/>
      <c r="N79" s="6"/>
    </row>
    <row r="80" spans="1:14" ht="17.100000000000001" customHeight="1" x14ac:dyDescent="0.25">
      <c r="A80" s="308"/>
      <c r="B80" s="10" t="s">
        <v>336</v>
      </c>
      <c r="C80" s="12"/>
      <c r="D80" s="10" t="s">
        <v>376</v>
      </c>
      <c r="E80" s="12"/>
      <c r="F80" s="10" t="s">
        <v>194</v>
      </c>
      <c r="G80" s="12"/>
      <c r="H80" s="49">
        <v>1</v>
      </c>
      <c r="I80" s="49">
        <f>H80*155.2</f>
        <v>155.19999999999999</v>
      </c>
      <c r="J80" s="8"/>
      <c r="K80" s="6"/>
      <c r="L80" s="6"/>
      <c r="M80" s="6"/>
      <c r="N80" s="6"/>
    </row>
    <row r="81" spans="1:14" ht="17.100000000000001" customHeight="1" x14ac:dyDescent="0.25">
      <c r="A81" s="308"/>
      <c r="B81" s="10" t="s">
        <v>336</v>
      </c>
      <c r="C81" s="12"/>
      <c r="D81" s="10" t="s">
        <v>377</v>
      </c>
      <c r="E81" s="12"/>
      <c r="F81" s="10" t="s">
        <v>194</v>
      </c>
      <c r="G81" s="12"/>
      <c r="H81" s="49">
        <v>1</v>
      </c>
      <c r="I81" s="49">
        <f>H81*163</f>
        <v>163</v>
      </c>
      <c r="J81" s="8"/>
      <c r="K81" s="6"/>
      <c r="L81" s="6"/>
      <c r="M81" s="6"/>
      <c r="N81" s="6"/>
    </row>
    <row r="82" spans="1:14" ht="17.100000000000001" customHeight="1" x14ac:dyDescent="0.25">
      <c r="A82" s="308"/>
      <c r="B82" s="10" t="s">
        <v>336</v>
      </c>
      <c r="C82" s="12"/>
      <c r="D82" s="10" t="s">
        <v>378</v>
      </c>
      <c r="E82" s="12"/>
      <c r="F82" s="10" t="s">
        <v>194</v>
      </c>
      <c r="G82" s="12"/>
      <c r="H82" s="49">
        <v>4</v>
      </c>
      <c r="I82" s="49">
        <f>H82*167</f>
        <v>668</v>
      </c>
      <c r="J82" s="8"/>
      <c r="K82" s="6"/>
      <c r="L82" s="6"/>
      <c r="M82" s="6"/>
      <c r="N82" s="6"/>
    </row>
    <row r="83" spans="1:14" ht="17.100000000000001" customHeight="1" x14ac:dyDescent="0.25">
      <c r="A83" s="308"/>
      <c r="B83" s="10" t="s">
        <v>336</v>
      </c>
      <c r="C83" s="12"/>
      <c r="D83" s="10" t="s">
        <v>379</v>
      </c>
      <c r="E83" s="12"/>
      <c r="F83" s="10" t="s">
        <v>194</v>
      </c>
      <c r="G83" s="12"/>
      <c r="H83" s="49">
        <v>1</v>
      </c>
      <c r="I83" s="49">
        <f>H83*888.6</f>
        <v>888.6</v>
      </c>
      <c r="J83" s="8"/>
      <c r="K83" s="6"/>
      <c r="L83" s="6"/>
      <c r="M83" s="6"/>
      <c r="N83" s="6"/>
    </row>
    <row r="84" spans="1:14" ht="17.100000000000001" customHeight="1" x14ac:dyDescent="0.25">
      <c r="A84" s="308"/>
      <c r="B84" s="10" t="s">
        <v>336</v>
      </c>
      <c r="C84" s="12"/>
      <c r="D84" s="10" t="s">
        <v>380</v>
      </c>
      <c r="E84" s="12"/>
      <c r="F84" s="10" t="s">
        <v>194</v>
      </c>
      <c r="G84" s="12"/>
      <c r="H84" s="49">
        <v>1</v>
      </c>
      <c r="I84" s="49">
        <f>H84*232.6</f>
        <v>232.6</v>
      </c>
      <c r="J84" s="8"/>
      <c r="K84" s="6"/>
      <c r="L84" s="6"/>
      <c r="M84" s="6"/>
      <c r="N84" s="6"/>
    </row>
    <row r="85" spans="1:14" ht="17.100000000000001" customHeight="1" x14ac:dyDescent="0.25">
      <c r="A85" s="308"/>
      <c r="B85" s="10" t="s">
        <v>336</v>
      </c>
      <c r="C85" s="12"/>
      <c r="D85" s="10" t="s">
        <v>381</v>
      </c>
      <c r="E85" s="12"/>
      <c r="F85" s="10" t="s">
        <v>194</v>
      </c>
      <c r="G85" s="12"/>
      <c r="H85" s="49">
        <v>2</v>
      </c>
      <c r="I85" s="49">
        <f>H85*276.4</f>
        <v>552.79999999999995</v>
      </c>
      <c r="J85" s="8"/>
      <c r="K85" s="6"/>
      <c r="L85" s="6"/>
      <c r="M85" s="6"/>
      <c r="N85" s="6"/>
    </row>
    <row r="86" spans="1:14" ht="17.100000000000001" customHeight="1" x14ac:dyDescent="0.25">
      <c r="A86" s="308"/>
      <c r="B86" s="10" t="s">
        <v>336</v>
      </c>
      <c r="C86" s="12"/>
      <c r="D86" s="10" t="s">
        <v>382</v>
      </c>
      <c r="E86" s="12"/>
      <c r="F86" s="10" t="s">
        <v>194</v>
      </c>
      <c r="G86" s="12"/>
      <c r="H86" s="49">
        <v>3</v>
      </c>
      <c r="I86" s="49">
        <f>H86*413.4</f>
        <v>1240.1999999999998</v>
      </c>
      <c r="J86" s="8"/>
      <c r="K86" s="6"/>
      <c r="L86" s="6"/>
      <c r="M86" s="6"/>
      <c r="N86" s="6"/>
    </row>
    <row r="87" spans="1:14" ht="17.100000000000001" customHeight="1" x14ac:dyDescent="0.25">
      <c r="A87" s="308"/>
      <c r="B87" s="10" t="s">
        <v>336</v>
      </c>
      <c r="C87" s="12"/>
      <c r="D87" s="10" t="s">
        <v>383</v>
      </c>
      <c r="E87" s="12"/>
      <c r="F87" s="10" t="s">
        <v>194</v>
      </c>
      <c r="G87" s="12"/>
      <c r="H87" s="49">
        <v>18</v>
      </c>
      <c r="I87" s="49">
        <f>H87*176.4</f>
        <v>3175.2000000000003</v>
      </c>
      <c r="J87" s="8"/>
      <c r="K87" s="6"/>
      <c r="L87" s="6"/>
      <c r="M87" s="6"/>
      <c r="N87" s="6"/>
    </row>
    <row r="88" spans="1:14" ht="17.100000000000001" customHeight="1" x14ac:dyDescent="0.25">
      <c r="A88" s="308"/>
      <c r="B88" s="10" t="s">
        <v>336</v>
      </c>
      <c r="C88" s="12"/>
      <c r="D88" s="10" t="s">
        <v>384</v>
      </c>
      <c r="E88" s="12"/>
      <c r="F88" s="10" t="s">
        <v>194</v>
      </c>
      <c r="G88" s="12"/>
      <c r="H88" s="49">
        <v>3</v>
      </c>
      <c r="I88" s="49">
        <f>H88*528.4</f>
        <v>1585.1999999999998</v>
      </c>
      <c r="J88" s="8"/>
      <c r="K88" s="6"/>
      <c r="L88" s="6"/>
      <c r="M88" s="6"/>
      <c r="N88" s="6"/>
    </row>
    <row r="89" spans="1:14" ht="17.100000000000001" customHeight="1" x14ac:dyDescent="0.25">
      <c r="A89" s="308"/>
      <c r="B89" s="10" t="s">
        <v>336</v>
      </c>
      <c r="C89" s="12"/>
      <c r="D89" s="10" t="s">
        <v>385</v>
      </c>
      <c r="E89" s="12"/>
      <c r="F89" s="10" t="s">
        <v>194</v>
      </c>
      <c r="G89" s="12"/>
      <c r="H89" s="49">
        <v>4</v>
      </c>
      <c r="I89" s="49">
        <f>H89*853.4</f>
        <v>3413.6</v>
      </c>
      <c r="J89" s="8"/>
      <c r="K89" s="6"/>
      <c r="L89" s="6"/>
      <c r="M89" s="6"/>
      <c r="N89" s="6"/>
    </row>
    <row r="90" spans="1:14" ht="17.100000000000001" customHeight="1" x14ac:dyDescent="0.25">
      <c r="A90" s="308"/>
      <c r="B90" s="10" t="s">
        <v>336</v>
      </c>
      <c r="C90" s="12"/>
      <c r="D90" s="10" t="s">
        <v>386</v>
      </c>
      <c r="E90" s="12"/>
      <c r="F90" s="10" t="s">
        <v>194</v>
      </c>
      <c r="G90" s="12"/>
      <c r="H90" s="49">
        <v>2</v>
      </c>
      <c r="I90" s="49">
        <f>H90*434.4</f>
        <v>868.8</v>
      </c>
      <c r="J90" s="8"/>
      <c r="K90" s="6"/>
      <c r="L90" s="6"/>
      <c r="M90" s="6"/>
      <c r="N90" s="6"/>
    </row>
    <row r="91" spans="1:14" ht="17.100000000000001" customHeight="1" x14ac:dyDescent="0.25">
      <c r="A91" s="308"/>
      <c r="B91" s="10" t="s">
        <v>336</v>
      </c>
      <c r="C91" s="12"/>
      <c r="D91" s="10" t="s">
        <v>387</v>
      </c>
      <c r="E91" s="12"/>
      <c r="F91" s="10" t="s">
        <v>194</v>
      </c>
      <c r="G91" s="12"/>
      <c r="H91" s="49">
        <v>4</v>
      </c>
      <c r="I91" s="49">
        <f>H91*121</f>
        <v>484</v>
      </c>
      <c r="J91" s="8"/>
      <c r="K91" s="6"/>
      <c r="L91" s="6"/>
      <c r="M91" s="6"/>
      <c r="N91" s="6"/>
    </row>
    <row r="92" spans="1:14" ht="17.100000000000001" customHeight="1" x14ac:dyDescent="0.25">
      <c r="A92" s="308"/>
      <c r="B92" s="10" t="s">
        <v>336</v>
      </c>
      <c r="C92" s="12"/>
      <c r="D92" s="10" t="s">
        <v>388</v>
      </c>
      <c r="E92" s="12"/>
      <c r="F92" s="10" t="s">
        <v>194</v>
      </c>
      <c r="G92" s="12"/>
      <c r="H92" s="49">
        <v>3</v>
      </c>
      <c r="I92" s="49">
        <f>H92*882.8</f>
        <v>2648.3999999999996</v>
      </c>
      <c r="J92" s="8"/>
      <c r="K92" s="6"/>
      <c r="L92" s="6"/>
      <c r="M92" s="6"/>
      <c r="N92" s="6"/>
    </row>
    <row r="93" spans="1:14" ht="17.100000000000001" customHeight="1" x14ac:dyDescent="0.25">
      <c r="A93" s="308"/>
      <c r="B93" s="10" t="s">
        <v>336</v>
      </c>
      <c r="C93" s="12"/>
      <c r="D93" s="10" t="s">
        <v>389</v>
      </c>
      <c r="E93" s="12"/>
      <c r="F93" s="10" t="s">
        <v>194</v>
      </c>
      <c r="G93" s="12"/>
      <c r="H93" s="49">
        <v>52</v>
      </c>
      <c r="I93" s="49">
        <f>H93*169.4</f>
        <v>8808.8000000000011</v>
      </c>
      <c r="J93" s="8"/>
      <c r="K93" s="6"/>
      <c r="L93" s="6"/>
      <c r="M93" s="6"/>
      <c r="N93" s="6"/>
    </row>
    <row r="94" spans="1:14" ht="17.100000000000001" customHeight="1" x14ac:dyDescent="0.25">
      <c r="A94" s="308"/>
      <c r="B94" s="10" t="s">
        <v>336</v>
      </c>
      <c r="C94" s="12"/>
      <c r="D94" s="10" t="s">
        <v>390</v>
      </c>
      <c r="E94" s="12"/>
      <c r="F94" s="10" t="s">
        <v>194</v>
      </c>
      <c r="G94" s="12"/>
      <c r="H94" s="49">
        <v>1</v>
      </c>
      <c r="I94" s="11">
        <v>606.1</v>
      </c>
      <c r="J94" s="8"/>
      <c r="K94" s="6"/>
      <c r="L94" s="6"/>
      <c r="M94" s="6"/>
      <c r="N94" s="6"/>
    </row>
    <row r="95" spans="1:14" ht="17.100000000000001" customHeight="1" x14ac:dyDescent="0.25">
      <c r="A95" s="308"/>
      <c r="B95" s="10" t="s">
        <v>336</v>
      </c>
      <c r="C95" s="12"/>
      <c r="D95" s="10" t="s">
        <v>391</v>
      </c>
      <c r="E95" s="12"/>
      <c r="F95" s="10" t="s">
        <v>194</v>
      </c>
      <c r="G95" s="12"/>
      <c r="H95" s="49">
        <v>10</v>
      </c>
      <c r="I95" s="49">
        <f>H95*94</f>
        <v>940</v>
      </c>
      <c r="J95" s="8"/>
      <c r="K95" s="6"/>
      <c r="L95" s="6"/>
      <c r="M95" s="6"/>
      <c r="N95" s="6"/>
    </row>
    <row r="96" spans="1:14" ht="17.100000000000001" customHeight="1" x14ac:dyDescent="0.25">
      <c r="A96" s="308"/>
      <c r="B96" s="10" t="s">
        <v>336</v>
      </c>
      <c r="C96" s="12"/>
      <c r="D96" s="10" t="s">
        <v>392</v>
      </c>
      <c r="E96" s="12"/>
      <c r="F96" s="10" t="s">
        <v>194</v>
      </c>
      <c r="G96" s="12"/>
      <c r="H96" s="49">
        <v>1</v>
      </c>
      <c r="I96" s="49">
        <f>H96*50.9</f>
        <v>50.9</v>
      </c>
      <c r="J96" s="8"/>
      <c r="K96" s="6"/>
      <c r="L96" s="6"/>
      <c r="M96" s="6"/>
      <c r="N96" s="6"/>
    </row>
    <row r="97" spans="1:14" ht="17.100000000000001" customHeight="1" x14ac:dyDescent="0.25">
      <c r="A97" s="308"/>
      <c r="B97" s="10" t="s">
        <v>393</v>
      </c>
      <c r="C97" s="12"/>
      <c r="D97" s="10" t="s">
        <v>336</v>
      </c>
      <c r="E97" s="12"/>
      <c r="F97" s="10" t="s">
        <v>194</v>
      </c>
      <c r="G97" s="12"/>
      <c r="H97" s="49">
        <v>1</v>
      </c>
      <c r="I97" s="11">
        <v>760.2</v>
      </c>
      <c r="J97" s="8"/>
      <c r="K97" s="6"/>
      <c r="L97" s="6"/>
      <c r="M97" s="6"/>
      <c r="N97" s="6"/>
    </row>
    <row r="98" spans="1:14" ht="17.100000000000001" customHeight="1" x14ac:dyDescent="0.25">
      <c r="A98" s="308"/>
      <c r="B98" s="10" t="s">
        <v>344</v>
      </c>
      <c r="C98" s="12"/>
      <c r="D98" s="10" t="s">
        <v>336</v>
      </c>
      <c r="E98" s="12"/>
      <c r="F98" s="10" t="s">
        <v>194</v>
      </c>
      <c r="G98" s="12"/>
      <c r="H98" s="49">
        <v>9</v>
      </c>
      <c r="I98" s="49">
        <f>99.9*H98</f>
        <v>899.1</v>
      </c>
      <c r="J98" s="8"/>
      <c r="K98" s="6"/>
      <c r="L98" s="6"/>
      <c r="M98" s="6"/>
      <c r="N98" s="6"/>
    </row>
    <row r="99" spans="1:14" ht="17.100000000000001" customHeight="1" x14ac:dyDescent="0.25">
      <c r="A99" s="308"/>
      <c r="B99" s="10" t="s">
        <v>345</v>
      </c>
      <c r="C99" s="12"/>
      <c r="D99" s="10" t="s">
        <v>336</v>
      </c>
      <c r="E99" s="12"/>
      <c r="F99" s="10" t="s">
        <v>194</v>
      </c>
      <c r="G99" s="12"/>
      <c r="H99" s="49">
        <v>4</v>
      </c>
      <c r="I99" s="49">
        <f>615.8*H99</f>
        <v>2463.1999999999998</v>
      </c>
      <c r="J99" s="8"/>
      <c r="K99" s="6"/>
      <c r="L99" s="6"/>
      <c r="M99" s="6"/>
      <c r="N99" s="6"/>
    </row>
    <row r="100" spans="1:14" ht="17.100000000000001" customHeight="1" x14ac:dyDescent="0.25">
      <c r="A100" s="308"/>
      <c r="B100" s="10" t="s">
        <v>346</v>
      </c>
      <c r="C100" s="12"/>
      <c r="D100" s="10" t="s">
        <v>336</v>
      </c>
      <c r="E100" s="12"/>
      <c r="F100" s="10" t="s">
        <v>194</v>
      </c>
      <c r="G100" s="12"/>
      <c r="H100" s="49">
        <v>4</v>
      </c>
      <c r="I100" s="49">
        <f>89.9*H100</f>
        <v>359.6</v>
      </c>
      <c r="J100" s="8"/>
      <c r="K100" s="6"/>
      <c r="L100" s="6"/>
      <c r="M100" s="6"/>
      <c r="N100" s="6"/>
    </row>
    <row r="101" spans="1:14" ht="17.100000000000001" customHeight="1" x14ac:dyDescent="0.25">
      <c r="A101" s="308"/>
      <c r="B101" s="10" t="s">
        <v>347</v>
      </c>
      <c r="C101" s="12"/>
      <c r="D101" s="10" t="s">
        <v>336</v>
      </c>
      <c r="E101" s="12"/>
      <c r="F101" s="10" t="s">
        <v>194</v>
      </c>
      <c r="G101" s="12"/>
      <c r="H101" s="49">
        <v>1</v>
      </c>
      <c r="I101" s="49">
        <f>157.4*H101</f>
        <v>157.4</v>
      </c>
      <c r="J101" s="8"/>
      <c r="K101" s="6"/>
      <c r="L101" s="6"/>
      <c r="M101" s="6"/>
      <c r="N101" s="6"/>
    </row>
    <row r="102" spans="1:14" ht="17.100000000000001" customHeight="1" x14ac:dyDescent="0.25">
      <c r="A102" s="308"/>
      <c r="B102" s="10" t="s">
        <v>394</v>
      </c>
      <c r="C102" s="12"/>
      <c r="D102" s="10" t="s">
        <v>336</v>
      </c>
      <c r="E102" s="12"/>
      <c r="F102" s="10" t="s">
        <v>194</v>
      </c>
      <c r="G102" s="12"/>
      <c r="H102" s="49">
        <v>1</v>
      </c>
      <c r="I102" s="11">
        <v>805.4</v>
      </c>
      <c r="J102" s="8"/>
      <c r="K102" s="6"/>
      <c r="L102" s="6"/>
      <c r="M102" s="6"/>
      <c r="N102" s="6"/>
    </row>
    <row r="103" spans="1:14" ht="17.100000000000001" customHeight="1" x14ac:dyDescent="0.25">
      <c r="A103" s="308"/>
      <c r="B103" s="10" t="s">
        <v>348</v>
      </c>
      <c r="C103" s="12"/>
      <c r="D103" s="10" t="s">
        <v>336</v>
      </c>
      <c r="E103" s="12"/>
      <c r="F103" s="10" t="s">
        <v>194</v>
      </c>
      <c r="G103" s="12"/>
      <c r="H103" s="49">
        <v>2</v>
      </c>
      <c r="I103" s="49">
        <f>465.4*H103</f>
        <v>930.8</v>
      </c>
      <c r="J103" s="8"/>
      <c r="K103" s="6"/>
      <c r="L103" s="6"/>
      <c r="M103" s="6"/>
      <c r="N103" s="6"/>
    </row>
    <row r="104" spans="1:14" ht="17.100000000000001" customHeight="1" x14ac:dyDescent="0.25">
      <c r="A104" s="308"/>
      <c r="B104" s="10" t="s">
        <v>351</v>
      </c>
      <c r="C104" s="12"/>
      <c r="D104" s="10" t="s">
        <v>336</v>
      </c>
      <c r="E104" s="12"/>
      <c r="F104" s="10" t="s">
        <v>194</v>
      </c>
      <c r="G104" s="12"/>
      <c r="H104" s="49">
        <v>1</v>
      </c>
      <c r="I104" s="49">
        <f>121.2*H104</f>
        <v>121.2</v>
      </c>
      <c r="J104" s="8"/>
      <c r="K104" s="6"/>
      <c r="L104" s="6"/>
      <c r="M104" s="6"/>
      <c r="N104" s="6"/>
    </row>
    <row r="105" spans="1:14" ht="17.100000000000001" customHeight="1" x14ac:dyDescent="0.25">
      <c r="A105" s="308"/>
      <c r="B105" s="10" t="s">
        <v>395</v>
      </c>
      <c r="C105" s="12"/>
      <c r="D105" s="10" t="s">
        <v>336</v>
      </c>
      <c r="E105" s="12"/>
      <c r="F105" s="10" t="s">
        <v>194</v>
      </c>
      <c r="G105" s="12"/>
      <c r="H105" s="49">
        <v>1</v>
      </c>
      <c r="I105" s="49">
        <f>H105*784.4</f>
        <v>784.4</v>
      </c>
      <c r="J105" s="8"/>
      <c r="K105" s="6"/>
      <c r="L105" s="6"/>
      <c r="M105" s="6"/>
      <c r="N105" s="6"/>
    </row>
    <row r="106" spans="1:14" ht="17.100000000000001" customHeight="1" x14ac:dyDescent="0.25">
      <c r="A106" s="308"/>
      <c r="B106" s="10" t="s">
        <v>396</v>
      </c>
      <c r="C106" s="12"/>
      <c r="D106" s="10" t="s">
        <v>336</v>
      </c>
      <c r="E106" s="12"/>
      <c r="F106" s="10" t="s">
        <v>194</v>
      </c>
      <c r="G106" s="12"/>
      <c r="H106" s="49">
        <v>1</v>
      </c>
      <c r="I106" s="49">
        <f>H106*75308</f>
        <v>75308</v>
      </c>
      <c r="J106" s="8"/>
      <c r="K106" s="6"/>
      <c r="L106" s="6"/>
      <c r="M106" s="6"/>
      <c r="N106" s="6"/>
    </row>
    <row r="107" spans="1:14" ht="17.100000000000001" customHeight="1" x14ac:dyDescent="0.25">
      <c r="A107" s="308"/>
      <c r="B107" s="10" t="s">
        <v>397</v>
      </c>
      <c r="C107" s="12"/>
      <c r="D107" s="10" t="s">
        <v>336</v>
      </c>
      <c r="E107" s="12"/>
      <c r="F107" s="10" t="s">
        <v>194</v>
      </c>
      <c r="G107" s="12"/>
      <c r="H107" s="49">
        <v>1</v>
      </c>
      <c r="I107" s="11">
        <v>786.4</v>
      </c>
      <c r="J107" s="8"/>
      <c r="K107" s="6"/>
      <c r="L107" s="6"/>
      <c r="M107" s="6"/>
      <c r="N107" s="6"/>
    </row>
    <row r="108" spans="1:14" ht="17.100000000000001" customHeight="1" x14ac:dyDescent="0.25">
      <c r="A108" s="308"/>
      <c r="B108" s="10" t="s">
        <v>398</v>
      </c>
      <c r="C108" s="12"/>
      <c r="D108" s="10" t="s">
        <v>336</v>
      </c>
      <c r="E108" s="12"/>
      <c r="F108" s="10" t="s">
        <v>194</v>
      </c>
      <c r="G108" s="12"/>
      <c r="H108" s="49">
        <v>2</v>
      </c>
      <c r="I108" s="49">
        <f>422.6*H108</f>
        <v>845.2</v>
      </c>
      <c r="J108" s="8"/>
      <c r="K108" s="6"/>
      <c r="L108" s="6"/>
      <c r="M108" s="6"/>
      <c r="N108" s="6"/>
    </row>
    <row r="109" spans="1:14" ht="17.100000000000001" customHeight="1" x14ac:dyDescent="0.25">
      <c r="A109" s="308"/>
      <c r="B109" s="10" t="s">
        <v>399</v>
      </c>
      <c r="C109" s="12"/>
      <c r="D109" s="10" t="s">
        <v>336</v>
      </c>
      <c r="E109" s="12"/>
      <c r="F109" s="10" t="s">
        <v>194</v>
      </c>
      <c r="G109" s="12"/>
      <c r="H109" s="49">
        <v>1</v>
      </c>
      <c r="I109" s="11">
        <v>380.4</v>
      </c>
      <c r="J109" s="8"/>
      <c r="K109" s="6"/>
      <c r="L109" s="6"/>
      <c r="M109" s="6"/>
      <c r="N109" s="6"/>
    </row>
    <row r="110" spans="1:14" ht="17.100000000000001" customHeight="1" x14ac:dyDescent="0.25">
      <c r="A110" s="308"/>
      <c r="B110" s="10" t="s">
        <v>362</v>
      </c>
      <c r="C110" s="12"/>
      <c r="D110" s="10" t="s">
        <v>336</v>
      </c>
      <c r="E110" s="12"/>
      <c r="F110" s="10" t="s">
        <v>194</v>
      </c>
      <c r="G110" s="12"/>
      <c r="H110" s="49">
        <v>6</v>
      </c>
      <c r="I110" s="49">
        <f>H110*753.8</f>
        <v>4522.7999999999993</v>
      </c>
      <c r="J110" s="8"/>
      <c r="K110" s="6"/>
      <c r="L110" s="6"/>
      <c r="M110" s="6"/>
      <c r="N110" s="6"/>
    </row>
    <row r="111" spans="1:14" ht="17.100000000000001" customHeight="1" x14ac:dyDescent="0.25">
      <c r="A111" s="308"/>
      <c r="B111" s="10" t="s">
        <v>363</v>
      </c>
      <c r="C111" s="12"/>
      <c r="D111" s="10" t="s">
        <v>336</v>
      </c>
      <c r="E111" s="12"/>
      <c r="F111" s="10" t="s">
        <v>194</v>
      </c>
      <c r="G111" s="12"/>
      <c r="H111" s="49">
        <v>1</v>
      </c>
      <c r="I111" s="49">
        <f>H111*36.4</f>
        <v>36.4</v>
      </c>
      <c r="J111" s="8"/>
      <c r="K111" s="6"/>
      <c r="L111" s="6"/>
      <c r="M111" s="6"/>
      <c r="N111" s="6"/>
    </row>
    <row r="112" spans="1:14" ht="17.100000000000001" customHeight="1" x14ac:dyDescent="0.25">
      <c r="A112" s="308"/>
      <c r="B112" s="10" t="s">
        <v>364</v>
      </c>
      <c r="C112" s="12"/>
      <c r="D112" s="10" t="s">
        <v>336</v>
      </c>
      <c r="E112" s="12"/>
      <c r="F112" s="10" t="s">
        <v>194</v>
      </c>
      <c r="G112" s="12"/>
      <c r="H112" s="49">
        <v>15</v>
      </c>
      <c r="I112" s="49">
        <f>H112*104.7</f>
        <v>1570.5</v>
      </c>
      <c r="J112" s="8"/>
      <c r="K112" s="6"/>
      <c r="L112" s="6"/>
      <c r="M112" s="6"/>
      <c r="N112" s="6"/>
    </row>
    <row r="113" spans="1:14" ht="17.100000000000001" customHeight="1" x14ac:dyDescent="0.25">
      <c r="A113" s="308"/>
      <c r="B113" s="10" t="s">
        <v>365</v>
      </c>
      <c r="C113" s="12"/>
      <c r="D113" s="10" t="s">
        <v>336</v>
      </c>
      <c r="E113" s="12"/>
      <c r="F113" s="10" t="s">
        <v>194</v>
      </c>
      <c r="G113" s="12"/>
      <c r="H113" s="49">
        <v>1</v>
      </c>
      <c r="I113" s="49">
        <f>346.6*H113</f>
        <v>346.6</v>
      </c>
      <c r="J113" s="8"/>
      <c r="K113" s="6"/>
      <c r="L113" s="6"/>
      <c r="M113" s="6"/>
      <c r="N113" s="6"/>
    </row>
    <row r="114" spans="1:14" ht="17.100000000000001" customHeight="1" x14ac:dyDescent="0.25">
      <c r="A114" s="308"/>
      <c r="B114" s="10" t="s">
        <v>400</v>
      </c>
      <c r="C114" s="12"/>
      <c r="D114" s="10" t="s">
        <v>336</v>
      </c>
      <c r="E114" s="12"/>
      <c r="F114" s="10" t="s">
        <v>194</v>
      </c>
      <c r="G114" s="12"/>
      <c r="H114" s="49">
        <v>2</v>
      </c>
      <c r="I114" s="49">
        <f>H114*718.8</f>
        <v>1437.6</v>
      </c>
      <c r="J114" s="8"/>
      <c r="K114" s="6"/>
      <c r="L114" s="6"/>
      <c r="M114" s="6"/>
      <c r="N114" s="6"/>
    </row>
    <row r="115" spans="1:14" ht="17.100000000000001" customHeight="1" x14ac:dyDescent="0.25">
      <c r="A115" s="308"/>
      <c r="B115" s="10" t="s">
        <v>367</v>
      </c>
      <c r="C115" s="12"/>
      <c r="D115" s="10" t="s">
        <v>336</v>
      </c>
      <c r="E115" s="12"/>
      <c r="F115" s="10" t="s">
        <v>194</v>
      </c>
      <c r="G115" s="12"/>
      <c r="H115" s="49">
        <v>1</v>
      </c>
      <c r="I115" s="49">
        <f>H115*1032.6</f>
        <v>1032.5999999999999</v>
      </c>
      <c r="J115" s="8"/>
      <c r="K115" s="6"/>
      <c r="L115" s="6"/>
      <c r="M115" s="6"/>
      <c r="N115" s="6"/>
    </row>
    <row r="116" spans="1:14" ht="17.100000000000001" customHeight="1" x14ac:dyDescent="0.25">
      <c r="A116" s="308"/>
      <c r="B116" s="10" t="s">
        <v>401</v>
      </c>
      <c r="C116" s="12"/>
      <c r="D116" s="10" t="s">
        <v>336</v>
      </c>
      <c r="E116" s="12"/>
      <c r="F116" s="10" t="s">
        <v>194</v>
      </c>
      <c r="G116" s="12"/>
      <c r="H116" s="49">
        <v>1</v>
      </c>
      <c r="I116" s="11">
        <v>1004.4</v>
      </c>
      <c r="J116" s="8"/>
      <c r="K116" s="6"/>
      <c r="L116" s="6"/>
      <c r="M116" s="6"/>
      <c r="N116" s="6"/>
    </row>
    <row r="117" spans="1:14" ht="17.100000000000001" customHeight="1" x14ac:dyDescent="0.25">
      <c r="A117" s="308"/>
      <c r="B117" s="10" t="s">
        <v>402</v>
      </c>
      <c r="C117" s="12"/>
      <c r="D117" s="10" t="s">
        <v>336</v>
      </c>
      <c r="E117" s="12"/>
      <c r="F117" s="10" t="s">
        <v>194</v>
      </c>
      <c r="G117" s="12"/>
      <c r="H117" s="49">
        <v>1</v>
      </c>
      <c r="I117" s="11">
        <v>507.8</v>
      </c>
      <c r="J117" s="8"/>
      <c r="K117" s="6"/>
      <c r="L117" s="6"/>
      <c r="M117" s="6"/>
      <c r="N117" s="6"/>
    </row>
    <row r="118" spans="1:14" ht="17.100000000000001" customHeight="1" x14ac:dyDescent="0.25">
      <c r="A118" s="308"/>
      <c r="B118" s="10" t="s">
        <v>373</v>
      </c>
      <c r="C118" s="12"/>
      <c r="D118" s="10" t="s">
        <v>336</v>
      </c>
      <c r="E118" s="12"/>
      <c r="F118" s="10" t="s">
        <v>194</v>
      </c>
      <c r="G118" s="12"/>
      <c r="H118" s="49">
        <v>2</v>
      </c>
      <c r="I118" s="49">
        <f>H118*155.2</f>
        <v>310.39999999999998</v>
      </c>
      <c r="J118" s="8"/>
      <c r="K118" s="6"/>
      <c r="L118" s="6"/>
      <c r="M118" s="6"/>
      <c r="N118" s="6"/>
    </row>
    <row r="119" spans="1:14" ht="17.100000000000001" customHeight="1" x14ac:dyDescent="0.25">
      <c r="A119" s="308"/>
      <c r="B119" s="10" t="s">
        <v>374</v>
      </c>
      <c r="C119" s="12"/>
      <c r="D119" s="10" t="s">
        <v>336</v>
      </c>
      <c r="E119" s="12"/>
      <c r="F119" s="10" t="s">
        <v>194</v>
      </c>
      <c r="G119" s="12"/>
      <c r="H119" s="49">
        <v>1</v>
      </c>
      <c r="I119" s="49">
        <f>H119*61.3</f>
        <v>61.3</v>
      </c>
      <c r="J119" s="8"/>
      <c r="K119" s="6"/>
      <c r="L119" s="6"/>
      <c r="M119" s="6"/>
      <c r="N119" s="6"/>
    </row>
    <row r="120" spans="1:14" ht="17.100000000000001" customHeight="1" x14ac:dyDescent="0.25">
      <c r="A120" s="308"/>
      <c r="B120" s="10" t="s">
        <v>375</v>
      </c>
      <c r="C120" s="12"/>
      <c r="D120" s="10" t="s">
        <v>336</v>
      </c>
      <c r="E120" s="12"/>
      <c r="F120" s="10" t="s">
        <v>194</v>
      </c>
      <c r="G120" s="12"/>
      <c r="H120" s="49">
        <v>1</v>
      </c>
      <c r="I120" s="49">
        <f>H120*75.8</f>
        <v>75.8</v>
      </c>
      <c r="J120" s="8"/>
      <c r="K120" s="6"/>
      <c r="L120" s="6"/>
      <c r="M120" s="6"/>
      <c r="N120" s="6"/>
    </row>
    <row r="121" spans="1:14" ht="17.100000000000001" customHeight="1" x14ac:dyDescent="0.25">
      <c r="A121" s="308"/>
      <c r="B121" s="10" t="s">
        <v>377</v>
      </c>
      <c r="C121" s="12"/>
      <c r="D121" s="10" t="s">
        <v>336</v>
      </c>
      <c r="E121" s="12"/>
      <c r="F121" s="10" t="s">
        <v>194</v>
      </c>
      <c r="G121" s="12"/>
      <c r="H121" s="49">
        <v>2</v>
      </c>
      <c r="I121" s="49">
        <f>H121*163</f>
        <v>326</v>
      </c>
      <c r="J121" s="8"/>
      <c r="K121" s="6"/>
      <c r="L121" s="6"/>
      <c r="M121" s="6"/>
      <c r="N121" s="6"/>
    </row>
    <row r="122" spans="1:14" ht="17.100000000000001" customHeight="1" x14ac:dyDescent="0.25">
      <c r="A122" s="308"/>
      <c r="B122" s="10" t="s">
        <v>403</v>
      </c>
      <c r="C122" s="12"/>
      <c r="D122" s="10" t="s">
        <v>336</v>
      </c>
      <c r="E122" s="12"/>
      <c r="F122" s="10" t="s">
        <v>194</v>
      </c>
      <c r="G122" s="12"/>
      <c r="H122" s="49">
        <v>1</v>
      </c>
      <c r="I122" s="11">
        <v>998.8</v>
      </c>
      <c r="J122" s="8"/>
      <c r="K122" s="6"/>
      <c r="L122" s="6"/>
      <c r="M122" s="6"/>
      <c r="N122" s="6"/>
    </row>
    <row r="123" spans="1:14" ht="17.100000000000001" customHeight="1" x14ac:dyDescent="0.25">
      <c r="A123" s="308"/>
      <c r="B123" s="10" t="s">
        <v>404</v>
      </c>
      <c r="C123" s="12"/>
      <c r="D123" s="10" t="s">
        <v>336</v>
      </c>
      <c r="E123" s="12"/>
      <c r="F123" s="10" t="s">
        <v>194</v>
      </c>
      <c r="G123" s="12"/>
      <c r="H123" s="49">
        <v>1</v>
      </c>
      <c r="I123" s="11">
        <v>342.3</v>
      </c>
      <c r="J123" s="8"/>
      <c r="K123" s="6"/>
      <c r="L123" s="6"/>
      <c r="M123" s="6"/>
      <c r="N123" s="6"/>
    </row>
    <row r="124" spans="1:14" ht="17.100000000000001" customHeight="1" x14ac:dyDescent="0.25">
      <c r="A124" s="308"/>
      <c r="B124" s="10" t="s">
        <v>383</v>
      </c>
      <c r="C124" s="12"/>
      <c r="D124" s="10" t="s">
        <v>336</v>
      </c>
      <c r="E124" s="12"/>
      <c r="F124" s="10" t="s">
        <v>194</v>
      </c>
      <c r="G124" s="12"/>
      <c r="H124" s="49">
        <v>1</v>
      </c>
      <c r="I124" s="49">
        <f>H124*176.4</f>
        <v>176.4</v>
      </c>
      <c r="J124" s="8"/>
      <c r="K124" s="6"/>
      <c r="L124" s="6"/>
      <c r="M124" s="6"/>
      <c r="N124" s="6"/>
    </row>
    <row r="125" spans="1:14" ht="17.100000000000001" customHeight="1" x14ac:dyDescent="0.25">
      <c r="A125" s="308"/>
      <c r="B125" s="10" t="s">
        <v>384</v>
      </c>
      <c r="C125" s="12"/>
      <c r="D125" s="10" t="s">
        <v>336</v>
      </c>
      <c r="E125" s="12"/>
      <c r="F125" s="10" t="s">
        <v>194</v>
      </c>
      <c r="G125" s="12"/>
      <c r="H125" s="49">
        <v>7</v>
      </c>
      <c r="I125" s="49">
        <f>H125*528.4</f>
        <v>3698.7999999999997</v>
      </c>
      <c r="J125" s="8"/>
      <c r="K125" s="6"/>
      <c r="L125" s="6"/>
      <c r="M125" s="6"/>
      <c r="N125" s="6"/>
    </row>
    <row r="126" spans="1:14" ht="17.100000000000001" customHeight="1" x14ac:dyDescent="0.25">
      <c r="A126" s="308"/>
      <c r="B126" s="10" t="s">
        <v>405</v>
      </c>
      <c r="C126" s="12"/>
      <c r="D126" s="10" t="s">
        <v>336</v>
      </c>
      <c r="E126" s="12"/>
      <c r="F126" s="10" t="s">
        <v>194</v>
      </c>
      <c r="G126" s="12"/>
      <c r="H126" s="49">
        <v>3</v>
      </c>
      <c r="I126" s="49">
        <f>H126*552</f>
        <v>1656</v>
      </c>
      <c r="J126" s="8"/>
      <c r="K126" s="6"/>
      <c r="L126" s="6"/>
      <c r="M126" s="6"/>
      <c r="N126" s="6"/>
    </row>
    <row r="127" spans="1:14" ht="17.100000000000001" customHeight="1" x14ac:dyDescent="0.25">
      <c r="A127" s="308"/>
      <c r="B127" s="10" t="s">
        <v>406</v>
      </c>
      <c r="C127" s="12"/>
      <c r="D127" s="10" t="s">
        <v>336</v>
      </c>
      <c r="E127" s="12"/>
      <c r="F127" s="10" t="s">
        <v>194</v>
      </c>
      <c r="G127" s="12"/>
      <c r="H127" s="49">
        <v>1</v>
      </c>
      <c r="I127" s="11">
        <v>499.8</v>
      </c>
      <c r="J127" s="8"/>
      <c r="K127" s="6"/>
      <c r="L127" s="6"/>
      <c r="M127" s="6"/>
      <c r="N127" s="6"/>
    </row>
    <row r="128" spans="1:14" ht="17.100000000000001" customHeight="1" x14ac:dyDescent="0.25">
      <c r="A128" s="308"/>
      <c r="B128" s="10" t="s">
        <v>391</v>
      </c>
      <c r="C128" s="12"/>
      <c r="D128" s="10" t="s">
        <v>336</v>
      </c>
      <c r="E128" s="12"/>
      <c r="F128" s="10" t="s">
        <v>194</v>
      </c>
      <c r="G128" s="12"/>
      <c r="H128" s="49">
        <v>1</v>
      </c>
      <c r="I128" s="49">
        <f>H128*94</f>
        <v>94</v>
      </c>
      <c r="J128" s="8"/>
      <c r="K128" s="6"/>
      <c r="L128" s="6"/>
      <c r="M128" s="6"/>
      <c r="N128" s="6"/>
    </row>
    <row r="129" spans="1:14" ht="17.100000000000001" customHeight="1" x14ac:dyDescent="0.25">
      <c r="A129" s="308"/>
      <c r="B129" s="10" t="s">
        <v>407</v>
      </c>
      <c r="C129" s="12"/>
      <c r="D129" s="10" t="s">
        <v>336</v>
      </c>
      <c r="E129" s="12"/>
      <c r="F129" s="10" t="s">
        <v>194</v>
      </c>
      <c r="G129" s="12"/>
      <c r="H129" s="49">
        <v>1</v>
      </c>
      <c r="I129" s="11">
        <v>533.4</v>
      </c>
      <c r="J129" s="8"/>
      <c r="K129" s="6"/>
      <c r="L129" s="6"/>
      <c r="M129" s="6"/>
      <c r="N129" s="6"/>
    </row>
    <row r="130" spans="1:14" ht="17.100000000000001" customHeight="1" x14ac:dyDescent="0.25">
      <c r="A130" s="308"/>
      <c r="B130" s="10" t="s">
        <v>408</v>
      </c>
      <c r="C130" s="12"/>
      <c r="D130" s="10" t="s">
        <v>336</v>
      </c>
      <c r="E130" s="12"/>
      <c r="F130" s="10" t="s">
        <v>194</v>
      </c>
      <c r="G130" s="12"/>
      <c r="H130" s="49">
        <v>2</v>
      </c>
      <c r="I130" s="49">
        <f>H130*1034</f>
        <v>2068</v>
      </c>
      <c r="J130" s="8"/>
      <c r="K130" s="6"/>
      <c r="L130" s="6"/>
      <c r="M130" s="6"/>
      <c r="N130" s="6"/>
    </row>
    <row r="131" spans="1:14" ht="17.100000000000001" customHeight="1" x14ac:dyDescent="0.25">
      <c r="A131" s="308"/>
      <c r="B131" s="10" t="s">
        <v>409</v>
      </c>
      <c r="C131" s="12"/>
      <c r="D131" s="10" t="s">
        <v>336</v>
      </c>
      <c r="E131" s="12"/>
      <c r="F131" s="10" t="s">
        <v>194</v>
      </c>
      <c r="G131" s="12"/>
      <c r="H131" s="49">
        <v>2</v>
      </c>
      <c r="I131" s="49">
        <f>H131*871</f>
        <v>1742</v>
      </c>
      <c r="J131" s="8"/>
      <c r="K131" s="6"/>
      <c r="L131" s="6"/>
      <c r="M131" s="6"/>
      <c r="N131" s="6"/>
    </row>
    <row r="132" spans="1:14" ht="17.100000000000001" customHeight="1" x14ac:dyDescent="0.25">
      <c r="A132" s="309"/>
      <c r="B132" s="222" t="s">
        <v>56</v>
      </c>
      <c r="C132" s="223"/>
      <c r="D132" s="223"/>
      <c r="E132" s="223"/>
      <c r="F132" s="223"/>
      <c r="G132" s="221"/>
      <c r="H132" s="220">
        <f>SUM(I37:I131)</f>
        <v>647302.10000000044</v>
      </c>
      <c r="I132" s="221"/>
      <c r="J132" s="8"/>
      <c r="K132" s="6"/>
      <c r="L132" s="6"/>
      <c r="M132" s="6"/>
      <c r="N132" s="6"/>
    </row>
    <row r="133" spans="1:14" ht="17.100000000000001" customHeight="1" x14ac:dyDescent="0.25">
      <c r="A133" s="310" t="s">
        <v>95</v>
      </c>
      <c r="B133" s="25" t="s">
        <v>96</v>
      </c>
      <c r="C133" s="25" t="s">
        <v>97</v>
      </c>
      <c r="D133" s="25" t="s">
        <v>9</v>
      </c>
      <c r="E133" s="25" t="s">
        <v>98</v>
      </c>
      <c r="F133" s="289" t="s">
        <v>410</v>
      </c>
      <c r="G133" s="290"/>
      <c r="H133" s="289" t="s">
        <v>100</v>
      </c>
      <c r="I133" s="290"/>
      <c r="J133" s="8"/>
      <c r="K133" s="6"/>
      <c r="L133" s="6"/>
      <c r="M133" s="6"/>
      <c r="N133" s="6"/>
    </row>
    <row r="134" spans="1:14" ht="17.100000000000001" customHeight="1" x14ac:dyDescent="0.25">
      <c r="A134" s="311"/>
      <c r="B134" s="10" t="s">
        <v>411</v>
      </c>
      <c r="C134" s="10" t="s">
        <v>102</v>
      </c>
      <c r="D134" s="11">
        <f>600+600</f>
        <v>1200</v>
      </c>
      <c r="E134" s="10" t="s">
        <v>216</v>
      </c>
      <c r="F134" s="220">
        <f>D134*2.3</f>
        <v>2760</v>
      </c>
      <c r="G134" s="221"/>
      <c r="H134" s="220">
        <v>7264.86</v>
      </c>
      <c r="I134" s="221"/>
      <c r="J134" s="8"/>
      <c r="K134" s="6"/>
      <c r="L134" s="6"/>
      <c r="M134" s="6"/>
      <c r="N134" s="6"/>
    </row>
    <row r="135" spans="1:14" ht="17.100000000000001" customHeight="1" x14ac:dyDescent="0.25">
      <c r="A135" s="312"/>
      <c r="B135" s="10" t="s">
        <v>411</v>
      </c>
      <c r="C135" s="10" t="s">
        <v>104</v>
      </c>
      <c r="D135" s="11">
        <f>200+135</f>
        <v>335</v>
      </c>
      <c r="E135" s="10" t="s">
        <v>216</v>
      </c>
      <c r="F135" s="220">
        <f>D135*2.5</f>
        <v>837.5</v>
      </c>
      <c r="G135" s="221"/>
      <c r="H135" s="220">
        <v>2204.46</v>
      </c>
      <c r="I135" s="221"/>
      <c r="J135" s="8"/>
      <c r="K135" s="6"/>
      <c r="L135" s="6"/>
      <c r="M135" s="6"/>
      <c r="N135" s="6"/>
    </row>
    <row r="136" spans="1:14" ht="17.100000000000001" customHeight="1" x14ac:dyDescent="0.25">
      <c r="A136" s="310" t="s">
        <v>105</v>
      </c>
      <c r="B136" s="28" t="s">
        <v>106</v>
      </c>
      <c r="C136" s="28" t="s">
        <v>9</v>
      </c>
      <c r="D136" s="28" t="s">
        <v>107</v>
      </c>
      <c r="E136" s="28" t="s">
        <v>108</v>
      </c>
      <c r="F136" s="29" t="s">
        <v>109</v>
      </c>
      <c r="G136" s="28" t="s">
        <v>9</v>
      </c>
      <c r="H136" s="28" t="s">
        <v>107</v>
      </c>
      <c r="I136" s="28" t="s">
        <v>110</v>
      </c>
      <c r="J136" s="8"/>
      <c r="K136" s="6"/>
      <c r="L136" s="6"/>
      <c r="M136" s="6"/>
      <c r="N136" s="6"/>
    </row>
    <row r="137" spans="1:14" ht="17.100000000000001" customHeight="1" x14ac:dyDescent="0.25">
      <c r="A137" s="311"/>
      <c r="B137" s="10" t="s">
        <v>412</v>
      </c>
      <c r="C137" s="11">
        <v>3890</v>
      </c>
      <c r="D137" s="11">
        <f t="shared" ref="D137:D145" si="2">C137/1000</f>
        <v>3.89</v>
      </c>
      <c r="E137" s="11">
        <f>-3.03*1000</f>
        <v>-3030</v>
      </c>
      <c r="F137" s="42" t="s">
        <v>413</v>
      </c>
      <c r="G137" s="43">
        <v>2</v>
      </c>
      <c r="H137" s="24">
        <f t="shared" ref="H137:H142" si="3">G137/1000</f>
        <v>2E-3</v>
      </c>
      <c r="I137" s="243">
        <f>0.03*1000</f>
        <v>30</v>
      </c>
      <c r="J137" s="8"/>
      <c r="K137" s="6"/>
      <c r="L137" s="6"/>
      <c r="M137" s="6"/>
      <c r="N137" s="6"/>
    </row>
    <row r="138" spans="1:14" ht="17.100000000000001" customHeight="1" x14ac:dyDescent="0.25">
      <c r="A138" s="311"/>
      <c r="B138" s="10" t="s">
        <v>414</v>
      </c>
      <c r="C138" s="11">
        <v>3326</v>
      </c>
      <c r="D138" s="11">
        <f t="shared" si="2"/>
        <v>3.3260000000000001</v>
      </c>
      <c r="E138" s="11">
        <f>-2.83*1000</f>
        <v>-2830</v>
      </c>
      <c r="F138" s="42" t="s">
        <v>415</v>
      </c>
      <c r="G138" s="43">
        <v>74</v>
      </c>
      <c r="H138" s="24">
        <f t="shared" si="3"/>
        <v>7.3999999999999996E-2</v>
      </c>
      <c r="I138" s="244"/>
      <c r="J138" s="8"/>
      <c r="K138" s="6"/>
      <c r="L138" s="6"/>
      <c r="M138" s="6"/>
      <c r="N138" s="6"/>
    </row>
    <row r="139" spans="1:14" ht="17.100000000000001" customHeight="1" x14ac:dyDescent="0.25">
      <c r="A139" s="311"/>
      <c r="B139" s="10" t="s">
        <v>416</v>
      </c>
      <c r="C139" s="11">
        <v>620</v>
      </c>
      <c r="D139" s="11">
        <f t="shared" si="2"/>
        <v>0.62</v>
      </c>
      <c r="E139" s="11">
        <f>-14*1000</f>
        <v>-14000</v>
      </c>
      <c r="F139" s="42" t="s">
        <v>417</v>
      </c>
      <c r="G139" s="43">
        <v>48</v>
      </c>
      <c r="H139" s="24">
        <f t="shared" si="3"/>
        <v>4.8000000000000001E-2</v>
      </c>
      <c r="I139" s="244"/>
      <c r="J139" s="8"/>
      <c r="K139" s="6"/>
      <c r="L139" s="6"/>
      <c r="M139" s="6"/>
      <c r="N139" s="6"/>
    </row>
    <row r="140" spans="1:14" ht="17.100000000000001" customHeight="1" x14ac:dyDescent="0.25">
      <c r="A140" s="311"/>
      <c r="B140" s="10" t="s">
        <v>226</v>
      </c>
      <c r="C140" s="11">
        <v>218</v>
      </c>
      <c r="D140" s="11">
        <f t="shared" si="2"/>
        <v>0.218</v>
      </c>
      <c r="E140" s="11">
        <f t="shared" ref="E140:E144" si="4">-0.06*1000</f>
        <v>-60</v>
      </c>
      <c r="F140" s="42" t="s">
        <v>418</v>
      </c>
      <c r="G140" s="37">
        <v>49</v>
      </c>
      <c r="H140" s="24">
        <f t="shared" si="3"/>
        <v>4.9000000000000002E-2</v>
      </c>
      <c r="I140" s="244"/>
      <c r="J140" s="8"/>
      <c r="K140" s="6"/>
      <c r="L140" s="6"/>
      <c r="M140" s="6"/>
      <c r="N140" s="6"/>
    </row>
    <row r="141" spans="1:14" ht="17.100000000000001" customHeight="1" x14ac:dyDescent="0.25">
      <c r="A141" s="311"/>
      <c r="B141" s="10" t="s">
        <v>116</v>
      </c>
      <c r="C141" s="11">
        <v>2852</v>
      </c>
      <c r="D141" s="11">
        <f t="shared" si="2"/>
        <v>2.8519999999999999</v>
      </c>
      <c r="E141" s="11">
        <f>-0.87*1000</f>
        <v>-870</v>
      </c>
      <c r="F141" s="42" t="s">
        <v>419</v>
      </c>
      <c r="G141" s="24">
        <v>108</v>
      </c>
      <c r="H141" s="24">
        <f t="shared" si="3"/>
        <v>0.108</v>
      </c>
      <c r="I141" s="244"/>
      <c r="J141" s="8"/>
      <c r="K141" s="6"/>
      <c r="L141" s="6"/>
      <c r="M141" s="6"/>
      <c r="N141" s="6"/>
    </row>
    <row r="142" spans="1:14" ht="17.100000000000001" customHeight="1" x14ac:dyDescent="0.25">
      <c r="A142" s="311"/>
      <c r="B142" s="10" t="s">
        <v>420</v>
      </c>
      <c r="C142" s="11">
        <v>635</v>
      </c>
      <c r="D142" s="11">
        <f t="shared" si="2"/>
        <v>0.63500000000000001</v>
      </c>
      <c r="E142" s="11">
        <f>-0.48*1000</f>
        <v>-480</v>
      </c>
      <c r="F142" s="42" t="s">
        <v>421</v>
      </c>
      <c r="G142" s="24">
        <v>39</v>
      </c>
      <c r="H142" s="24">
        <f t="shared" si="3"/>
        <v>3.9E-2</v>
      </c>
      <c r="I142" s="244"/>
      <c r="J142" s="8"/>
      <c r="K142" s="6"/>
      <c r="L142" s="6"/>
      <c r="M142" s="6"/>
      <c r="N142" s="6"/>
    </row>
    <row r="143" spans="1:14" ht="17.100000000000001" customHeight="1" x14ac:dyDescent="0.25">
      <c r="A143" s="311"/>
      <c r="B143" s="10" t="s">
        <v>422</v>
      </c>
      <c r="C143" s="11">
        <v>30</v>
      </c>
      <c r="D143" s="11">
        <f t="shared" si="2"/>
        <v>0.03</v>
      </c>
      <c r="E143" s="11">
        <f>-0.07*1000</f>
        <v>-70</v>
      </c>
      <c r="F143" s="36" t="s">
        <v>423</v>
      </c>
      <c r="G143" s="24">
        <f>SUM(G137:G142)</f>
        <v>320</v>
      </c>
      <c r="H143" s="24">
        <f>SUM(H137:H142)</f>
        <v>0.31999999999999995</v>
      </c>
      <c r="I143" s="245"/>
      <c r="J143" s="8"/>
      <c r="K143" s="6"/>
      <c r="L143" s="6"/>
      <c r="M143" s="6"/>
      <c r="N143" s="6"/>
    </row>
    <row r="144" spans="1:14" ht="17.100000000000001" customHeight="1" x14ac:dyDescent="0.25">
      <c r="A144" s="311"/>
      <c r="B144" s="10" t="s">
        <v>229</v>
      </c>
      <c r="C144" s="11">
        <v>858</v>
      </c>
      <c r="D144" s="11">
        <f t="shared" si="2"/>
        <v>0.85799999999999998</v>
      </c>
      <c r="E144" s="11">
        <f t="shared" si="4"/>
        <v>-60</v>
      </c>
      <c r="F144" s="35"/>
      <c r="G144" s="17"/>
      <c r="H144" s="17"/>
      <c r="I144" s="17"/>
      <c r="J144" s="6"/>
      <c r="K144" s="59"/>
      <c r="L144" s="6"/>
      <c r="M144" s="6"/>
      <c r="N144" s="6"/>
    </row>
    <row r="145" spans="1:14" ht="17.100000000000001" customHeight="1" x14ac:dyDescent="0.25">
      <c r="A145" s="311"/>
      <c r="B145" s="10" t="s">
        <v>424</v>
      </c>
      <c r="C145" s="11">
        <v>100</v>
      </c>
      <c r="D145" s="11">
        <f t="shared" si="2"/>
        <v>0.1</v>
      </c>
      <c r="E145" s="11">
        <f>-0.001*1000</f>
        <v>-1</v>
      </c>
      <c r="F145" s="8"/>
      <c r="G145" s="6"/>
      <c r="H145" s="6"/>
      <c r="I145" s="6"/>
      <c r="J145" s="6"/>
      <c r="K145" s="6"/>
      <c r="L145" s="6"/>
      <c r="M145" s="6"/>
      <c r="N145" s="6"/>
    </row>
    <row r="146" spans="1:14" ht="17.100000000000001" customHeight="1" x14ac:dyDescent="0.25">
      <c r="A146" s="38"/>
      <c r="B146" s="17"/>
      <c r="C146" s="17"/>
      <c r="D146" s="17"/>
      <c r="E146" s="17"/>
      <c r="F146" s="6"/>
      <c r="G146" s="6"/>
      <c r="H146" s="6"/>
      <c r="I146" s="6"/>
      <c r="J146" s="6"/>
      <c r="K146" s="59"/>
      <c r="L146" s="6"/>
      <c r="M146" s="6"/>
      <c r="N146" s="6"/>
    </row>
    <row r="147" spans="1:14" ht="17.100000000000001" customHeight="1" x14ac:dyDescent="0.25">
      <c r="A147" s="6"/>
      <c r="B147" s="6"/>
      <c r="C147" s="6"/>
      <c r="D147" s="6"/>
      <c r="E147" s="6"/>
      <c r="F147" s="6"/>
      <c r="G147" s="6"/>
      <c r="H147" s="6"/>
      <c r="I147" s="6"/>
      <c r="J147" s="6"/>
      <c r="K147" s="59"/>
      <c r="L147" s="6"/>
      <c r="M147" s="6"/>
      <c r="N147" s="6"/>
    </row>
    <row r="148" spans="1:14" ht="17.100000000000001" customHeight="1" x14ac:dyDescent="0.25">
      <c r="A148" s="6"/>
      <c r="B148" s="6"/>
      <c r="C148" s="6"/>
      <c r="D148" s="6"/>
      <c r="E148" s="6"/>
      <c r="F148" s="6"/>
      <c r="G148" s="6"/>
      <c r="H148" s="6"/>
      <c r="I148" s="6"/>
      <c r="J148" s="6"/>
      <c r="K148" s="59"/>
      <c r="L148" s="6"/>
      <c r="M148" s="6"/>
      <c r="N148" s="6"/>
    </row>
    <row r="149" spans="1:14" ht="17.100000000000001" customHeight="1" x14ac:dyDescent="0.25">
      <c r="A149" s="6"/>
      <c r="B149" s="6"/>
      <c r="C149" s="6"/>
      <c r="D149" s="6"/>
      <c r="E149" s="6"/>
      <c r="F149" s="6"/>
      <c r="G149" s="6"/>
      <c r="H149" s="6"/>
      <c r="I149" s="6"/>
      <c r="J149" s="6"/>
      <c r="K149" s="6"/>
      <c r="L149" s="6"/>
      <c r="M149" s="6"/>
      <c r="N149" s="6"/>
    </row>
    <row r="150" spans="1:14" ht="17.100000000000001" customHeight="1" x14ac:dyDescent="0.25">
      <c r="A150" s="6"/>
      <c r="B150" s="6"/>
      <c r="C150" s="6"/>
      <c r="D150" s="6"/>
      <c r="E150" s="6"/>
      <c r="F150" s="6"/>
      <c r="G150" s="6"/>
      <c r="H150" s="6"/>
      <c r="I150" s="6"/>
      <c r="J150" s="6"/>
      <c r="K150" s="6"/>
      <c r="L150" s="6"/>
      <c r="M150" s="6"/>
      <c r="N150" s="6"/>
    </row>
    <row r="151" spans="1:14" ht="17.100000000000001" customHeight="1" x14ac:dyDescent="0.25">
      <c r="A151" s="6"/>
      <c r="B151" s="6"/>
      <c r="C151" s="6"/>
      <c r="D151" s="6"/>
      <c r="E151" s="6"/>
      <c r="F151" s="6"/>
      <c r="G151" s="6"/>
      <c r="H151" s="6"/>
      <c r="I151" s="6"/>
      <c r="J151" s="6"/>
      <c r="K151" s="6"/>
      <c r="L151" s="6"/>
      <c r="M151" s="6"/>
      <c r="N151" s="6"/>
    </row>
    <row r="152" spans="1:14" ht="17.100000000000001" customHeight="1" x14ac:dyDescent="0.25">
      <c r="A152" s="6"/>
      <c r="B152" s="6"/>
      <c r="C152" s="6"/>
      <c r="D152" s="6"/>
      <c r="E152" s="6"/>
      <c r="F152" s="6"/>
      <c r="G152" s="6"/>
      <c r="H152" s="6"/>
      <c r="I152" s="6"/>
      <c r="J152" s="6"/>
      <c r="K152" s="6"/>
      <c r="L152" s="6"/>
      <c r="M152" s="6"/>
      <c r="N152" s="6"/>
    </row>
    <row r="153" spans="1:14" ht="17.100000000000001" customHeight="1" x14ac:dyDescent="0.25">
      <c r="A153" s="6"/>
      <c r="B153" s="6"/>
      <c r="C153" s="6"/>
      <c r="D153" s="6"/>
      <c r="E153" s="6"/>
      <c r="F153" s="6"/>
      <c r="G153" s="6"/>
      <c r="H153" s="6"/>
      <c r="I153" s="6"/>
      <c r="J153" s="6"/>
      <c r="K153" s="6"/>
      <c r="L153" s="6"/>
      <c r="M153" s="6"/>
      <c r="N153" s="6"/>
    </row>
    <row r="154" spans="1:14" ht="17.100000000000001" customHeight="1" x14ac:dyDescent="0.25">
      <c r="A154" s="6"/>
      <c r="B154" s="6"/>
      <c r="C154" s="6"/>
      <c r="D154" s="6"/>
      <c r="E154" s="6"/>
      <c r="F154" s="6"/>
      <c r="G154" s="6"/>
      <c r="H154" s="6"/>
      <c r="I154" s="6"/>
      <c r="J154" s="6"/>
      <c r="K154" s="6"/>
      <c r="L154" s="6"/>
      <c r="M154" s="6"/>
      <c r="N154" s="6"/>
    </row>
    <row r="155" spans="1:14" ht="17.100000000000001" customHeight="1" x14ac:dyDescent="0.25">
      <c r="A155" s="6"/>
      <c r="B155" s="6"/>
      <c r="C155" s="6"/>
      <c r="D155" s="6"/>
      <c r="E155" s="6"/>
      <c r="F155" s="6"/>
      <c r="G155" s="6"/>
      <c r="H155" s="6"/>
      <c r="I155" s="6"/>
      <c r="J155" s="6"/>
      <c r="K155" s="6"/>
      <c r="L155" s="6"/>
      <c r="M155" s="6"/>
      <c r="N155" s="6"/>
    </row>
    <row r="156" spans="1:14" ht="17.100000000000001" customHeight="1" x14ac:dyDescent="0.25">
      <c r="A156" s="6"/>
      <c r="B156" s="6"/>
      <c r="C156" s="6"/>
      <c r="D156" s="6"/>
      <c r="E156" s="6"/>
      <c r="F156" s="6"/>
      <c r="G156" s="6"/>
      <c r="H156" s="6"/>
      <c r="I156" s="6"/>
      <c r="J156" s="6"/>
      <c r="K156" s="6"/>
      <c r="L156" s="6"/>
      <c r="M156" s="6"/>
      <c r="N156" s="6"/>
    </row>
    <row r="157" spans="1:14" ht="17.100000000000001" customHeight="1" x14ac:dyDescent="0.25">
      <c r="A157" s="6"/>
      <c r="B157" s="6"/>
      <c r="C157" s="6"/>
      <c r="D157" s="6"/>
      <c r="E157" s="6"/>
      <c r="F157" s="6"/>
      <c r="G157" s="6"/>
      <c r="H157" s="6"/>
      <c r="I157" s="6"/>
      <c r="J157" s="6"/>
      <c r="K157" s="6"/>
      <c r="L157" s="6"/>
      <c r="M157" s="6"/>
      <c r="N157" s="6"/>
    </row>
    <row r="158" spans="1:14" ht="17.100000000000001" customHeight="1" x14ac:dyDescent="0.25">
      <c r="A158" s="6"/>
      <c r="B158" s="6"/>
      <c r="C158" s="6"/>
      <c r="D158" s="6"/>
      <c r="E158" s="6"/>
      <c r="F158" s="6"/>
      <c r="G158" s="6"/>
      <c r="H158" s="6"/>
      <c r="I158" s="6"/>
      <c r="J158" s="6"/>
      <c r="K158" s="6"/>
      <c r="L158" s="6"/>
      <c r="M158" s="6"/>
      <c r="N158" s="6"/>
    </row>
    <row r="159" spans="1:14" ht="17.100000000000001" customHeight="1" x14ac:dyDescent="0.25">
      <c r="A159" s="6"/>
      <c r="B159" s="6"/>
      <c r="C159" s="6"/>
      <c r="D159" s="6"/>
      <c r="E159" s="6"/>
      <c r="F159" s="6"/>
      <c r="G159" s="6"/>
      <c r="H159" s="6"/>
      <c r="I159" s="6"/>
      <c r="J159" s="6"/>
      <c r="K159" s="46">
        <f>H134+H135</f>
        <v>9469.32</v>
      </c>
      <c r="L159" s="6"/>
      <c r="M159" s="6"/>
      <c r="N159" s="6"/>
    </row>
    <row r="160" spans="1:14" ht="17.100000000000001" customHeight="1" x14ac:dyDescent="0.25">
      <c r="A160" s="6"/>
      <c r="B160" s="6"/>
      <c r="C160" s="6"/>
      <c r="D160" s="6"/>
      <c r="E160" s="6"/>
      <c r="F160" s="6"/>
      <c r="G160" s="6"/>
      <c r="H160" s="6"/>
      <c r="I160" s="6"/>
      <c r="J160" s="6"/>
      <c r="K160" s="6"/>
      <c r="L160" s="6"/>
      <c r="M160" s="6"/>
      <c r="N160" s="6"/>
    </row>
    <row r="161" spans="1:14" ht="17.100000000000001" customHeight="1" x14ac:dyDescent="0.25">
      <c r="A161" s="6"/>
      <c r="B161" s="6"/>
      <c r="C161" s="6"/>
      <c r="D161" s="6"/>
      <c r="E161" s="6"/>
      <c r="F161" s="6"/>
      <c r="G161" s="6"/>
      <c r="H161" s="6"/>
      <c r="I161" s="6"/>
      <c r="J161" s="6"/>
      <c r="K161" s="46">
        <f>F135+F134</f>
        <v>3597.5</v>
      </c>
      <c r="L161" s="6"/>
      <c r="M161" s="6"/>
      <c r="N161" s="6"/>
    </row>
    <row r="162" spans="1:14" ht="17.100000000000001" customHeight="1" x14ac:dyDescent="0.25">
      <c r="A162" s="6"/>
      <c r="B162" s="6"/>
      <c r="C162" s="6"/>
      <c r="D162" s="6"/>
      <c r="E162" s="6"/>
      <c r="F162" s="6"/>
      <c r="G162" s="6"/>
      <c r="H162" s="6"/>
      <c r="I162" s="6"/>
      <c r="J162" s="6"/>
      <c r="K162" s="6"/>
      <c r="L162" s="6"/>
      <c r="M162" s="6"/>
      <c r="N162" s="6"/>
    </row>
    <row r="163" spans="1:14" ht="17.100000000000001" customHeight="1" x14ac:dyDescent="0.25">
      <c r="A163" s="6"/>
      <c r="B163" s="6"/>
      <c r="C163" s="6"/>
      <c r="D163" s="6"/>
      <c r="E163" s="6"/>
      <c r="F163" s="6"/>
      <c r="G163" s="6"/>
      <c r="H163" s="6"/>
      <c r="I163" s="6"/>
      <c r="J163" s="6"/>
      <c r="K163" s="46">
        <f>SUM(E137:E145)</f>
        <v>-21401</v>
      </c>
      <c r="L163" s="6"/>
      <c r="M163" s="6"/>
      <c r="N163" s="6"/>
    </row>
  </sheetData>
  <mergeCells count="24">
    <mergeCell ref="A136:A145"/>
    <mergeCell ref="A133:A135"/>
    <mergeCell ref="F133:G133"/>
    <mergeCell ref="H133:I133"/>
    <mergeCell ref="F134:G134"/>
    <mergeCell ref="H134:I134"/>
    <mergeCell ref="F135:G135"/>
    <mergeCell ref="H135:I135"/>
    <mergeCell ref="I137:I143"/>
    <mergeCell ref="A19:A32"/>
    <mergeCell ref="B32:E32"/>
    <mergeCell ref="A35:I35"/>
    <mergeCell ref="A36:A132"/>
    <mergeCell ref="B132:G132"/>
    <mergeCell ref="H132:I132"/>
    <mergeCell ref="A18:F18"/>
    <mergeCell ref="A3:G3"/>
    <mergeCell ref="A4:A7"/>
    <mergeCell ref="A8:A9"/>
    <mergeCell ref="C8:E8"/>
    <mergeCell ref="C9:E9"/>
    <mergeCell ref="A10:A13"/>
    <mergeCell ref="E14:F14"/>
    <mergeCell ref="A15:F15"/>
  </mergeCells>
  <conditionalFormatting sqref="H37:H131">
    <cfRule type="cellIs" dxfId="0" priority="1" stopIfTrue="1" operator="lessThan">
      <formula>0</formula>
    </cfRule>
  </conditionalFormatting>
  <pageMargins left="0.7" right="0.7" top="0.75" bottom="0.75" header="0.3" footer="0.3"/>
  <pageSetup orientation="portrait"/>
  <headerFooter>
    <oddFooter>&amp;C&amp;"Helvetica Neue,Regular"&amp;12&amp;K000000&amp;P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5"/>
  <sheetViews>
    <sheetView showGridLines="0" workbookViewId="0"/>
  </sheetViews>
  <sheetFormatPr baseColWidth="10" defaultColWidth="10.875" defaultRowHeight="15.75" customHeight="1" x14ac:dyDescent="0.25"/>
  <cols>
    <col min="1" max="1" width="10.875" style="60" customWidth="1"/>
    <col min="2" max="2" width="17.375" style="60" customWidth="1"/>
    <col min="3" max="3" width="10.875" style="60" customWidth="1"/>
    <col min="4" max="4" width="17.5" style="60" customWidth="1"/>
    <col min="5" max="7" width="10.875" style="60" customWidth="1"/>
    <col min="8" max="8" width="12.625" style="60" customWidth="1"/>
    <col min="9" max="256" width="10.875" style="60" customWidth="1"/>
  </cols>
  <sheetData>
    <row r="1" spans="1:20" ht="17.100000000000001" customHeight="1" x14ac:dyDescent="0.25">
      <c r="A1" s="7"/>
      <c r="B1" s="7"/>
      <c r="C1" s="7"/>
      <c r="D1" s="7"/>
      <c r="E1" s="7"/>
      <c r="F1" s="7"/>
      <c r="G1" s="6"/>
      <c r="H1" s="6"/>
      <c r="I1" s="6"/>
      <c r="J1" s="6"/>
      <c r="K1" s="6"/>
      <c r="L1" s="6"/>
      <c r="M1" s="6"/>
      <c r="N1" s="6"/>
      <c r="O1" s="6"/>
      <c r="P1" s="6"/>
      <c r="Q1" s="6"/>
      <c r="R1" s="6"/>
      <c r="S1" s="6"/>
      <c r="T1" s="6"/>
    </row>
    <row r="2" spans="1:20" ht="17.100000000000001" customHeight="1" x14ac:dyDescent="0.25">
      <c r="A2" s="291" t="s">
        <v>37</v>
      </c>
      <c r="B2" s="292"/>
      <c r="C2" s="292"/>
      <c r="D2" s="292"/>
      <c r="E2" s="292"/>
      <c r="F2" s="293"/>
      <c r="G2" s="8"/>
      <c r="H2" s="7"/>
      <c r="I2" s="7"/>
      <c r="J2" s="7"/>
      <c r="K2" s="7"/>
      <c r="L2" s="7"/>
      <c r="M2" s="7"/>
      <c r="N2" s="7"/>
      <c r="O2" s="7"/>
      <c r="P2" s="7"/>
      <c r="Q2" s="7"/>
      <c r="R2" s="7"/>
      <c r="S2" s="7"/>
      <c r="T2" s="7"/>
    </row>
    <row r="3" spans="1:20" ht="17.100000000000001" customHeight="1" x14ac:dyDescent="0.25">
      <c r="A3" s="267" t="s">
        <v>38</v>
      </c>
      <c r="B3" s="20" t="s">
        <v>39</v>
      </c>
      <c r="C3" s="20" t="s">
        <v>40</v>
      </c>
      <c r="D3" s="20" t="s">
        <v>41</v>
      </c>
      <c r="E3" s="20" t="s">
        <v>42</v>
      </c>
      <c r="F3" s="20" t="s">
        <v>13</v>
      </c>
      <c r="G3" s="61"/>
      <c r="H3" s="62" t="s">
        <v>41</v>
      </c>
      <c r="I3" s="63" t="s">
        <v>426</v>
      </c>
      <c r="J3" s="63" t="s">
        <v>427</v>
      </c>
      <c r="K3" s="63" t="s">
        <v>428</v>
      </c>
      <c r="L3" s="63" t="s">
        <v>429</v>
      </c>
      <c r="M3" s="63" t="s">
        <v>430</v>
      </c>
      <c r="N3" s="63" t="s">
        <v>431</v>
      </c>
      <c r="O3" s="63" t="s">
        <v>432</v>
      </c>
      <c r="P3" s="63" t="s">
        <v>433</v>
      </c>
      <c r="Q3" s="63" t="s">
        <v>434</v>
      </c>
      <c r="R3" s="63" t="s">
        <v>435</v>
      </c>
      <c r="S3" s="63" t="s">
        <v>436</v>
      </c>
      <c r="T3" s="64" t="s">
        <v>437</v>
      </c>
    </row>
    <row r="4" spans="1:20" ht="17.100000000000001" customHeight="1" x14ac:dyDescent="0.25">
      <c r="A4" s="268"/>
      <c r="B4" s="65" t="s">
        <v>340</v>
      </c>
      <c r="C4" s="11">
        <v>6125</v>
      </c>
      <c r="D4" s="12"/>
      <c r="E4" s="24">
        <v>0.12</v>
      </c>
      <c r="F4" s="11">
        <f t="shared" ref="F4:F19" si="0">E4*C4</f>
        <v>735</v>
      </c>
      <c r="G4" s="61"/>
      <c r="H4" s="10" t="s">
        <v>123</v>
      </c>
      <c r="I4" s="11">
        <v>37</v>
      </c>
      <c r="J4" s="11">
        <v>64</v>
      </c>
      <c r="K4" s="11">
        <v>101</v>
      </c>
      <c r="L4" s="11">
        <v>426</v>
      </c>
      <c r="M4" s="11">
        <v>325</v>
      </c>
      <c r="N4" s="11">
        <v>325</v>
      </c>
      <c r="O4" s="11">
        <v>1</v>
      </c>
      <c r="P4" s="11">
        <v>0</v>
      </c>
      <c r="Q4" s="11">
        <v>0</v>
      </c>
      <c r="R4" s="11">
        <v>0</v>
      </c>
      <c r="S4" s="11">
        <v>1692</v>
      </c>
      <c r="T4" s="66">
        <f t="shared" ref="T4:T15" si="1">SUM(I4:S4)</f>
        <v>2971</v>
      </c>
    </row>
    <row r="5" spans="1:20" ht="17.100000000000001" customHeight="1" x14ac:dyDescent="0.25">
      <c r="A5" s="268"/>
      <c r="B5" s="67" t="s">
        <v>341</v>
      </c>
      <c r="C5" s="11">
        <v>1934</v>
      </c>
      <c r="D5" s="12"/>
      <c r="E5" s="24">
        <v>0.12</v>
      </c>
      <c r="F5" s="11">
        <f t="shared" si="0"/>
        <v>232.07999999999998</v>
      </c>
      <c r="G5" s="61"/>
      <c r="H5" s="10" t="s">
        <v>129</v>
      </c>
      <c r="I5" s="11">
        <v>290</v>
      </c>
      <c r="J5" s="11">
        <v>285</v>
      </c>
      <c r="K5" s="11">
        <v>318</v>
      </c>
      <c r="L5" s="11">
        <v>577</v>
      </c>
      <c r="M5" s="11">
        <v>454</v>
      </c>
      <c r="N5" s="11">
        <v>454</v>
      </c>
      <c r="O5" s="11">
        <v>2</v>
      </c>
      <c r="P5" s="11">
        <v>0</v>
      </c>
      <c r="Q5" s="11">
        <v>0</v>
      </c>
      <c r="R5" s="11">
        <v>0</v>
      </c>
      <c r="S5" s="11">
        <v>3087</v>
      </c>
      <c r="T5" s="66">
        <f t="shared" si="1"/>
        <v>5467</v>
      </c>
    </row>
    <row r="6" spans="1:20" ht="17.100000000000001" customHeight="1" x14ac:dyDescent="0.25">
      <c r="A6" s="268"/>
      <c r="B6" s="67" t="s">
        <v>338</v>
      </c>
      <c r="C6" s="11">
        <v>18032</v>
      </c>
      <c r="D6" s="12"/>
      <c r="E6" s="24">
        <v>0.12</v>
      </c>
      <c r="F6" s="11">
        <f t="shared" si="0"/>
        <v>2163.84</v>
      </c>
      <c r="G6" s="61"/>
      <c r="H6" s="10" t="s">
        <v>135</v>
      </c>
      <c r="I6" s="11">
        <v>340</v>
      </c>
      <c r="J6" s="11">
        <v>306</v>
      </c>
      <c r="K6" s="11">
        <v>363</v>
      </c>
      <c r="L6" s="11">
        <v>566</v>
      </c>
      <c r="M6" s="11">
        <v>447</v>
      </c>
      <c r="N6" s="11">
        <v>447</v>
      </c>
      <c r="O6" s="11">
        <v>2</v>
      </c>
      <c r="P6" s="11">
        <v>0</v>
      </c>
      <c r="Q6" s="11">
        <v>0</v>
      </c>
      <c r="R6" s="11">
        <v>0</v>
      </c>
      <c r="S6" s="11">
        <v>3794</v>
      </c>
      <c r="T6" s="66">
        <f t="shared" si="1"/>
        <v>6265</v>
      </c>
    </row>
    <row r="7" spans="1:20" ht="17.100000000000001" customHeight="1" x14ac:dyDescent="0.25">
      <c r="A7" s="268"/>
      <c r="B7" s="67" t="s">
        <v>438</v>
      </c>
      <c r="C7" s="11">
        <v>11157</v>
      </c>
      <c r="D7" s="12"/>
      <c r="E7" s="24">
        <v>0.12</v>
      </c>
      <c r="F7" s="11">
        <f t="shared" si="0"/>
        <v>1338.84</v>
      </c>
      <c r="G7" s="61"/>
      <c r="H7" s="10" t="s">
        <v>141</v>
      </c>
      <c r="I7" s="11">
        <v>285</v>
      </c>
      <c r="J7" s="11">
        <v>250</v>
      </c>
      <c r="K7" s="11">
        <v>294</v>
      </c>
      <c r="L7" s="11">
        <v>590</v>
      </c>
      <c r="M7" s="11">
        <v>466</v>
      </c>
      <c r="N7" s="11">
        <v>466</v>
      </c>
      <c r="O7" s="11">
        <v>2</v>
      </c>
      <c r="P7" s="11">
        <v>0</v>
      </c>
      <c r="Q7" s="11">
        <v>0</v>
      </c>
      <c r="R7" s="11">
        <v>0</v>
      </c>
      <c r="S7" s="11">
        <v>3775</v>
      </c>
      <c r="T7" s="66">
        <f t="shared" si="1"/>
        <v>6128</v>
      </c>
    </row>
    <row r="8" spans="1:20" ht="17.100000000000001" customHeight="1" x14ac:dyDescent="0.25">
      <c r="A8" s="268"/>
      <c r="B8" s="67" t="s">
        <v>439</v>
      </c>
      <c r="C8" s="11">
        <v>1230</v>
      </c>
      <c r="D8" s="12"/>
      <c r="E8" s="24">
        <v>0.12</v>
      </c>
      <c r="F8" s="11">
        <f t="shared" si="0"/>
        <v>147.6</v>
      </c>
      <c r="G8" s="61"/>
      <c r="H8" s="10" t="s">
        <v>147</v>
      </c>
      <c r="I8" s="11">
        <v>313</v>
      </c>
      <c r="J8" s="11">
        <v>248</v>
      </c>
      <c r="K8" s="11">
        <v>307</v>
      </c>
      <c r="L8" s="11">
        <v>567</v>
      </c>
      <c r="M8" s="11">
        <v>454</v>
      </c>
      <c r="N8" s="11">
        <v>454</v>
      </c>
      <c r="O8" s="11">
        <v>2</v>
      </c>
      <c r="P8" s="11">
        <v>0</v>
      </c>
      <c r="Q8" s="11">
        <v>0</v>
      </c>
      <c r="R8" s="11">
        <v>0</v>
      </c>
      <c r="S8" s="11">
        <v>3965</v>
      </c>
      <c r="T8" s="66">
        <f t="shared" si="1"/>
        <v>6310</v>
      </c>
    </row>
    <row r="9" spans="1:20" ht="17.100000000000001" customHeight="1" x14ac:dyDescent="0.25">
      <c r="A9" s="268"/>
      <c r="B9" s="67" t="s">
        <v>440</v>
      </c>
      <c r="C9" s="11">
        <v>1448</v>
      </c>
      <c r="D9" s="12"/>
      <c r="E9" s="24">
        <v>0.12</v>
      </c>
      <c r="F9" s="11">
        <f t="shared" si="0"/>
        <v>173.76</v>
      </c>
      <c r="G9" s="61"/>
      <c r="H9" s="10" t="s">
        <v>153</v>
      </c>
      <c r="I9" s="11">
        <v>323</v>
      </c>
      <c r="J9" s="11">
        <v>259</v>
      </c>
      <c r="K9" s="11">
        <v>339</v>
      </c>
      <c r="L9" s="11">
        <v>579</v>
      </c>
      <c r="M9" s="11">
        <v>569</v>
      </c>
      <c r="N9" s="11">
        <v>463</v>
      </c>
      <c r="O9" s="11">
        <v>1</v>
      </c>
      <c r="P9" s="11">
        <v>0</v>
      </c>
      <c r="Q9" s="11">
        <v>0</v>
      </c>
      <c r="R9" s="11">
        <v>0</v>
      </c>
      <c r="S9" s="11">
        <v>3910</v>
      </c>
      <c r="T9" s="66">
        <f t="shared" si="1"/>
        <v>6443</v>
      </c>
    </row>
    <row r="10" spans="1:20" ht="17.100000000000001" customHeight="1" x14ac:dyDescent="0.25">
      <c r="A10" s="268"/>
      <c r="B10" s="67" t="s">
        <v>441</v>
      </c>
      <c r="C10" s="11">
        <v>1792</v>
      </c>
      <c r="D10" s="12"/>
      <c r="E10" s="24">
        <v>0.12</v>
      </c>
      <c r="F10" s="11">
        <f t="shared" si="0"/>
        <v>215.04</v>
      </c>
      <c r="G10" s="61"/>
      <c r="H10" s="10" t="s">
        <v>159</v>
      </c>
      <c r="I10" s="11">
        <v>333</v>
      </c>
      <c r="J10" s="11">
        <v>237</v>
      </c>
      <c r="K10" s="11">
        <v>381</v>
      </c>
      <c r="L10" s="11">
        <v>590</v>
      </c>
      <c r="M10" s="11">
        <v>523</v>
      </c>
      <c r="N10" s="11">
        <v>479</v>
      </c>
      <c r="O10" s="11">
        <v>2</v>
      </c>
      <c r="P10" s="11">
        <v>0</v>
      </c>
      <c r="Q10" s="11">
        <v>0</v>
      </c>
      <c r="R10" s="11">
        <v>0</v>
      </c>
      <c r="S10" s="11">
        <v>3853</v>
      </c>
      <c r="T10" s="66">
        <f t="shared" si="1"/>
        <v>6398</v>
      </c>
    </row>
    <row r="11" spans="1:20" ht="17.100000000000001" customHeight="1" x14ac:dyDescent="0.25">
      <c r="A11" s="268"/>
      <c r="B11" s="67" t="s">
        <v>363</v>
      </c>
      <c r="C11" s="11">
        <v>1754</v>
      </c>
      <c r="D11" s="12"/>
      <c r="E11" s="24">
        <v>0.12</v>
      </c>
      <c r="F11" s="11">
        <f t="shared" si="0"/>
        <v>210.48</v>
      </c>
      <c r="G11" s="61"/>
      <c r="H11" s="10" t="s">
        <v>165</v>
      </c>
      <c r="I11" s="11">
        <v>347</v>
      </c>
      <c r="J11" s="11">
        <v>251</v>
      </c>
      <c r="K11" s="11">
        <v>363</v>
      </c>
      <c r="L11" s="11">
        <v>583</v>
      </c>
      <c r="M11" s="11">
        <v>530</v>
      </c>
      <c r="N11" s="11">
        <v>473</v>
      </c>
      <c r="O11" s="11">
        <v>2</v>
      </c>
      <c r="P11" s="11">
        <v>0</v>
      </c>
      <c r="Q11" s="11">
        <v>0</v>
      </c>
      <c r="R11" s="11">
        <v>0</v>
      </c>
      <c r="S11" s="11">
        <v>3920</v>
      </c>
      <c r="T11" s="66">
        <f t="shared" si="1"/>
        <v>6469</v>
      </c>
    </row>
    <row r="12" spans="1:20" ht="17.100000000000001" customHeight="1" x14ac:dyDescent="0.25">
      <c r="A12" s="268"/>
      <c r="B12" s="67" t="s">
        <v>442</v>
      </c>
      <c r="C12" s="11">
        <v>63840</v>
      </c>
      <c r="D12" s="12"/>
      <c r="E12" s="24">
        <v>0.12</v>
      </c>
      <c r="F12" s="11">
        <f t="shared" si="0"/>
        <v>7660.7999999999993</v>
      </c>
      <c r="G12" s="61"/>
      <c r="H12" s="10" t="s">
        <v>171</v>
      </c>
      <c r="I12" s="11">
        <v>349</v>
      </c>
      <c r="J12" s="11">
        <v>245</v>
      </c>
      <c r="K12" s="11">
        <v>331</v>
      </c>
      <c r="L12" s="11">
        <v>600</v>
      </c>
      <c r="M12" s="11">
        <v>544</v>
      </c>
      <c r="N12" s="11">
        <v>493</v>
      </c>
      <c r="O12" s="11">
        <v>3</v>
      </c>
      <c r="P12" s="11">
        <v>0</v>
      </c>
      <c r="Q12" s="11">
        <v>0</v>
      </c>
      <c r="R12" s="11">
        <v>0</v>
      </c>
      <c r="S12" s="11">
        <v>4845</v>
      </c>
      <c r="T12" s="66">
        <f t="shared" si="1"/>
        <v>7410</v>
      </c>
    </row>
    <row r="13" spans="1:20" ht="17.100000000000001" customHeight="1" x14ac:dyDescent="0.25">
      <c r="A13" s="268"/>
      <c r="B13" s="67" t="s">
        <v>368</v>
      </c>
      <c r="C13" s="11">
        <v>5558</v>
      </c>
      <c r="D13" s="12"/>
      <c r="E13" s="24">
        <v>0.12</v>
      </c>
      <c r="F13" s="11">
        <f t="shared" si="0"/>
        <v>666.95999999999992</v>
      </c>
      <c r="G13" s="61"/>
      <c r="H13" s="10" t="s">
        <v>177</v>
      </c>
      <c r="I13" s="11">
        <v>358</v>
      </c>
      <c r="J13" s="11">
        <v>253</v>
      </c>
      <c r="K13" s="11">
        <v>364</v>
      </c>
      <c r="L13" s="11">
        <v>642</v>
      </c>
      <c r="M13" s="11">
        <v>582</v>
      </c>
      <c r="N13" s="11">
        <v>522</v>
      </c>
      <c r="O13" s="11">
        <v>4</v>
      </c>
      <c r="P13" s="11">
        <v>0</v>
      </c>
      <c r="Q13" s="11">
        <v>0</v>
      </c>
      <c r="R13" s="11">
        <v>0</v>
      </c>
      <c r="S13" s="11">
        <v>4109</v>
      </c>
      <c r="T13" s="66">
        <f t="shared" si="1"/>
        <v>6834</v>
      </c>
    </row>
    <row r="14" spans="1:20" ht="17.100000000000001" customHeight="1" x14ac:dyDescent="0.25">
      <c r="A14" s="268"/>
      <c r="B14" s="67" t="s">
        <v>443</v>
      </c>
      <c r="C14" s="11">
        <v>1632</v>
      </c>
      <c r="D14" s="12"/>
      <c r="E14" s="24">
        <v>0.12</v>
      </c>
      <c r="F14" s="11">
        <f t="shared" si="0"/>
        <v>195.84</v>
      </c>
      <c r="G14" s="61"/>
      <c r="H14" s="10" t="s">
        <v>183</v>
      </c>
      <c r="I14" s="11">
        <f>331+165</f>
        <v>496</v>
      </c>
      <c r="J14" s="11">
        <f>368+134</f>
        <v>502</v>
      </c>
      <c r="K14" s="11">
        <f>370+185</f>
        <v>555</v>
      </c>
      <c r="L14" s="11">
        <f>624+312</f>
        <v>936</v>
      </c>
      <c r="M14" s="11">
        <f>552+226</f>
        <v>778</v>
      </c>
      <c r="N14" s="11">
        <f>495+243</f>
        <v>738</v>
      </c>
      <c r="O14" s="11">
        <v>4</v>
      </c>
      <c r="P14" s="11">
        <v>0</v>
      </c>
      <c r="Q14" s="11">
        <v>0</v>
      </c>
      <c r="R14" s="11">
        <v>0</v>
      </c>
      <c r="S14" s="11">
        <f>4039+2035</f>
        <v>6074</v>
      </c>
      <c r="T14" s="66">
        <f t="shared" si="1"/>
        <v>10083</v>
      </c>
    </row>
    <row r="15" spans="1:20" ht="17.100000000000001" customHeight="1" x14ac:dyDescent="0.25">
      <c r="A15" s="268"/>
      <c r="B15" s="67" t="s">
        <v>373</v>
      </c>
      <c r="C15" s="11">
        <v>3928</v>
      </c>
      <c r="D15" s="12"/>
      <c r="E15" s="24">
        <v>0.12</v>
      </c>
      <c r="F15" s="11">
        <f t="shared" si="0"/>
        <v>471.35999999999996</v>
      </c>
      <c r="G15" s="61"/>
      <c r="H15" s="10" t="s">
        <v>189</v>
      </c>
      <c r="I15" s="11">
        <v>348</v>
      </c>
      <c r="J15" s="11">
        <v>272</v>
      </c>
      <c r="K15" s="11">
        <v>399</v>
      </c>
      <c r="L15" s="11">
        <v>628</v>
      </c>
      <c r="M15" s="11">
        <v>556</v>
      </c>
      <c r="N15" s="11">
        <v>504</v>
      </c>
      <c r="O15" s="11">
        <v>3</v>
      </c>
      <c r="P15" s="11">
        <v>0</v>
      </c>
      <c r="Q15" s="11">
        <v>0</v>
      </c>
      <c r="R15" s="11">
        <v>0</v>
      </c>
      <c r="S15" s="11">
        <v>4009</v>
      </c>
      <c r="T15" s="66">
        <f t="shared" si="1"/>
        <v>6719</v>
      </c>
    </row>
    <row r="16" spans="1:20" ht="17.100000000000001" customHeight="1" x14ac:dyDescent="0.25">
      <c r="A16" s="268"/>
      <c r="B16" s="67" t="s">
        <v>444</v>
      </c>
      <c r="C16" s="11">
        <v>6639</v>
      </c>
      <c r="D16" s="12"/>
      <c r="E16" s="24">
        <v>0.12</v>
      </c>
      <c r="F16" s="11">
        <f t="shared" si="0"/>
        <v>796.68</v>
      </c>
      <c r="G16" s="61"/>
      <c r="H16" s="68" t="s">
        <v>437</v>
      </c>
      <c r="I16" s="69">
        <f t="shared" ref="I16:T16" si="2">SUM(I4:I15)</f>
        <v>3819</v>
      </c>
      <c r="J16" s="69">
        <f t="shared" si="2"/>
        <v>3172</v>
      </c>
      <c r="K16" s="69">
        <f t="shared" si="2"/>
        <v>4115</v>
      </c>
      <c r="L16" s="69">
        <f t="shared" si="2"/>
        <v>7284</v>
      </c>
      <c r="M16" s="69">
        <f t="shared" si="2"/>
        <v>6228</v>
      </c>
      <c r="N16" s="69">
        <f t="shared" si="2"/>
        <v>5818</v>
      </c>
      <c r="O16" s="69">
        <f t="shared" si="2"/>
        <v>28</v>
      </c>
      <c r="P16" s="69">
        <f t="shared" si="2"/>
        <v>0</v>
      </c>
      <c r="Q16" s="69">
        <f t="shared" si="2"/>
        <v>0</v>
      </c>
      <c r="R16" s="69">
        <f t="shared" si="2"/>
        <v>0</v>
      </c>
      <c r="S16" s="69">
        <f t="shared" si="2"/>
        <v>47033</v>
      </c>
      <c r="T16" s="70">
        <f t="shared" si="2"/>
        <v>77497</v>
      </c>
    </row>
    <row r="17" spans="1:20" ht="17.100000000000001" customHeight="1" x14ac:dyDescent="0.25">
      <c r="A17" s="268"/>
      <c r="B17" s="67" t="s">
        <v>389</v>
      </c>
      <c r="C17" s="11">
        <v>42240</v>
      </c>
      <c r="D17" s="12"/>
      <c r="E17" s="24">
        <v>0.12</v>
      </c>
      <c r="F17" s="11">
        <f t="shared" si="0"/>
        <v>5068.8</v>
      </c>
      <c r="G17" s="8"/>
      <c r="H17" s="17"/>
      <c r="I17" s="17"/>
      <c r="J17" s="17"/>
      <c r="K17" s="17"/>
      <c r="L17" s="17"/>
      <c r="M17" s="17"/>
      <c r="N17" s="17"/>
      <c r="O17" s="17"/>
      <c r="P17" s="17"/>
      <c r="Q17" s="17"/>
      <c r="R17" s="17"/>
      <c r="S17" s="17"/>
      <c r="T17" s="17"/>
    </row>
    <row r="18" spans="1:20" ht="17.100000000000001" customHeight="1" x14ac:dyDescent="0.25">
      <c r="A18" s="268"/>
      <c r="B18" s="67" t="s">
        <v>336</v>
      </c>
      <c r="C18" s="11">
        <v>77497</v>
      </c>
      <c r="D18" s="12"/>
      <c r="E18" s="24">
        <v>0.12</v>
      </c>
      <c r="F18" s="11">
        <f t="shared" si="0"/>
        <v>9299.64</v>
      </c>
      <c r="G18" s="8"/>
      <c r="H18" s="6"/>
      <c r="I18" s="6"/>
      <c r="J18" s="6"/>
      <c r="K18" s="6"/>
      <c r="L18" s="6"/>
      <c r="M18" s="6"/>
      <c r="N18" s="6"/>
      <c r="O18" s="6"/>
      <c r="P18" s="6"/>
      <c r="Q18" s="6"/>
      <c r="R18" s="6"/>
      <c r="S18" s="6"/>
      <c r="T18" s="6"/>
    </row>
    <row r="19" spans="1:20" ht="17.100000000000001" customHeight="1" x14ac:dyDescent="0.25">
      <c r="A19" s="268"/>
      <c r="B19" s="71" t="s">
        <v>392</v>
      </c>
      <c r="C19" s="11">
        <v>9620</v>
      </c>
      <c r="D19" s="12"/>
      <c r="E19" s="24">
        <v>0.12</v>
      </c>
      <c r="F19" s="11">
        <f t="shared" si="0"/>
        <v>1154.3999999999999</v>
      </c>
      <c r="G19" s="8"/>
      <c r="H19" s="6"/>
      <c r="I19" s="6"/>
      <c r="J19" s="6"/>
      <c r="K19" s="6"/>
      <c r="L19" s="6"/>
      <c r="M19" s="6"/>
      <c r="N19" s="6"/>
      <c r="O19" s="6"/>
      <c r="P19" s="6"/>
      <c r="Q19" s="6"/>
      <c r="R19" s="6"/>
      <c r="S19" s="6"/>
      <c r="T19" s="6"/>
    </row>
    <row r="20" spans="1:20" ht="17.100000000000001" customHeight="1" x14ac:dyDescent="0.25">
      <c r="A20" s="269"/>
      <c r="B20" s="222" t="s">
        <v>56</v>
      </c>
      <c r="C20" s="223"/>
      <c r="D20" s="223"/>
      <c r="E20" s="221"/>
      <c r="F20" s="41">
        <f>SUM(F4:F19)</f>
        <v>30531.119999999999</v>
      </c>
      <c r="G20" s="8"/>
      <c r="H20" s="6"/>
      <c r="I20" s="6"/>
      <c r="J20" s="6"/>
      <c r="K20" s="6"/>
      <c r="L20" s="6"/>
      <c r="M20" s="6"/>
      <c r="N20" s="6"/>
      <c r="O20" s="6"/>
      <c r="P20" s="6"/>
      <c r="Q20" s="6"/>
      <c r="R20" s="6"/>
      <c r="S20" s="6"/>
      <c r="T20" s="6"/>
    </row>
    <row r="21" spans="1:20" ht="17.100000000000001" customHeight="1" x14ac:dyDescent="0.25">
      <c r="A21" s="17"/>
      <c r="B21" s="17"/>
      <c r="C21" s="72">
        <f>SUM(C4:C19)</f>
        <v>254426</v>
      </c>
      <c r="D21" s="17"/>
      <c r="E21" s="17"/>
      <c r="F21" s="17"/>
      <c r="G21" s="6"/>
      <c r="H21" s="6"/>
      <c r="I21" s="6"/>
      <c r="J21" s="6"/>
      <c r="K21" s="6"/>
      <c r="L21" s="6"/>
      <c r="M21" s="6"/>
      <c r="N21" s="6"/>
      <c r="O21" s="6"/>
      <c r="P21" s="6"/>
      <c r="Q21" s="6"/>
      <c r="R21" s="6"/>
      <c r="S21" s="6"/>
      <c r="T21" s="6"/>
    </row>
    <row r="22" spans="1:20" ht="17.100000000000001" customHeight="1" x14ac:dyDescent="0.25">
      <c r="A22" s="7"/>
      <c r="B22" s="7"/>
      <c r="C22" s="7"/>
      <c r="D22" s="7"/>
      <c r="E22" s="7"/>
      <c r="F22" s="7"/>
      <c r="G22" s="7"/>
      <c r="H22" s="7"/>
      <c r="I22" s="7"/>
      <c r="J22" s="6"/>
      <c r="K22" s="6"/>
      <c r="L22" s="6"/>
      <c r="M22" s="6"/>
      <c r="N22" s="6"/>
      <c r="O22" s="6"/>
      <c r="P22" s="6"/>
      <c r="Q22" s="6"/>
      <c r="R22" s="6"/>
      <c r="S22" s="6"/>
      <c r="T22" s="6"/>
    </row>
    <row r="23" spans="1:20" ht="17.100000000000001" customHeight="1" x14ac:dyDescent="0.25">
      <c r="A23" s="224" t="s">
        <v>57</v>
      </c>
      <c r="B23" s="225"/>
      <c r="C23" s="225"/>
      <c r="D23" s="225"/>
      <c r="E23" s="225"/>
      <c r="F23" s="225"/>
      <c r="G23" s="225"/>
      <c r="H23" s="225"/>
      <c r="I23" s="226"/>
      <c r="J23" s="8"/>
      <c r="K23" s="6"/>
      <c r="L23" s="6"/>
      <c r="M23" s="6"/>
      <c r="N23" s="6"/>
      <c r="O23" s="6"/>
      <c r="P23" s="6"/>
      <c r="Q23" s="6"/>
      <c r="R23" s="6"/>
      <c r="S23" s="6"/>
      <c r="T23" s="6"/>
    </row>
    <row r="24" spans="1:20" ht="17.100000000000001" customHeight="1" x14ac:dyDescent="0.25">
      <c r="A24" s="227" t="s">
        <v>58</v>
      </c>
      <c r="B24" s="25" t="s">
        <v>59</v>
      </c>
      <c r="C24" s="25" t="s">
        <v>60</v>
      </c>
      <c r="D24" s="25" t="s">
        <v>61</v>
      </c>
      <c r="E24" s="25" t="s">
        <v>60</v>
      </c>
      <c r="F24" s="25" t="s">
        <v>62</v>
      </c>
      <c r="G24" s="25" t="s">
        <v>63</v>
      </c>
      <c r="H24" s="25" t="s">
        <v>64</v>
      </c>
      <c r="I24" s="25" t="s">
        <v>13</v>
      </c>
      <c r="J24" s="8"/>
      <c r="K24" s="6"/>
      <c r="L24" s="6"/>
      <c r="M24" s="6"/>
      <c r="N24" s="6"/>
      <c r="O24" s="6"/>
      <c r="P24" s="6"/>
      <c r="Q24" s="6"/>
      <c r="R24" s="6"/>
      <c r="S24" s="6"/>
      <c r="T24" s="6"/>
    </row>
    <row r="25" spans="1:20" ht="17.100000000000001" customHeight="1" x14ac:dyDescent="0.25">
      <c r="A25" s="228"/>
      <c r="B25" s="10" t="s">
        <v>340</v>
      </c>
      <c r="C25" s="12"/>
      <c r="D25" s="10" t="s">
        <v>351</v>
      </c>
      <c r="E25" s="12"/>
      <c r="F25" s="12"/>
      <c r="G25" s="12"/>
      <c r="H25" s="11">
        <v>1</v>
      </c>
      <c r="I25" s="11">
        <f>H25*52</f>
        <v>52</v>
      </c>
      <c r="J25" s="8"/>
      <c r="K25" s="6"/>
      <c r="L25" s="6"/>
      <c r="M25" s="6"/>
      <c r="N25" s="6"/>
      <c r="O25" s="6"/>
      <c r="P25" s="6"/>
      <c r="Q25" s="6"/>
      <c r="R25" s="6"/>
      <c r="S25" s="6"/>
      <c r="T25" s="6"/>
    </row>
    <row r="26" spans="1:20" ht="17.100000000000001" customHeight="1" x14ac:dyDescent="0.25">
      <c r="A26" s="228"/>
      <c r="B26" s="10" t="s">
        <v>336</v>
      </c>
      <c r="C26" s="12"/>
      <c r="D26" s="10" t="s">
        <v>345</v>
      </c>
      <c r="E26" s="12"/>
      <c r="F26" s="12"/>
      <c r="G26" s="12"/>
      <c r="H26" s="11">
        <v>1</v>
      </c>
      <c r="I26" s="11">
        <v>615.79999999999995</v>
      </c>
      <c r="J26" s="8"/>
      <c r="K26" s="6"/>
      <c r="L26" s="6"/>
      <c r="M26" s="6"/>
      <c r="N26" s="6"/>
      <c r="O26" s="6"/>
      <c r="P26" s="6"/>
      <c r="Q26" s="6"/>
      <c r="R26" s="6"/>
      <c r="S26" s="6"/>
      <c r="T26" s="6"/>
    </row>
    <row r="27" spans="1:20" ht="17.100000000000001" customHeight="1" x14ac:dyDescent="0.25">
      <c r="A27" s="228"/>
      <c r="B27" s="10" t="s">
        <v>445</v>
      </c>
      <c r="C27" s="12"/>
      <c r="D27" s="10" t="s">
        <v>341</v>
      </c>
      <c r="E27" s="12"/>
      <c r="F27" s="12"/>
      <c r="G27" s="12"/>
      <c r="H27" s="11">
        <v>2</v>
      </c>
      <c r="I27" s="11">
        <f>64.1*H27</f>
        <v>128.19999999999999</v>
      </c>
      <c r="J27" s="8"/>
      <c r="K27" s="6"/>
      <c r="L27" s="6"/>
      <c r="M27" s="6"/>
      <c r="N27" s="6"/>
      <c r="O27" s="6"/>
      <c r="P27" s="6"/>
      <c r="Q27" s="6"/>
      <c r="R27" s="6"/>
      <c r="S27" s="6"/>
      <c r="T27" s="6"/>
    </row>
    <row r="28" spans="1:20" ht="17.100000000000001" customHeight="1" x14ac:dyDescent="0.25">
      <c r="A28" s="228"/>
      <c r="B28" s="10" t="s">
        <v>445</v>
      </c>
      <c r="C28" s="12"/>
      <c r="D28" s="10" t="s">
        <v>344</v>
      </c>
      <c r="E28" s="12"/>
      <c r="F28" s="12"/>
      <c r="G28" s="12"/>
      <c r="H28" s="11">
        <v>3</v>
      </c>
      <c r="I28" s="11">
        <f>99.9*H28</f>
        <v>299.70000000000005</v>
      </c>
      <c r="J28" s="8"/>
      <c r="K28" s="6"/>
      <c r="L28" s="6"/>
      <c r="M28" s="6"/>
      <c r="N28" s="6"/>
      <c r="O28" s="6"/>
      <c r="P28" s="6"/>
      <c r="Q28" s="6"/>
      <c r="R28" s="6"/>
      <c r="S28" s="6"/>
      <c r="T28" s="6"/>
    </row>
    <row r="29" spans="1:20" ht="17.100000000000001" customHeight="1" x14ac:dyDescent="0.25">
      <c r="A29" s="228"/>
      <c r="B29" s="10" t="s">
        <v>445</v>
      </c>
      <c r="C29" s="12"/>
      <c r="D29" s="10" t="s">
        <v>346</v>
      </c>
      <c r="E29" s="12"/>
      <c r="F29" s="12"/>
      <c r="G29" s="12"/>
      <c r="H29" s="11">
        <v>1</v>
      </c>
      <c r="I29" s="11">
        <f>89.9*H29</f>
        <v>89.9</v>
      </c>
      <c r="J29" s="8"/>
      <c r="K29" s="6"/>
      <c r="L29" s="6"/>
      <c r="M29" s="6"/>
      <c r="N29" s="6"/>
      <c r="O29" s="6"/>
      <c r="P29" s="6"/>
      <c r="Q29" s="6"/>
      <c r="R29" s="6"/>
      <c r="S29" s="6"/>
      <c r="T29" s="6"/>
    </row>
    <row r="30" spans="1:20" ht="17.100000000000001" customHeight="1" x14ac:dyDescent="0.25">
      <c r="A30" s="228"/>
      <c r="B30" s="10" t="s">
        <v>445</v>
      </c>
      <c r="C30" s="12"/>
      <c r="D30" s="10" t="s">
        <v>355</v>
      </c>
      <c r="E30" s="12"/>
      <c r="F30" s="12"/>
      <c r="G30" s="12"/>
      <c r="H30" s="11">
        <v>2</v>
      </c>
      <c r="I30" s="11">
        <f>H30*621.4</f>
        <v>1242.8</v>
      </c>
      <c r="J30" s="8"/>
      <c r="K30" s="6"/>
      <c r="L30" s="6"/>
      <c r="M30" s="6"/>
      <c r="N30" s="6"/>
      <c r="O30" s="6"/>
      <c r="P30" s="6"/>
      <c r="Q30" s="6"/>
      <c r="R30" s="6"/>
      <c r="S30" s="6"/>
      <c r="T30" s="6"/>
    </row>
    <row r="31" spans="1:20" ht="17.100000000000001" customHeight="1" x14ac:dyDescent="0.25">
      <c r="A31" s="228"/>
      <c r="B31" s="10" t="s">
        <v>445</v>
      </c>
      <c r="C31" s="12"/>
      <c r="D31" s="10" t="s">
        <v>398</v>
      </c>
      <c r="E31" s="12"/>
      <c r="F31" s="12"/>
      <c r="G31" s="12"/>
      <c r="H31" s="11">
        <v>1</v>
      </c>
      <c r="I31" s="11">
        <f>422.6*H31</f>
        <v>422.6</v>
      </c>
      <c r="J31" s="8"/>
      <c r="K31" s="6"/>
      <c r="L31" s="6"/>
      <c r="M31" s="6"/>
      <c r="N31" s="6"/>
      <c r="O31" s="6"/>
      <c r="P31" s="6"/>
      <c r="Q31" s="6"/>
      <c r="R31" s="6"/>
      <c r="S31" s="6"/>
      <c r="T31" s="6"/>
    </row>
    <row r="32" spans="1:20" ht="17.100000000000001" customHeight="1" x14ac:dyDescent="0.25">
      <c r="A32" s="228"/>
      <c r="B32" s="10" t="s">
        <v>445</v>
      </c>
      <c r="C32" s="12"/>
      <c r="D32" s="10" t="s">
        <v>363</v>
      </c>
      <c r="E32" s="12"/>
      <c r="F32" s="12"/>
      <c r="G32" s="12"/>
      <c r="H32" s="11">
        <v>1</v>
      </c>
      <c r="I32" s="11">
        <f>H32*36.4</f>
        <v>36.4</v>
      </c>
      <c r="J32" s="8"/>
      <c r="K32" s="6"/>
      <c r="L32" s="6"/>
      <c r="M32" s="6"/>
      <c r="N32" s="6"/>
      <c r="O32" s="6"/>
      <c r="P32" s="6"/>
      <c r="Q32" s="6"/>
      <c r="R32" s="6"/>
      <c r="S32" s="6"/>
      <c r="T32" s="6"/>
    </row>
    <row r="33" spans="1:20" ht="17.100000000000001" customHeight="1" x14ac:dyDescent="0.25">
      <c r="A33" s="228"/>
      <c r="B33" s="10" t="s">
        <v>445</v>
      </c>
      <c r="C33" s="12"/>
      <c r="D33" s="10" t="s">
        <v>364</v>
      </c>
      <c r="E33" s="12"/>
      <c r="F33" s="12"/>
      <c r="G33" s="12"/>
      <c r="H33" s="11">
        <v>3</v>
      </c>
      <c r="I33" s="11">
        <f>H33*104.7</f>
        <v>314.10000000000002</v>
      </c>
      <c r="J33" s="8"/>
      <c r="K33" s="6"/>
      <c r="L33" s="6"/>
      <c r="M33" s="6"/>
      <c r="N33" s="6"/>
      <c r="O33" s="6"/>
      <c r="P33" s="6"/>
      <c r="Q33" s="6"/>
      <c r="R33" s="6"/>
      <c r="S33" s="6"/>
      <c r="T33" s="6"/>
    </row>
    <row r="34" spans="1:20" ht="17.100000000000001" customHeight="1" x14ac:dyDescent="0.25">
      <c r="A34" s="228"/>
      <c r="B34" s="10" t="s">
        <v>445</v>
      </c>
      <c r="C34" s="12"/>
      <c r="D34" s="10" t="s">
        <v>446</v>
      </c>
      <c r="E34" s="12"/>
      <c r="F34" s="12"/>
      <c r="G34" s="12"/>
      <c r="H34" s="11">
        <v>1</v>
      </c>
      <c r="I34" s="11">
        <v>735</v>
      </c>
      <c r="J34" s="8"/>
      <c r="K34" s="6"/>
      <c r="L34" s="6"/>
      <c r="M34" s="6"/>
      <c r="N34" s="6"/>
      <c r="O34" s="6"/>
      <c r="P34" s="6"/>
      <c r="Q34" s="6"/>
      <c r="R34" s="6"/>
      <c r="S34" s="6"/>
      <c r="T34" s="6"/>
    </row>
    <row r="35" spans="1:20" ht="17.100000000000001" customHeight="1" x14ac:dyDescent="0.25">
      <c r="A35" s="228"/>
      <c r="B35" s="10" t="s">
        <v>445</v>
      </c>
      <c r="C35" s="12"/>
      <c r="D35" s="10" t="s">
        <v>366</v>
      </c>
      <c r="E35" s="12"/>
      <c r="F35" s="12"/>
      <c r="G35" s="12"/>
      <c r="H35" s="11">
        <v>9</v>
      </c>
      <c r="I35" s="11">
        <f>H35*136.4</f>
        <v>1227.6000000000001</v>
      </c>
      <c r="J35" s="8"/>
      <c r="K35" s="6"/>
      <c r="L35" s="6"/>
      <c r="M35" s="6"/>
      <c r="N35" s="6"/>
      <c r="O35" s="6"/>
      <c r="P35" s="6"/>
      <c r="Q35" s="6"/>
      <c r="R35" s="6"/>
      <c r="S35" s="6"/>
      <c r="T35" s="6"/>
    </row>
    <row r="36" spans="1:20" ht="17.100000000000001" customHeight="1" x14ac:dyDescent="0.25">
      <c r="A36" s="228"/>
      <c r="B36" s="10" t="s">
        <v>445</v>
      </c>
      <c r="C36" s="12"/>
      <c r="D36" s="10" t="s">
        <v>373</v>
      </c>
      <c r="E36" s="12"/>
      <c r="F36" s="12"/>
      <c r="G36" s="12"/>
      <c r="H36" s="11">
        <v>3</v>
      </c>
      <c r="I36" s="11">
        <f>H36*155.2</f>
        <v>465.59999999999997</v>
      </c>
      <c r="J36" s="8"/>
      <c r="K36" s="6"/>
      <c r="L36" s="6"/>
      <c r="M36" s="6"/>
      <c r="N36" s="6"/>
      <c r="O36" s="6"/>
      <c r="P36" s="6"/>
      <c r="Q36" s="6"/>
      <c r="R36" s="6"/>
      <c r="S36" s="6"/>
      <c r="T36" s="6"/>
    </row>
    <row r="37" spans="1:20" ht="17.100000000000001" customHeight="1" x14ac:dyDescent="0.25">
      <c r="A37" s="228"/>
      <c r="B37" s="10" t="s">
        <v>445</v>
      </c>
      <c r="C37" s="12"/>
      <c r="D37" s="10" t="s">
        <v>374</v>
      </c>
      <c r="E37" s="12"/>
      <c r="F37" s="12"/>
      <c r="G37" s="12"/>
      <c r="H37" s="11">
        <v>3</v>
      </c>
      <c r="I37" s="11">
        <f>H37*61.3</f>
        <v>183.89999999999998</v>
      </c>
      <c r="J37" s="8"/>
      <c r="K37" s="6"/>
      <c r="L37" s="6"/>
      <c r="M37" s="6"/>
      <c r="N37" s="6"/>
      <c r="O37" s="6"/>
      <c r="P37" s="6"/>
      <c r="Q37" s="6"/>
      <c r="R37" s="6"/>
      <c r="S37" s="6"/>
      <c r="T37" s="6"/>
    </row>
    <row r="38" spans="1:20" ht="17.100000000000001" customHeight="1" x14ac:dyDescent="0.25">
      <c r="A38" s="228"/>
      <c r="B38" s="10" t="s">
        <v>445</v>
      </c>
      <c r="C38" s="12"/>
      <c r="D38" s="10" t="s">
        <v>375</v>
      </c>
      <c r="E38" s="12"/>
      <c r="F38" s="12"/>
      <c r="G38" s="12"/>
      <c r="H38" s="11">
        <v>2</v>
      </c>
      <c r="I38" s="11">
        <f>H38*75.8</f>
        <v>151.6</v>
      </c>
      <c r="J38" s="8"/>
      <c r="K38" s="6"/>
      <c r="L38" s="6"/>
      <c r="M38" s="6"/>
      <c r="N38" s="6"/>
      <c r="O38" s="6"/>
      <c r="P38" s="6"/>
      <c r="Q38" s="6"/>
      <c r="R38" s="6"/>
      <c r="S38" s="6"/>
      <c r="T38" s="6"/>
    </row>
    <row r="39" spans="1:20" ht="17.100000000000001" customHeight="1" x14ac:dyDescent="0.25">
      <c r="A39" s="228"/>
      <c r="B39" s="10" t="s">
        <v>445</v>
      </c>
      <c r="C39" s="12"/>
      <c r="D39" s="10" t="s">
        <v>384</v>
      </c>
      <c r="E39" s="12"/>
      <c r="F39" s="12"/>
      <c r="G39" s="12"/>
      <c r="H39" s="11">
        <v>2</v>
      </c>
      <c r="I39" s="11">
        <f>H39*528.4</f>
        <v>1056.8</v>
      </c>
      <c r="J39" s="8"/>
      <c r="K39" s="6"/>
      <c r="L39" s="6"/>
      <c r="M39" s="6"/>
      <c r="N39" s="6"/>
      <c r="O39" s="6"/>
      <c r="P39" s="6"/>
      <c r="Q39" s="6"/>
      <c r="R39" s="6"/>
      <c r="S39" s="6"/>
      <c r="T39" s="6"/>
    </row>
    <row r="40" spans="1:20" ht="17.100000000000001" customHeight="1" x14ac:dyDescent="0.25">
      <c r="A40" s="228"/>
      <c r="B40" s="10" t="s">
        <v>445</v>
      </c>
      <c r="C40" s="12"/>
      <c r="D40" s="10" t="s">
        <v>387</v>
      </c>
      <c r="E40" s="12"/>
      <c r="F40" s="12"/>
      <c r="G40" s="12"/>
      <c r="H40" s="11">
        <v>1</v>
      </c>
      <c r="I40" s="11">
        <v>121</v>
      </c>
      <c r="J40" s="8"/>
      <c r="K40" s="6"/>
      <c r="L40" s="6"/>
      <c r="M40" s="6"/>
      <c r="N40" s="6"/>
      <c r="O40" s="6"/>
      <c r="P40" s="6"/>
      <c r="Q40" s="6"/>
      <c r="R40" s="6"/>
      <c r="S40" s="6"/>
      <c r="T40" s="6"/>
    </row>
    <row r="41" spans="1:20" ht="17.100000000000001" customHeight="1" x14ac:dyDescent="0.25">
      <c r="A41" s="228"/>
      <c r="B41" s="10" t="s">
        <v>445</v>
      </c>
      <c r="C41" s="12"/>
      <c r="D41" s="10" t="s">
        <v>389</v>
      </c>
      <c r="E41" s="12"/>
      <c r="F41" s="12"/>
      <c r="G41" s="12"/>
      <c r="H41" s="11">
        <v>2</v>
      </c>
      <c r="I41" s="11">
        <f>H41*169.4</f>
        <v>338.8</v>
      </c>
      <c r="J41" s="8"/>
      <c r="K41" s="6"/>
      <c r="L41" s="6"/>
      <c r="M41" s="6"/>
      <c r="N41" s="6"/>
      <c r="O41" s="6"/>
      <c r="P41" s="6"/>
      <c r="Q41" s="6"/>
      <c r="R41" s="6"/>
      <c r="S41" s="6"/>
      <c r="T41" s="6"/>
    </row>
    <row r="42" spans="1:20" ht="17.100000000000001" customHeight="1" x14ac:dyDescent="0.25">
      <c r="A42" s="228"/>
      <c r="B42" s="10" t="s">
        <v>445</v>
      </c>
      <c r="C42" s="12"/>
      <c r="D42" s="10" t="s">
        <v>391</v>
      </c>
      <c r="E42" s="12"/>
      <c r="F42" s="12"/>
      <c r="G42" s="12"/>
      <c r="H42" s="11">
        <v>1</v>
      </c>
      <c r="I42" s="11">
        <f>H42*94</f>
        <v>94</v>
      </c>
      <c r="J42" s="8"/>
      <c r="K42" s="6"/>
      <c r="L42" s="6"/>
      <c r="M42" s="6"/>
      <c r="N42" s="6"/>
      <c r="O42" s="6"/>
      <c r="P42" s="6"/>
      <c r="Q42" s="6"/>
      <c r="R42" s="6"/>
      <c r="S42" s="6"/>
      <c r="T42" s="6"/>
    </row>
    <row r="43" spans="1:20" ht="17.100000000000001" customHeight="1" x14ac:dyDescent="0.25">
      <c r="A43" s="228"/>
      <c r="B43" s="10" t="s">
        <v>348</v>
      </c>
      <c r="C43" s="12"/>
      <c r="D43" s="10" t="s">
        <v>445</v>
      </c>
      <c r="E43" s="12"/>
      <c r="F43" s="12"/>
      <c r="G43" s="12"/>
      <c r="H43" s="11">
        <v>2</v>
      </c>
      <c r="I43" s="11">
        <f>465.4*H43</f>
        <v>930.8</v>
      </c>
      <c r="J43" s="8"/>
      <c r="K43" s="6"/>
      <c r="L43" s="6"/>
      <c r="M43" s="6"/>
      <c r="N43" s="6"/>
      <c r="O43" s="6"/>
      <c r="P43" s="6"/>
      <c r="Q43" s="6"/>
      <c r="R43" s="6"/>
      <c r="S43" s="6"/>
      <c r="T43" s="6"/>
    </row>
    <row r="44" spans="1:20" ht="17.100000000000001" customHeight="1" x14ac:dyDescent="0.25">
      <c r="A44" s="228"/>
      <c r="B44" s="10" t="s">
        <v>351</v>
      </c>
      <c r="C44" s="12"/>
      <c r="D44" s="10" t="s">
        <v>445</v>
      </c>
      <c r="E44" s="12"/>
      <c r="F44" s="12"/>
      <c r="G44" s="12"/>
      <c r="H44" s="11">
        <v>1</v>
      </c>
      <c r="I44" s="11">
        <f>121.2*H43</f>
        <v>242.4</v>
      </c>
      <c r="J44" s="8"/>
      <c r="K44" s="6"/>
      <c r="L44" s="6"/>
      <c r="M44" s="6"/>
      <c r="N44" s="6"/>
      <c r="O44" s="6"/>
      <c r="P44" s="6"/>
      <c r="Q44" s="6"/>
      <c r="R44" s="6"/>
      <c r="S44" s="6"/>
      <c r="T44" s="6"/>
    </row>
    <row r="45" spans="1:20" ht="17.100000000000001" customHeight="1" x14ac:dyDescent="0.25">
      <c r="A45" s="229"/>
      <c r="B45" s="230" t="s">
        <v>56</v>
      </c>
      <c r="C45" s="231"/>
      <c r="D45" s="231"/>
      <c r="E45" s="231"/>
      <c r="F45" s="231"/>
      <c r="G45" s="231"/>
      <c r="H45" s="232">
        <f>SUM(I24:I44)</f>
        <v>8749</v>
      </c>
      <c r="I45" s="231"/>
      <c r="J45" s="8"/>
      <c r="K45" s="6"/>
      <c r="L45" s="6"/>
      <c r="M45" s="6"/>
      <c r="N45" s="6"/>
      <c r="O45" s="6"/>
      <c r="P45" s="6"/>
      <c r="Q45" s="6"/>
      <c r="R45" s="6"/>
      <c r="S45" s="6"/>
      <c r="T45" s="6"/>
    </row>
  </sheetData>
  <mergeCells count="7">
    <mergeCell ref="A2:F2"/>
    <mergeCell ref="A3:A20"/>
    <mergeCell ref="B20:E20"/>
    <mergeCell ref="A23:I23"/>
    <mergeCell ref="A24:A45"/>
    <mergeCell ref="B45:G45"/>
    <mergeCell ref="H45:I45"/>
  </mergeCells>
  <pageMargins left="0.7" right="0.7" top="0.75" bottom="0.75" header="0.3" footer="0.3"/>
  <pageSetup orientation="portrait"/>
  <headerFooter>
    <oddFooter>&amp;C&amp;"Helvetica Neue,Regular"&amp;12&amp;K000000&amp;P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2"/>
  <sheetViews>
    <sheetView showGridLines="0" workbookViewId="0"/>
  </sheetViews>
  <sheetFormatPr baseColWidth="10" defaultColWidth="10.875" defaultRowHeight="15.75" customHeight="1" x14ac:dyDescent="0.25"/>
  <cols>
    <col min="1" max="1" width="12" style="73" customWidth="1"/>
    <col min="2" max="2" width="10.875" style="73" customWidth="1"/>
    <col min="3" max="3" width="25.5" style="73" customWidth="1"/>
    <col min="4" max="4" width="15.875" style="73" customWidth="1"/>
    <col min="5" max="6" width="18.875" style="73" customWidth="1"/>
    <col min="7" max="7" width="11.875" style="73" customWidth="1"/>
    <col min="8" max="8" width="10.875" style="73" customWidth="1"/>
    <col min="9" max="9" width="13.375" style="73" customWidth="1"/>
    <col min="10" max="10" width="13.5" style="73" customWidth="1"/>
    <col min="11" max="12" width="10.875" style="73" customWidth="1"/>
    <col min="13" max="13" width="12.375" style="73" customWidth="1"/>
    <col min="14" max="14" width="11.375" style="73" customWidth="1"/>
    <col min="15" max="256" width="10.875" style="73" customWidth="1"/>
  </cols>
  <sheetData>
    <row r="1" spans="1:24" ht="15.75" customHeight="1" x14ac:dyDescent="0.25">
      <c r="A1" s="360" t="s">
        <v>448</v>
      </c>
      <c r="B1" s="361"/>
      <c r="C1" s="74">
        <f>SUM(D5:D51)</f>
        <v>2555597.0566034438</v>
      </c>
      <c r="D1" s="74">
        <f>C1/1000</f>
        <v>2555.5970566034439</v>
      </c>
      <c r="E1" s="8"/>
      <c r="F1" s="6"/>
      <c r="G1" s="6"/>
      <c r="H1" s="6"/>
      <c r="I1" s="6"/>
      <c r="J1" s="6"/>
      <c r="K1" s="6"/>
      <c r="L1" s="6"/>
      <c r="M1" s="6"/>
      <c r="N1" s="6"/>
      <c r="O1" s="6"/>
      <c r="P1" s="6"/>
      <c r="Q1" s="6"/>
      <c r="R1" s="6"/>
      <c r="S1" s="6"/>
      <c r="T1" s="6"/>
      <c r="U1" s="6"/>
      <c r="V1" s="6"/>
      <c r="W1" s="6"/>
      <c r="X1" s="6"/>
    </row>
    <row r="2" spans="1:24" ht="15.75" customHeight="1" x14ac:dyDescent="0.25">
      <c r="A2" s="362"/>
      <c r="B2" s="363"/>
      <c r="C2" s="75" t="s">
        <v>33</v>
      </c>
      <c r="D2" s="75" t="s">
        <v>449</v>
      </c>
      <c r="E2" s="8"/>
      <c r="F2" s="6"/>
      <c r="G2" s="6"/>
      <c r="H2" s="6"/>
      <c r="I2" s="6"/>
      <c r="J2" s="6"/>
      <c r="K2" s="6"/>
      <c r="L2" s="6"/>
      <c r="M2" s="6"/>
      <c r="N2" s="6"/>
      <c r="O2" s="6"/>
      <c r="P2" s="6"/>
      <c r="Q2" s="6"/>
      <c r="R2" s="6"/>
      <c r="S2" s="6"/>
      <c r="T2" s="6"/>
      <c r="U2" s="6"/>
      <c r="V2" s="6"/>
      <c r="W2" s="6"/>
      <c r="X2" s="6"/>
    </row>
    <row r="3" spans="1:24" ht="16.5" customHeight="1" x14ac:dyDescent="0.25">
      <c r="A3" s="15"/>
      <c r="B3" s="15"/>
      <c r="C3" s="15"/>
      <c r="D3" s="15"/>
      <c r="E3" s="7"/>
      <c r="F3" s="6"/>
      <c r="G3" s="318" t="s">
        <v>450</v>
      </c>
      <c r="H3" s="319"/>
      <c r="I3" s="319"/>
      <c r="J3" s="319"/>
      <c r="K3" s="76"/>
      <c r="L3" s="76"/>
      <c r="M3" s="76"/>
      <c r="N3" s="6"/>
      <c r="O3" s="6"/>
      <c r="P3" s="6"/>
      <c r="Q3" s="6"/>
      <c r="R3" s="6"/>
      <c r="S3" s="6"/>
      <c r="T3" s="6"/>
      <c r="U3" s="6"/>
      <c r="V3" s="6"/>
      <c r="W3" s="6"/>
      <c r="X3" s="6"/>
    </row>
    <row r="4" spans="1:24" ht="15.75" customHeight="1" x14ac:dyDescent="0.25">
      <c r="A4" s="77" t="s">
        <v>451</v>
      </c>
      <c r="B4" s="77" t="s">
        <v>452</v>
      </c>
      <c r="C4" s="77" t="s">
        <v>453</v>
      </c>
      <c r="D4" s="77" t="s">
        <v>454</v>
      </c>
      <c r="E4" s="77" t="s">
        <v>455</v>
      </c>
      <c r="F4" s="78"/>
      <c r="G4" s="79" t="s">
        <v>456</v>
      </c>
      <c r="H4" s="80" t="s">
        <v>457</v>
      </c>
      <c r="I4" s="80" t="s">
        <v>458</v>
      </c>
      <c r="J4" s="81" t="s">
        <v>459</v>
      </c>
      <c r="K4" s="79" t="s">
        <v>460</v>
      </c>
      <c r="L4" s="80" t="s">
        <v>457</v>
      </c>
      <c r="M4" s="81" t="s">
        <v>458</v>
      </c>
      <c r="N4" s="82"/>
      <c r="O4" s="6"/>
      <c r="P4" s="6"/>
      <c r="Q4" s="6"/>
      <c r="R4" s="6"/>
      <c r="S4" s="6"/>
      <c r="T4" s="6"/>
      <c r="U4" s="6"/>
      <c r="V4" s="6"/>
      <c r="W4" s="6"/>
      <c r="X4" s="6"/>
    </row>
    <row r="5" spans="1:24" ht="15.75" customHeight="1" x14ac:dyDescent="0.25">
      <c r="A5" s="352" t="s">
        <v>4</v>
      </c>
      <c r="B5" s="355">
        <v>1</v>
      </c>
      <c r="C5" s="83" t="s">
        <v>7</v>
      </c>
      <c r="D5" s="84">
        <v>2496.3130000000001</v>
      </c>
      <c r="E5" s="85">
        <f t="shared" ref="E5:E23" si="0">D5/1000</f>
        <v>2.4963130000000002</v>
      </c>
      <c r="F5" s="86"/>
      <c r="G5" s="87" t="s">
        <v>4</v>
      </c>
      <c r="H5" s="47">
        <f>SUM(D5:D13)</f>
        <v>53795.014999999999</v>
      </c>
      <c r="I5" s="47">
        <f t="shared" ref="I5:I10" si="1">H5/1000</f>
        <v>53.795014999999999</v>
      </c>
      <c r="J5" s="88">
        <f t="shared" ref="J5:J10" si="2">(I5*100)/$G$13</f>
        <v>2.1049881420468179</v>
      </c>
      <c r="K5" s="89">
        <v>1</v>
      </c>
      <c r="L5" s="90">
        <f>SUM(D5:D8,D14:D17,D23:D26,D32:D35,D41:D44)</f>
        <v>576690.55865899997</v>
      </c>
      <c r="M5" s="91">
        <f>L5/1000</f>
        <v>576.69055865899998</v>
      </c>
      <c r="N5" s="82"/>
      <c r="O5" s="6"/>
      <c r="P5" s="6"/>
      <c r="Q5" s="6"/>
      <c r="R5" s="6"/>
      <c r="S5" s="6"/>
      <c r="T5" s="6"/>
      <c r="U5" s="6"/>
      <c r="V5" s="6"/>
      <c r="W5" s="6"/>
      <c r="X5" s="6"/>
    </row>
    <row r="6" spans="1:24" ht="15.75" customHeight="1" x14ac:dyDescent="0.25">
      <c r="A6" s="353"/>
      <c r="B6" s="356"/>
      <c r="C6" s="83" t="s">
        <v>461</v>
      </c>
      <c r="D6" s="84">
        <v>0</v>
      </c>
      <c r="E6" s="92">
        <f t="shared" si="0"/>
        <v>0</v>
      </c>
      <c r="F6" s="86"/>
      <c r="G6" s="87" t="s">
        <v>118</v>
      </c>
      <c r="H6" s="47">
        <f>SUM(D14:D22)</f>
        <v>576460.56664444401</v>
      </c>
      <c r="I6" s="47">
        <f t="shared" si="1"/>
        <v>576.46056664444404</v>
      </c>
      <c r="J6" s="88">
        <f t="shared" si="2"/>
        <v>22.556786295981961</v>
      </c>
      <c r="K6" s="366" t="s">
        <v>462</v>
      </c>
      <c r="L6" s="367"/>
      <c r="M6" s="91">
        <v>576.69055865899998</v>
      </c>
      <c r="N6" s="82"/>
      <c r="O6" s="6"/>
      <c r="P6" s="6"/>
      <c r="Q6" s="6"/>
      <c r="R6" s="6"/>
      <c r="S6" s="6"/>
      <c r="T6" s="6"/>
      <c r="U6" s="6"/>
      <c r="V6" s="6"/>
      <c r="W6" s="6"/>
      <c r="X6" s="6"/>
    </row>
    <row r="7" spans="1:24" ht="15.75" customHeight="1" x14ac:dyDescent="0.25">
      <c r="A7" s="353"/>
      <c r="B7" s="356"/>
      <c r="C7" s="83" t="s">
        <v>463</v>
      </c>
      <c r="D7" s="84">
        <v>0</v>
      </c>
      <c r="E7" s="92">
        <f t="shared" si="0"/>
        <v>0</v>
      </c>
      <c r="F7" s="86"/>
      <c r="G7" s="87" t="s">
        <v>233</v>
      </c>
      <c r="H7" s="47">
        <f>SUM(D23:D31)</f>
        <v>311414.85958000005</v>
      </c>
      <c r="I7" s="47">
        <f t="shared" si="1"/>
        <v>311.41485958000004</v>
      </c>
      <c r="J7" s="88">
        <f t="shared" si="2"/>
        <v>12.185600964570323</v>
      </c>
      <c r="K7" s="93">
        <v>2</v>
      </c>
      <c r="L7" s="47">
        <f>SUM(D9,D18,D27,D36,D45)+D50</f>
        <v>814240.11</v>
      </c>
      <c r="M7" s="94">
        <f>L7/1000</f>
        <v>814.24010999999996</v>
      </c>
      <c r="N7" s="82"/>
      <c r="O7" s="6"/>
      <c r="P7" s="6"/>
      <c r="Q7" s="6"/>
      <c r="R7" s="6"/>
      <c r="S7" s="6"/>
      <c r="T7" s="6"/>
      <c r="U7" s="6"/>
      <c r="V7" s="6"/>
      <c r="W7" s="6"/>
      <c r="X7" s="6"/>
    </row>
    <row r="8" spans="1:24" ht="15.75" customHeight="1" x14ac:dyDescent="0.25">
      <c r="A8" s="353"/>
      <c r="B8" s="357"/>
      <c r="C8" s="83" t="s">
        <v>29</v>
      </c>
      <c r="D8" s="84">
        <v>14900</v>
      </c>
      <c r="E8" s="85">
        <f t="shared" si="0"/>
        <v>14.9</v>
      </c>
      <c r="F8" s="86"/>
      <c r="G8" s="87" t="s">
        <v>75</v>
      </c>
      <c r="H8" s="47">
        <f>SUM(D32:D40)</f>
        <v>463533.73477899999</v>
      </c>
      <c r="I8" s="47">
        <f t="shared" si="1"/>
        <v>463.53373477899999</v>
      </c>
      <c r="J8" s="88">
        <f t="shared" si="2"/>
        <v>18.137982025815397</v>
      </c>
      <c r="K8" s="95">
        <v>3</v>
      </c>
      <c r="L8" s="47">
        <f>SUM(D10:D13,D19:D22,D28:D31,D37:D40,D46:D49,D51)</f>
        <v>1164666.3879444441</v>
      </c>
      <c r="M8" s="94">
        <f>L8/1000</f>
        <v>1164.6663879444441</v>
      </c>
      <c r="N8" s="82"/>
      <c r="O8" s="6"/>
      <c r="P8" s="6"/>
      <c r="Q8" s="6"/>
      <c r="R8" s="6"/>
      <c r="S8" s="6"/>
      <c r="T8" s="6"/>
      <c r="U8" s="6"/>
      <c r="V8" s="6"/>
      <c r="W8" s="6"/>
      <c r="X8" s="6"/>
    </row>
    <row r="9" spans="1:24" ht="16.5" customHeight="1" x14ac:dyDescent="0.25">
      <c r="A9" s="353"/>
      <c r="B9" s="96">
        <v>2</v>
      </c>
      <c r="C9" s="64" t="s">
        <v>464</v>
      </c>
      <c r="D9" s="66">
        <v>18098.28</v>
      </c>
      <c r="E9" s="97">
        <f t="shared" si="0"/>
        <v>18.098279999999999</v>
      </c>
      <c r="F9" s="86"/>
      <c r="G9" s="87" t="s">
        <v>196</v>
      </c>
      <c r="H9" s="47">
        <f>SUM(D41:D49)</f>
        <v>1111112.7605999999</v>
      </c>
      <c r="I9" s="47">
        <f t="shared" si="1"/>
        <v>1111.1127606</v>
      </c>
      <c r="J9" s="88">
        <f t="shared" si="2"/>
        <v>43.477619358223151</v>
      </c>
      <c r="K9" s="368" t="s">
        <v>465</v>
      </c>
      <c r="L9" s="369"/>
      <c r="M9" s="98">
        <f>M8+M7</f>
        <v>1978.906497944444</v>
      </c>
      <c r="N9" s="82"/>
      <c r="O9" s="6"/>
      <c r="P9" s="6"/>
      <c r="Q9" s="6"/>
      <c r="R9" s="6"/>
      <c r="S9" s="6"/>
      <c r="T9" s="6"/>
      <c r="U9" s="6"/>
      <c r="V9" s="6"/>
      <c r="W9" s="6"/>
      <c r="X9" s="6"/>
    </row>
    <row r="10" spans="1:24" ht="16.5" customHeight="1" x14ac:dyDescent="0.25">
      <c r="A10" s="353"/>
      <c r="B10" s="358">
        <v>3</v>
      </c>
      <c r="C10" s="28" t="s">
        <v>466</v>
      </c>
      <c r="D10" s="99">
        <v>16904.150000000001</v>
      </c>
      <c r="E10" s="99">
        <f t="shared" si="0"/>
        <v>16.904150000000001</v>
      </c>
      <c r="F10" s="86"/>
      <c r="G10" s="100" t="s">
        <v>425</v>
      </c>
      <c r="H10" s="101">
        <f>SUM(D50:D51)</f>
        <v>39280.119999999995</v>
      </c>
      <c r="I10" s="101">
        <f t="shared" si="1"/>
        <v>39.280119999999997</v>
      </c>
      <c r="J10" s="102">
        <f t="shared" si="2"/>
        <v>1.5370232133623543</v>
      </c>
      <c r="K10" s="103"/>
      <c r="L10" s="104"/>
      <c r="M10" s="104"/>
      <c r="N10" s="6"/>
      <c r="O10" s="6"/>
      <c r="P10" s="6"/>
      <c r="Q10" s="6"/>
      <c r="R10" s="6"/>
      <c r="S10" s="6"/>
      <c r="T10" s="6"/>
      <c r="U10" s="6"/>
      <c r="V10" s="6"/>
      <c r="W10" s="6"/>
      <c r="X10" s="6"/>
    </row>
    <row r="11" spans="1:24" ht="15.75" customHeight="1" x14ac:dyDescent="0.25">
      <c r="A11" s="353"/>
      <c r="B11" s="359"/>
      <c r="C11" s="28" t="s">
        <v>95</v>
      </c>
      <c r="D11" s="99">
        <v>2066.2719999999999</v>
      </c>
      <c r="E11" s="99">
        <f t="shared" si="0"/>
        <v>2.0662720000000001</v>
      </c>
      <c r="F11" s="8"/>
      <c r="G11" s="105"/>
      <c r="H11" s="105"/>
      <c r="I11" s="104"/>
      <c r="J11" s="104"/>
      <c r="K11" s="6"/>
      <c r="L11" s="6"/>
      <c r="M11" s="6"/>
      <c r="N11" s="6"/>
      <c r="O11" s="6"/>
      <c r="P11" s="6"/>
      <c r="Q11" s="6"/>
      <c r="R11" s="6"/>
      <c r="S11" s="6"/>
      <c r="T11" s="6"/>
      <c r="U11" s="6"/>
      <c r="V11" s="6"/>
      <c r="W11" s="6"/>
      <c r="X11" s="6"/>
    </row>
    <row r="12" spans="1:24" ht="15.75" customHeight="1" x14ac:dyDescent="0.25">
      <c r="A12" s="353"/>
      <c r="B12" s="359"/>
      <c r="C12" s="28" t="s">
        <v>467</v>
      </c>
      <c r="D12" s="106">
        <v>-1170</v>
      </c>
      <c r="E12" s="99">
        <f t="shared" si="0"/>
        <v>-1.17</v>
      </c>
      <c r="F12" s="61"/>
      <c r="G12" s="230" t="s">
        <v>468</v>
      </c>
      <c r="H12" s="231"/>
      <c r="I12" s="8"/>
      <c r="J12" s="6"/>
      <c r="K12" s="6"/>
      <c r="L12" s="6"/>
      <c r="M12" s="6"/>
      <c r="N12" s="6"/>
      <c r="O12" s="6"/>
      <c r="P12" s="6"/>
      <c r="Q12" s="6"/>
      <c r="R12" s="6"/>
      <c r="S12" s="6"/>
      <c r="T12" s="6"/>
      <c r="U12" s="6"/>
      <c r="V12" s="6"/>
      <c r="W12" s="6"/>
      <c r="X12" s="6"/>
    </row>
    <row r="13" spans="1:24" ht="15.75" customHeight="1" x14ac:dyDescent="0.25">
      <c r="A13" s="354"/>
      <c r="B13" s="359"/>
      <c r="C13" s="28" t="s">
        <v>469</v>
      </c>
      <c r="D13" s="106">
        <v>500</v>
      </c>
      <c r="E13" s="99">
        <f t="shared" si="0"/>
        <v>0.5</v>
      </c>
      <c r="F13" s="61"/>
      <c r="G13" s="370">
        <f>D1</f>
        <v>2555.5970566034439</v>
      </c>
      <c r="H13" s="90">
        <f>($M$6*100)/G13</f>
        <v>22.565785837359648</v>
      </c>
      <c r="I13" s="8"/>
      <c r="J13" s="6"/>
      <c r="K13" s="6"/>
      <c r="L13" s="6"/>
      <c r="M13" s="6"/>
      <c r="N13" s="6"/>
      <c r="O13" s="6"/>
      <c r="P13" s="6"/>
      <c r="Q13" s="6"/>
      <c r="R13" s="6"/>
      <c r="S13" s="6"/>
      <c r="T13" s="6"/>
      <c r="U13" s="6"/>
      <c r="V13" s="6"/>
      <c r="W13" s="6"/>
      <c r="X13" s="6"/>
    </row>
    <row r="14" spans="1:24" ht="15.75" customHeight="1" x14ac:dyDescent="0.25">
      <c r="A14" s="352" t="s">
        <v>118</v>
      </c>
      <c r="B14" s="355">
        <v>1</v>
      </c>
      <c r="C14" s="83" t="s">
        <v>7</v>
      </c>
      <c r="D14" s="85">
        <v>20440.657500000001</v>
      </c>
      <c r="E14" s="85">
        <f t="shared" si="0"/>
        <v>20.4406575</v>
      </c>
      <c r="F14" s="61"/>
      <c r="G14" s="371"/>
      <c r="H14" s="90">
        <f>(M9*100)/$G$13</f>
        <v>77.434214162640359</v>
      </c>
      <c r="I14" s="8"/>
      <c r="J14" s="6"/>
      <c r="K14" s="6"/>
      <c r="L14" s="6"/>
      <c r="M14" s="6"/>
      <c r="N14" s="6"/>
      <c r="O14" s="6"/>
      <c r="P14" s="6"/>
      <c r="Q14" s="6"/>
      <c r="R14" s="6"/>
      <c r="S14" s="6"/>
      <c r="T14" s="6"/>
      <c r="U14" s="6"/>
      <c r="V14" s="6"/>
      <c r="W14" s="6"/>
      <c r="X14" s="6"/>
    </row>
    <row r="15" spans="1:24" ht="15.75" customHeight="1" x14ac:dyDescent="0.25">
      <c r="A15" s="353"/>
      <c r="B15" s="356"/>
      <c r="C15" s="83" t="s">
        <v>461</v>
      </c>
      <c r="D15" s="84">
        <v>4500</v>
      </c>
      <c r="E15" s="85">
        <f t="shared" si="0"/>
        <v>4.5</v>
      </c>
      <c r="F15" s="8"/>
      <c r="G15" s="15"/>
      <c r="H15" s="15"/>
      <c r="I15" s="6"/>
      <c r="J15" s="6"/>
      <c r="K15" s="6"/>
      <c r="L15" s="6"/>
      <c r="M15" s="6"/>
      <c r="N15" s="6"/>
      <c r="O15" s="6"/>
      <c r="P15" s="6"/>
      <c r="Q15" s="6"/>
      <c r="R15" s="6"/>
      <c r="S15" s="6"/>
      <c r="T15" s="6"/>
      <c r="U15" s="6"/>
      <c r="V15" s="6"/>
      <c r="W15" s="6"/>
      <c r="X15" s="6"/>
    </row>
    <row r="16" spans="1:24" ht="15.75" customHeight="1" x14ac:dyDescent="0.25">
      <c r="A16" s="353"/>
      <c r="B16" s="356"/>
      <c r="C16" s="83" t="s">
        <v>463</v>
      </c>
      <c r="D16" s="84">
        <v>110</v>
      </c>
      <c r="E16" s="85">
        <f t="shared" si="0"/>
        <v>0.11</v>
      </c>
      <c r="F16" s="61"/>
      <c r="G16" s="230" t="s">
        <v>470</v>
      </c>
      <c r="H16" s="231"/>
      <c r="I16" s="8"/>
      <c r="J16" s="6"/>
      <c r="K16" s="6"/>
      <c r="L16" s="6"/>
      <c r="M16" s="6"/>
      <c r="N16" s="6"/>
      <c r="O16" s="6"/>
      <c r="P16" s="6"/>
      <c r="Q16" s="6"/>
      <c r="R16" s="6"/>
      <c r="S16" s="6"/>
      <c r="T16" s="6"/>
      <c r="U16" s="6"/>
      <c r="V16" s="6"/>
      <c r="W16" s="6"/>
      <c r="X16" s="6"/>
    </row>
    <row r="17" spans="1:24" ht="15.75" customHeight="1" x14ac:dyDescent="0.25">
      <c r="A17" s="353"/>
      <c r="B17" s="357"/>
      <c r="C17" s="83" t="s">
        <v>29</v>
      </c>
      <c r="D17" s="84">
        <v>173747.12</v>
      </c>
      <c r="E17" s="85">
        <f t="shared" si="0"/>
        <v>173.74712</v>
      </c>
      <c r="F17" s="61"/>
      <c r="G17" s="63" t="s">
        <v>471</v>
      </c>
      <c r="H17" s="90">
        <f>(M5*100)/$G$13</f>
        <v>22.565785837359648</v>
      </c>
      <c r="I17" s="8"/>
      <c r="J17" s="6"/>
      <c r="K17" s="6"/>
      <c r="L17" s="6"/>
      <c r="M17" s="6"/>
      <c r="N17" s="6"/>
      <c r="O17" s="6"/>
      <c r="P17" s="6"/>
      <c r="Q17" s="6"/>
      <c r="R17" s="6"/>
      <c r="S17" s="6"/>
      <c r="T17" s="6"/>
      <c r="U17" s="6"/>
      <c r="V17" s="6"/>
      <c r="W17" s="6"/>
      <c r="X17" s="6"/>
    </row>
    <row r="18" spans="1:24" ht="15.75" customHeight="1" x14ac:dyDescent="0.25">
      <c r="A18" s="353"/>
      <c r="B18" s="96">
        <v>2</v>
      </c>
      <c r="C18" s="64" t="s">
        <v>464</v>
      </c>
      <c r="D18" s="66">
        <v>182919.6</v>
      </c>
      <c r="E18" s="97">
        <f t="shared" si="0"/>
        <v>182.9196</v>
      </c>
      <c r="F18" s="61"/>
      <c r="G18" s="10" t="s">
        <v>37</v>
      </c>
      <c r="H18" s="47">
        <f>(M7*100)/$G$13</f>
        <v>31.86105211289367</v>
      </c>
      <c r="I18" s="8"/>
      <c r="J18" s="6"/>
      <c r="K18" s="6"/>
      <c r="L18" s="6"/>
      <c r="M18" s="6"/>
      <c r="N18" s="6"/>
      <c r="O18" s="6"/>
      <c r="P18" s="6"/>
      <c r="Q18" s="6"/>
      <c r="R18" s="6"/>
      <c r="S18" s="6"/>
      <c r="T18" s="6"/>
      <c r="U18" s="6"/>
      <c r="V18" s="6"/>
      <c r="W18" s="6"/>
      <c r="X18" s="6"/>
    </row>
    <row r="19" spans="1:24" ht="15.75" customHeight="1" x14ac:dyDescent="0.25">
      <c r="A19" s="353"/>
      <c r="B19" s="358">
        <v>3</v>
      </c>
      <c r="C19" s="28" t="s">
        <v>466</v>
      </c>
      <c r="D19" s="99">
        <v>188800.604444444</v>
      </c>
      <c r="E19" s="99">
        <f t="shared" si="0"/>
        <v>188.80060444444399</v>
      </c>
      <c r="F19" s="61"/>
      <c r="G19" s="10" t="s">
        <v>57</v>
      </c>
      <c r="H19" s="90">
        <f>(M8*100)/$G$13</f>
        <v>45.573162049746692</v>
      </c>
      <c r="I19" s="8"/>
      <c r="J19" s="6"/>
      <c r="K19" s="6"/>
      <c r="L19" s="6"/>
      <c r="M19" s="6"/>
      <c r="N19" s="6"/>
      <c r="O19" s="6"/>
      <c r="P19" s="6"/>
      <c r="Q19" s="6"/>
      <c r="R19" s="6"/>
      <c r="S19" s="6"/>
      <c r="T19" s="6"/>
      <c r="U19" s="6"/>
      <c r="V19" s="6"/>
      <c r="W19" s="6"/>
      <c r="X19" s="6"/>
    </row>
    <row r="20" spans="1:24" ht="15.75" customHeight="1" x14ac:dyDescent="0.25">
      <c r="A20" s="353"/>
      <c r="B20" s="359"/>
      <c r="C20" s="28" t="s">
        <v>95</v>
      </c>
      <c r="D20" s="106">
        <v>4782.5847000000003</v>
      </c>
      <c r="E20" s="99">
        <f t="shared" si="0"/>
        <v>4.7825847000000001</v>
      </c>
      <c r="F20" s="8"/>
      <c r="G20" s="17"/>
      <c r="H20" s="107"/>
      <c r="I20" s="6"/>
      <c r="J20" s="6"/>
      <c r="K20" s="6"/>
      <c r="L20" s="6"/>
      <c r="M20" s="6"/>
      <c r="N20" s="6"/>
      <c r="O20" s="6"/>
      <c r="P20" s="6"/>
      <c r="Q20" s="6"/>
      <c r="R20" s="6"/>
      <c r="S20" s="6"/>
      <c r="T20" s="6"/>
      <c r="U20" s="6"/>
      <c r="V20" s="6"/>
      <c r="W20" s="6"/>
      <c r="X20" s="6"/>
    </row>
    <row r="21" spans="1:24" ht="15.75" customHeight="1" x14ac:dyDescent="0.25">
      <c r="A21" s="353"/>
      <c r="B21" s="359"/>
      <c r="C21" s="28" t="s">
        <v>467</v>
      </c>
      <c r="D21" s="106">
        <v>-3010</v>
      </c>
      <c r="E21" s="99">
        <f t="shared" si="0"/>
        <v>-3.01</v>
      </c>
      <c r="F21" s="8"/>
      <c r="G21" s="6"/>
      <c r="H21" s="6"/>
      <c r="I21" s="6"/>
      <c r="J21" s="6"/>
      <c r="K21" s="6"/>
      <c r="L21" s="6"/>
      <c r="M21" s="6"/>
      <c r="N21" s="6"/>
      <c r="O21" s="6"/>
      <c r="P21" s="6"/>
      <c r="Q21" s="6"/>
      <c r="R21" s="6"/>
      <c r="S21" s="6"/>
      <c r="T21" s="6"/>
      <c r="U21" s="6"/>
      <c r="V21" s="6"/>
      <c r="W21" s="6"/>
      <c r="X21" s="6"/>
    </row>
    <row r="22" spans="1:24" ht="15.75" customHeight="1" x14ac:dyDescent="0.25">
      <c r="A22" s="354"/>
      <c r="B22" s="359"/>
      <c r="C22" s="28" t="s">
        <v>469</v>
      </c>
      <c r="D22" s="106">
        <v>4170</v>
      </c>
      <c r="E22" s="99">
        <f t="shared" si="0"/>
        <v>4.17</v>
      </c>
      <c r="F22" s="8"/>
      <c r="G22" s="6"/>
      <c r="H22" s="6"/>
      <c r="I22" s="6"/>
      <c r="J22" s="6"/>
      <c r="K22" s="6"/>
      <c r="L22" s="6"/>
      <c r="M22" s="6"/>
      <c r="N22" s="6"/>
      <c r="O22" s="6"/>
      <c r="P22" s="6"/>
      <c r="Q22" s="6"/>
      <c r="R22" s="6"/>
      <c r="S22" s="6"/>
      <c r="T22" s="6"/>
      <c r="U22" s="6"/>
      <c r="V22" s="6"/>
      <c r="W22" s="6"/>
      <c r="X22" s="6"/>
    </row>
    <row r="23" spans="1:24" ht="15.75" customHeight="1" x14ac:dyDescent="0.25">
      <c r="A23" s="352" t="s">
        <v>233</v>
      </c>
      <c r="B23" s="355">
        <v>1</v>
      </c>
      <c r="C23" s="83" t="s">
        <v>7</v>
      </c>
      <c r="D23" s="85">
        <v>1664.5765799999999</v>
      </c>
      <c r="E23" s="85">
        <f t="shared" si="0"/>
        <v>1.6645765799999999</v>
      </c>
      <c r="F23" s="8"/>
      <c r="G23" s="6"/>
      <c r="H23" s="6"/>
      <c r="I23" s="6"/>
      <c r="J23" s="6"/>
      <c r="K23" s="6"/>
      <c r="L23" s="6"/>
      <c r="M23" s="6"/>
      <c r="N23" s="6"/>
      <c r="O23" s="6"/>
      <c r="P23" s="6"/>
      <c r="Q23" s="6"/>
      <c r="R23" s="6"/>
      <c r="S23" s="6"/>
      <c r="T23" s="6"/>
      <c r="U23" s="6"/>
      <c r="V23" s="6"/>
      <c r="W23" s="6"/>
      <c r="X23" s="6"/>
    </row>
    <row r="24" spans="1:24" ht="15.75" customHeight="1" x14ac:dyDescent="0.25">
      <c r="A24" s="353"/>
      <c r="B24" s="356"/>
      <c r="C24" s="83" t="s">
        <v>461</v>
      </c>
      <c r="D24" s="84">
        <v>0</v>
      </c>
      <c r="E24" s="92">
        <v>0</v>
      </c>
      <c r="F24" s="8"/>
      <c r="G24" s="7"/>
      <c r="H24" s="7"/>
      <c r="I24" s="7"/>
      <c r="J24" s="7"/>
      <c r="K24" s="7"/>
      <c r="L24" s="6"/>
      <c r="M24" s="6"/>
      <c r="N24" s="6"/>
      <c r="O24" s="6"/>
      <c r="P24" s="6"/>
      <c r="Q24" s="6"/>
      <c r="R24" s="6"/>
      <c r="S24" s="6"/>
      <c r="T24" s="6"/>
      <c r="U24" s="6"/>
      <c r="V24" s="6"/>
      <c r="W24" s="6"/>
      <c r="X24" s="6"/>
    </row>
    <row r="25" spans="1:24" ht="15.75" customHeight="1" x14ac:dyDescent="0.25">
      <c r="A25" s="353"/>
      <c r="B25" s="356"/>
      <c r="C25" s="83" t="s">
        <v>463</v>
      </c>
      <c r="D25" s="84">
        <v>0</v>
      </c>
      <c r="E25" s="92">
        <v>0</v>
      </c>
      <c r="F25" s="61"/>
      <c r="G25" s="379" t="s">
        <v>472</v>
      </c>
      <c r="H25" s="380"/>
      <c r="I25" s="380"/>
      <c r="J25" s="380"/>
      <c r="K25" s="380"/>
      <c r="L25" s="8"/>
      <c r="M25" s="6"/>
      <c r="N25" s="6"/>
      <c r="O25" s="6"/>
      <c r="P25" s="6"/>
      <c r="Q25" s="6"/>
      <c r="R25" s="6"/>
      <c r="S25" s="6"/>
      <c r="T25" s="6"/>
      <c r="U25" s="6"/>
      <c r="V25" s="6"/>
      <c r="W25" s="6"/>
      <c r="X25" s="6"/>
    </row>
    <row r="26" spans="1:24" ht="15.75" customHeight="1" x14ac:dyDescent="0.25">
      <c r="A26" s="353"/>
      <c r="B26" s="357"/>
      <c r="C26" s="83" t="s">
        <v>29</v>
      </c>
      <c r="D26" s="84">
        <v>59600</v>
      </c>
      <c r="E26" s="85">
        <f t="shared" ref="E26:E43" si="3">D26/1000</f>
        <v>59.6</v>
      </c>
      <c r="F26" s="61"/>
      <c r="G26" s="345" t="s">
        <v>473</v>
      </c>
      <c r="H26" s="346"/>
      <c r="I26" s="346"/>
      <c r="J26" s="346"/>
      <c r="K26" s="346"/>
      <c r="L26" s="8"/>
      <c r="M26" s="6"/>
      <c r="N26" s="6"/>
      <c r="O26" s="6"/>
      <c r="P26" s="6"/>
      <c r="Q26" s="6"/>
      <c r="R26" s="6"/>
      <c r="S26" s="6"/>
      <c r="T26" s="6"/>
      <c r="U26" s="6"/>
      <c r="V26" s="6"/>
      <c r="W26" s="6"/>
      <c r="X26" s="6"/>
    </row>
    <row r="27" spans="1:24" ht="15.75" customHeight="1" x14ac:dyDescent="0.25">
      <c r="A27" s="353"/>
      <c r="B27" s="96">
        <v>2</v>
      </c>
      <c r="C27" s="64" t="s">
        <v>464</v>
      </c>
      <c r="D27" s="66">
        <v>46291.56</v>
      </c>
      <c r="E27" s="97">
        <f t="shared" si="3"/>
        <v>46.291559999999997</v>
      </c>
      <c r="F27" s="61"/>
      <c r="G27" s="108" t="s">
        <v>452</v>
      </c>
      <c r="H27" s="331" t="s">
        <v>474</v>
      </c>
      <c r="I27" s="332"/>
      <c r="J27" s="108" t="s">
        <v>475</v>
      </c>
      <c r="K27" s="108" t="s">
        <v>476</v>
      </c>
      <c r="L27" s="8"/>
      <c r="M27" s="6"/>
      <c r="N27" s="6"/>
      <c r="O27" s="6"/>
      <c r="P27" s="6"/>
      <c r="Q27" s="6"/>
      <c r="R27" s="6"/>
      <c r="S27" s="6"/>
      <c r="T27" s="6"/>
      <c r="U27" s="6"/>
      <c r="V27" s="6"/>
      <c r="W27" s="6"/>
      <c r="X27" s="6"/>
    </row>
    <row r="28" spans="1:24" ht="17.100000000000001" customHeight="1" x14ac:dyDescent="0.25">
      <c r="A28" s="353"/>
      <c r="B28" s="358">
        <v>3</v>
      </c>
      <c r="C28" s="28" t="s">
        <v>466</v>
      </c>
      <c r="D28" s="109">
        <v>203207.6</v>
      </c>
      <c r="E28" s="99">
        <f t="shared" si="3"/>
        <v>203.20760000000001</v>
      </c>
      <c r="F28" s="61"/>
      <c r="G28" s="343" t="s">
        <v>477</v>
      </c>
      <c r="H28" s="327" t="s">
        <v>7</v>
      </c>
      <c r="I28" s="328"/>
      <c r="J28" s="110">
        <f>E5+E14+E23+E32+E41</f>
        <v>268.505908659</v>
      </c>
      <c r="K28" s="111">
        <f t="shared" ref="K28:K33" si="4">(J28*100)/$G$13</f>
        <v>10.506582325457128</v>
      </c>
      <c r="L28" s="8"/>
      <c r="M28" s="6"/>
      <c r="N28" s="6"/>
      <c r="O28" s="6"/>
      <c r="P28" s="6"/>
      <c r="Q28" s="6"/>
      <c r="R28" s="6"/>
      <c r="S28" s="6"/>
      <c r="T28" s="6"/>
      <c r="U28" s="6"/>
      <c r="V28" s="6"/>
      <c r="W28" s="6"/>
      <c r="X28" s="6"/>
    </row>
    <row r="29" spans="1:24" ht="15.75" customHeight="1" x14ac:dyDescent="0.25">
      <c r="A29" s="353"/>
      <c r="B29" s="359"/>
      <c r="C29" s="28" t="s">
        <v>95</v>
      </c>
      <c r="D29" s="99">
        <v>3671.123</v>
      </c>
      <c r="E29" s="99">
        <f t="shared" si="3"/>
        <v>3.6711230000000001</v>
      </c>
      <c r="F29" s="61"/>
      <c r="G29" s="344"/>
      <c r="H29" s="325" t="s">
        <v>461</v>
      </c>
      <c r="I29" s="326"/>
      <c r="J29" s="111">
        <f>E6+E15+E24+E33+E42</f>
        <v>59.214199999999998</v>
      </c>
      <c r="K29" s="111">
        <f t="shared" si="4"/>
        <v>2.3170397636433169</v>
      </c>
      <c r="L29" s="8"/>
      <c r="M29" s="6"/>
      <c r="N29" s="6"/>
      <c r="O29" s="6"/>
      <c r="P29" s="6"/>
      <c r="Q29" s="6"/>
      <c r="R29" s="6"/>
      <c r="S29" s="6"/>
      <c r="T29" s="6"/>
      <c r="U29" s="6"/>
      <c r="V29" s="6"/>
      <c r="W29" s="6"/>
      <c r="X29" s="6"/>
    </row>
    <row r="30" spans="1:24" ht="15.75" customHeight="1" x14ac:dyDescent="0.25">
      <c r="A30" s="353"/>
      <c r="B30" s="359"/>
      <c r="C30" s="28" t="s">
        <v>467</v>
      </c>
      <c r="D30" s="106">
        <v>-2980</v>
      </c>
      <c r="E30" s="99">
        <f t="shared" si="3"/>
        <v>-2.98</v>
      </c>
      <c r="F30" s="61"/>
      <c r="G30" s="344"/>
      <c r="H30" s="327" t="s">
        <v>463</v>
      </c>
      <c r="I30" s="328"/>
      <c r="J30" s="110">
        <f>E7+E16+E25+E34+E43</f>
        <v>0.72333000000000003</v>
      </c>
      <c r="K30" s="111">
        <f t="shared" si="4"/>
        <v>2.8303757751284665E-2</v>
      </c>
      <c r="L30" s="8"/>
      <c r="M30" s="6"/>
      <c r="N30" s="6"/>
      <c r="O30" s="6"/>
      <c r="P30" s="6"/>
      <c r="Q30" s="6"/>
      <c r="R30" s="6"/>
      <c r="S30" s="6"/>
      <c r="T30" s="6"/>
      <c r="U30" s="6"/>
      <c r="V30" s="6"/>
      <c r="W30" s="6"/>
      <c r="X30" s="6"/>
    </row>
    <row r="31" spans="1:24" ht="15.75" customHeight="1" x14ac:dyDescent="0.25">
      <c r="A31" s="354"/>
      <c r="B31" s="359"/>
      <c r="C31" s="28" t="s">
        <v>469</v>
      </c>
      <c r="D31" s="106">
        <v>-40</v>
      </c>
      <c r="E31" s="99">
        <f t="shared" si="3"/>
        <v>-0.04</v>
      </c>
      <c r="F31" s="61"/>
      <c r="G31" s="344"/>
      <c r="H31" s="327" t="s">
        <v>29</v>
      </c>
      <c r="I31" s="328"/>
      <c r="J31" s="110">
        <f>E8+E17+E26+E35+E44</f>
        <v>248.24712</v>
      </c>
      <c r="K31" s="111">
        <f t="shared" si="4"/>
        <v>9.7138599905079204</v>
      </c>
      <c r="L31" s="8"/>
      <c r="M31" s="6"/>
      <c r="N31" s="6"/>
      <c r="O31" s="6"/>
      <c r="P31" s="6"/>
      <c r="Q31" s="6"/>
      <c r="R31" s="6"/>
      <c r="S31" s="6"/>
      <c r="T31" s="6"/>
      <c r="U31" s="6"/>
      <c r="V31" s="6"/>
      <c r="W31" s="6"/>
      <c r="X31" s="6"/>
    </row>
    <row r="32" spans="1:24" ht="15.75" customHeight="1" x14ac:dyDescent="0.25">
      <c r="A32" s="352" t="s">
        <v>75</v>
      </c>
      <c r="B32" s="355">
        <v>1</v>
      </c>
      <c r="C32" s="83" t="s">
        <v>7</v>
      </c>
      <c r="D32" s="85">
        <v>75348.850978999995</v>
      </c>
      <c r="E32" s="85">
        <f t="shared" si="3"/>
        <v>75.348850978999991</v>
      </c>
      <c r="F32" s="61"/>
      <c r="G32" s="344"/>
      <c r="H32" s="345" t="s">
        <v>35</v>
      </c>
      <c r="I32" s="346"/>
      <c r="J32" s="112">
        <f>SUM(J28:J31)</f>
        <v>576.69055865899998</v>
      </c>
      <c r="K32" s="113">
        <f t="shared" si="4"/>
        <v>22.565785837359648</v>
      </c>
      <c r="L32" s="8"/>
      <c r="M32" s="6"/>
      <c r="N32" s="6"/>
      <c r="O32" s="6"/>
      <c r="P32" s="6"/>
      <c r="Q32" s="6"/>
      <c r="R32" s="6"/>
      <c r="S32" s="6"/>
      <c r="T32" s="6"/>
      <c r="U32" s="6"/>
      <c r="V32" s="6"/>
      <c r="W32" s="6"/>
      <c r="X32" s="6"/>
    </row>
    <row r="33" spans="1:24" ht="15.75" customHeight="1" x14ac:dyDescent="0.25">
      <c r="A33" s="353"/>
      <c r="B33" s="356"/>
      <c r="C33" s="83" t="s">
        <v>461</v>
      </c>
      <c r="D33" s="84">
        <v>9484.2000000000007</v>
      </c>
      <c r="E33" s="85">
        <f t="shared" si="3"/>
        <v>9.4842000000000013</v>
      </c>
      <c r="F33" s="61"/>
      <c r="G33" s="343" t="s">
        <v>478</v>
      </c>
      <c r="H33" s="333" t="s">
        <v>464</v>
      </c>
      <c r="I33" s="334"/>
      <c r="J33" s="322">
        <f>E9+E18+E27+E45+E36+E50</f>
        <v>814.24010999999996</v>
      </c>
      <c r="K33" s="372">
        <f t="shared" si="4"/>
        <v>31.86105211289367</v>
      </c>
      <c r="L33" s="8"/>
      <c r="M33" s="6"/>
      <c r="N33" s="6"/>
      <c r="O33" s="6"/>
      <c r="P33" s="6"/>
      <c r="Q33" s="6"/>
      <c r="R33" s="6"/>
      <c r="S33" s="6"/>
      <c r="T33" s="6"/>
      <c r="U33" s="6"/>
      <c r="V33" s="6"/>
      <c r="W33" s="6"/>
      <c r="X33" s="6"/>
    </row>
    <row r="34" spans="1:24" ht="15.75" customHeight="1" x14ac:dyDescent="0.25">
      <c r="A34" s="353"/>
      <c r="B34" s="356"/>
      <c r="C34" s="83" t="s">
        <v>463</v>
      </c>
      <c r="D34" s="84">
        <v>108.33</v>
      </c>
      <c r="E34" s="85">
        <f t="shared" si="3"/>
        <v>0.10833</v>
      </c>
      <c r="F34" s="61"/>
      <c r="G34" s="344"/>
      <c r="H34" s="335"/>
      <c r="I34" s="336"/>
      <c r="J34" s="323"/>
      <c r="K34" s="373"/>
      <c r="L34" s="8"/>
      <c r="M34" s="6"/>
      <c r="N34" s="6"/>
      <c r="O34" s="6"/>
      <c r="P34" s="6"/>
      <c r="Q34" s="6"/>
      <c r="R34" s="6"/>
      <c r="S34" s="6"/>
      <c r="T34" s="6"/>
      <c r="U34" s="6"/>
      <c r="V34" s="6"/>
      <c r="W34" s="6"/>
      <c r="X34" s="6"/>
    </row>
    <row r="35" spans="1:24" ht="15.75" customHeight="1" x14ac:dyDescent="0.25">
      <c r="A35" s="353"/>
      <c r="B35" s="357"/>
      <c r="C35" s="83" t="s">
        <v>29</v>
      </c>
      <c r="D35" s="84">
        <v>0</v>
      </c>
      <c r="E35" s="92">
        <f t="shared" si="3"/>
        <v>0</v>
      </c>
      <c r="F35" s="61"/>
      <c r="G35" s="344"/>
      <c r="H35" s="337"/>
      <c r="I35" s="338"/>
      <c r="J35" s="324"/>
      <c r="K35" s="374"/>
      <c r="L35" s="8"/>
      <c r="M35" s="6"/>
      <c r="N35" s="6"/>
      <c r="O35" s="6"/>
      <c r="P35" s="6"/>
      <c r="Q35" s="6"/>
      <c r="R35" s="6"/>
      <c r="S35" s="6"/>
      <c r="T35" s="6"/>
      <c r="U35" s="6"/>
      <c r="V35" s="6"/>
      <c r="W35" s="6"/>
      <c r="X35" s="6"/>
    </row>
    <row r="36" spans="1:24" ht="15.75" customHeight="1" x14ac:dyDescent="0.25">
      <c r="A36" s="353"/>
      <c r="B36" s="96">
        <v>2</v>
      </c>
      <c r="C36" s="64" t="s">
        <v>464</v>
      </c>
      <c r="D36" s="66">
        <v>274977.71999999997</v>
      </c>
      <c r="E36" s="97">
        <f t="shared" si="3"/>
        <v>274.97771999999998</v>
      </c>
      <c r="F36" s="61"/>
      <c r="G36" s="344"/>
      <c r="H36" s="339" t="s">
        <v>479</v>
      </c>
      <c r="I36" s="340"/>
      <c r="J36" s="375">
        <v>814.24</v>
      </c>
      <c r="K36" s="377">
        <f>K33</f>
        <v>31.86105211289367</v>
      </c>
      <c r="L36" s="8"/>
      <c r="M36" s="6"/>
      <c r="N36" s="6"/>
      <c r="O36" s="6"/>
      <c r="P36" s="6"/>
      <c r="Q36" s="6"/>
      <c r="R36" s="6"/>
      <c r="S36" s="6"/>
      <c r="T36" s="6"/>
      <c r="U36" s="6"/>
      <c r="V36" s="6"/>
      <c r="W36" s="6"/>
      <c r="X36" s="6"/>
    </row>
    <row r="37" spans="1:24" ht="15.75" customHeight="1" x14ac:dyDescent="0.25">
      <c r="A37" s="353"/>
      <c r="B37" s="358">
        <v>3</v>
      </c>
      <c r="C37" s="28" t="s">
        <v>466</v>
      </c>
      <c r="D37" s="106">
        <v>97673.9</v>
      </c>
      <c r="E37" s="99">
        <f t="shared" si="3"/>
        <v>97.673899999999989</v>
      </c>
      <c r="F37" s="61"/>
      <c r="G37" s="344"/>
      <c r="H37" s="341"/>
      <c r="I37" s="342"/>
      <c r="J37" s="376"/>
      <c r="K37" s="378"/>
      <c r="L37" s="8"/>
      <c r="M37" s="6"/>
      <c r="N37" s="6"/>
      <c r="O37" s="6"/>
      <c r="P37" s="6"/>
      <c r="Q37" s="6"/>
      <c r="R37" s="6"/>
      <c r="S37" s="6"/>
      <c r="T37" s="6"/>
      <c r="U37" s="6"/>
      <c r="V37" s="6"/>
      <c r="W37" s="6"/>
      <c r="X37" s="6"/>
    </row>
    <row r="38" spans="1:24" ht="17.100000000000001" customHeight="1" x14ac:dyDescent="0.25">
      <c r="A38" s="353"/>
      <c r="B38" s="359"/>
      <c r="C38" s="28" t="s">
        <v>95</v>
      </c>
      <c r="D38" s="106">
        <v>6669.99</v>
      </c>
      <c r="E38" s="99">
        <f t="shared" si="3"/>
        <v>6.6699899999999994</v>
      </c>
      <c r="F38" s="61"/>
      <c r="G38" s="349" t="s">
        <v>480</v>
      </c>
      <c r="H38" s="347" t="s">
        <v>466</v>
      </c>
      <c r="I38" s="348"/>
      <c r="J38" s="110">
        <f>E46+E37+E28+E19+E10+E51</f>
        <v>1162.6373544444441</v>
      </c>
      <c r="K38" s="111">
        <f>(J38*100)/$G$13</f>
        <v>45.493766376052463</v>
      </c>
      <c r="L38" s="8"/>
      <c r="M38" s="6"/>
      <c r="N38" s="6"/>
      <c r="O38" s="6"/>
      <c r="P38" s="6"/>
      <c r="Q38" s="6"/>
      <c r="R38" s="6"/>
      <c r="S38" s="6"/>
      <c r="T38" s="6"/>
      <c r="U38" s="6"/>
      <c r="V38" s="6"/>
      <c r="W38" s="6"/>
      <c r="X38" s="6"/>
    </row>
    <row r="39" spans="1:24" ht="15.75" customHeight="1" x14ac:dyDescent="0.25">
      <c r="A39" s="353"/>
      <c r="B39" s="359"/>
      <c r="C39" s="28" t="s">
        <v>467</v>
      </c>
      <c r="D39" s="106">
        <v>-1170</v>
      </c>
      <c r="E39" s="99">
        <f t="shared" si="3"/>
        <v>-1.17</v>
      </c>
      <c r="F39" s="61"/>
      <c r="G39" s="350"/>
      <c r="H39" s="329" t="s">
        <v>95</v>
      </c>
      <c r="I39" s="330"/>
      <c r="J39" s="110">
        <f>E47+E38+E29+E20+E11</f>
        <v>26.659289700000002</v>
      </c>
      <c r="K39" s="111">
        <f>(J39*100)/$G$13</f>
        <v>1.0431726563119441</v>
      </c>
      <c r="L39" s="8"/>
      <c r="M39" s="6"/>
      <c r="N39" s="6"/>
      <c r="O39" s="6"/>
      <c r="P39" s="6"/>
      <c r="Q39" s="6"/>
      <c r="R39" s="6"/>
      <c r="S39" s="6"/>
      <c r="T39" s="6"/>
      <c r="U39" s="6"/>
      <c r="V39" s="6"/>
      <c r="W39" s="6"/>
      <c r="X39" s="6"/>
    </row>
    <row r="40" spans="1:24" ht="15.75" customHeight="1" x14ac:dyDescent="0.25">
      <c r="A40" s="354"/>
      <c r="B40" s="359"/>
      <c r="C40" s="28" t="s">
        <v>469</v>
      </c>
      <c r="D40" s="99">
        <v>440.74380000000002</v>
      </c>
      <c r="E40" s="99">
        <f t="shared" si="3"/>
        <v>0.44074380000000002</v>
      </c>
      <c r="F40" s="61"/>
      <c r="G40" s="350"/>
      <c r="H40" s="329" t="s">
        <v>467</v>
      </c>
      <c r="I40" s="330"/>
      <c r="J40" s="110">
        <f>E12+E21+E30+E39+E48</f>
        <v>-29.731000000000002</v>
      </c>
      <c r="K40" s="111">
        <f>(J40*100)/$G$13</f>
        <v>-1.1633680639589739</v>
      </c>
      <c r="L40" s="8"/>
      <c r="M40" s="6"/>
      <c r="N40" s="6"/>
      <c r="O40" s="6"/>
      <c r="P40" s="6"/>
      <c r="Q40" s="6"/>
      <c r="R40" s="6"/>
      <c r="S40" s="6"/>
      <c r="T40" s="6"/>
      <c r="U40" s="6"/>
      <c r="V40" s="6"/>
      <c r="W40" s="6"/>
      <c r="X40" s="6"/>
    </row>
    <row r="41" spans="1:24" ht="15.75" customHeight="1" x14ac:dyDescent="0.25">
      <c r="A41" s="352" t="s">
        <v>196</v>
      </c>
      <c r="B41" s="355">
        <v>1</v>
      </c>
      <c r="C41" s="83" t="s">
        <v>7</v>
      </c>
      <c r="D41" s="85">
        <v>168555.51060000001</v>
      </c>
      <c r="E41" s="85">
        <f t="shared" si="3"/>
        <v>168.55551060000002</v>
      </c>
      <c r="F41" s="61"/>
      <c r="G41" s="350"/>
      <c r="H41" s="329" t="s">
        <v>469</v>
      </c>
      <c r="I41" s="330"/>
      <c r="J41" s="110">
        <f>E13+E22+E31+E40+E49</f>
        <v>5.1007438</v>
      </c>
      <c r="K41" s="111">
        <f>(J41*100)/$G$13</f>
        <v>0.19959108134125117</v>
      </c>
      <c r="L41" s="8"/>
      <c r="M41" s="6"/>
      <c r="N41" s="6"/>
      <c r="O41" s="6"/>
      <c r="P41" s="6"/>
      <c r="Q41" s="6"/>
      <c r="R41" s="6"/>
      <c r="S41" s="6"/>
      <c r="T41" s="6"/>
      <c r="U41" s="6"/>
      <c r="V41" s="6"/>
      <c r="W41" s="6"/>
      <c r="X41" s="6"/>
    </row>
    <row r="42" spans="1:24" ht="15.75" customHeight="1" x14ac:dyDescent="0.25">
      <c r="A42" s="353"/>
      <c r="B42" s="356"/>
      <c r="C42" s="83" t="s">
        <v>461</v>
      </c>
      <c r="D42" s="114">
        <v>45230</v>
      </c>
      <c r="E42" s="85">
        <f t="shared" si="3"/>
        <v>45.23</v>
      </c>
      <c r="F42" s="61"/>
      <c r="G42" s="351"/>
      <c r="H42" s="331" t="s">
        <v>481</v>
      </c>
      <c r="I42" s="332"/>
      <c r="J42" s="112">
        <f>SUM(J38:J41)</f>
        <v>1164.6663879444441</v>
      </c>
      <c r="K42" s="113">
        <f>(J42*100)/$G$13</f>
        <v>45.573162049746692</v>
      </c>
      <c r="L42" s="8"/>
      <c r="M42" s="6"/>
      <c r="N42" s="6"/>
      <c r="O42" s="6"/>
      <c r="P42" s="6"/>
      <c r="Q42" s="6"/>
      <c r="R42" s="6"/>
      <c r="S42" s="6"/>
      <c r="T42" s="6"/>
      <c r="U42" s="6"/>
      <c r="V42" s="6"/>
      <c r="W42" s="6"/>
      <c r="X42" s="6"/>
    </row>
    <row r="43" spans="1:24" ht="15.75" customHeight="1" x14ac:dyDescent="0.25">
      <c r="A43" s="353"/>
      <c r="B43" s="356"/>
      <c r="C43" s="83" t="s">
        <v>463</v>
      </c>
      <c r="D43" s="84">
        <v>505</v>
      </c>
      <c r="E43" s="85">
        <f t="shared" si="3"/>
        <v>0.505</v>
      </c>
      <c r="F43" s="8"/>
      <c r="G43" s="17"/>
      <c r="H43" s="17"/>
      <c r="I43" s="17"/>
      <c r="J43" s="17"/>
      <c r="K43" s="107"/>
      <c r="L43" s="6"/>
      <c r="M43" s="6"/>
      <c r="N43" s="6"/>
      <c r="O43" s="6"/>
      <c r="P43" s="6"/>
      <c r="Q43" s="6"/>
      <c r="R43" s="6"/>
      <c r="S43" s="6"/>
      <c r="T43" s="6"/>
      <c r="U43" s="6"/>
      <c r="V43" s="6"/>
      <c r="W43" s="6"/>
      <c r="X43" s="6"/>
    </row>
    <row r="44" spans="1:24" ht="15.75" customHeight="1" x14ac:dyDescent="0.25">
      <c r="A44" s="353"/>
      <c r="B44" s="357"/>
      <c r="C44" s="83" t="s">
        <v>29</v>
      </c>
      <c r="D44" s="84">
        <v>0</v>
      </c>
      <c r="E44" s="92">
        <v>0</v>
      </c>
      <c r="F44" s="8"/>
      <c r="G44" s="6"/>
      <c r="H44" s="6"/>
      <c r="I44" s="6"/>
      <c r="J44" s="6"/>
      <c r="K44" s="6"/>
      <c r="L44" s="6"/>
      <c r="M44" s="6"/>
      <c r="N44" s="6"/>
      <c r="O44" s="6"/>
      <c r="P44" s="6"/>
      <c r="Q44" s="6"/>
      <c r="R44" s="6"/>
      <c r="S44" s="6"/>
      <c r="T44" s="6"/>
      <c r="U44" s="6"/>
      <c r="V44" s="6"/>
      <c r="W44" s="6"/>
      <c r="X44" s="6"/>
    </row>
    <row r="45" spans="1:24" ht="15.75" customHeight="1" x14ac:dyDescent="0.25">
      <c r="A45" s="353"/>
      <c r="B45" s="96">
        <v>2</v>
      </c>
      <c r="C45" s="64" t="s">
        <v>464</v>
      </c>
      <c r="D45" s="66">
        <v>261421.83</v>
      </c>
      <c r="E45" s="97">
        <f t="shared" ref="E45:E51" si="5">D45/1000</f>
        <v>261.42183</v>
      </c>
      <c r="F45" s="8"/>
      <c r="G45" s="7"/>
      <c r="H45" s="7"/>
      <c r="I45" s="7"/>
      <c r="J45" s="7"/>
      <c r="K45" s="7"/>
      <c r="L45" s="6"/>
      <c r="M45" s="6"/>
      <c r="N45" s="6"/>
      <c r="O45" s="6"/>
      <c r="P45" s="6"/>
      <c r="Q45" s="6"/>
      <c r="R45" s="6"/>
      <c r="S45" s="6"/>
      <c r="T45" s="6"/>
      <c r="U45" s="6"/>
      <c r="V45" s="6"/>
      <c r="W45" s="6"/>
      <c r="X45" s="6"/>
    </row>
    <row r="46" spans="1:24" ht="15.75" customHeight="1" x14ac:dyDescent="0.25">
      <c r="A46" s="353"/>
      <c r="B46" s="358">
        <v>3</v>
      </c>
      <c r="C46" s="28" t="s">
        <v>466</v>
      </c>
      <c r="D46" s="106">
        <v>647302.1</v>
      </c>
      <c r="E46" s="99">
        <f t="shared" si="5"/>
        <v>647.3021</v>
      </c>
      <c r="F46" s="61"/>
      <c r="G46" s="320" t="s">
        <v>453</v>
      </c>
      <c r="H46" s="321"/>
      <c r="I46" s="115" t="s">
        <v>451</v>
      </c>
      <c r="J46" s="115" t="s">
        <v>475</v>
      </c>
      <c r="K46" s="115" t="s">
        <v>482</v>
      </c>
      <c r="L46" s="8"/>
      <c r="M46" s="6"/>
      <c r="N46" s="6"/>
      <c r="O46" s="6"/>
      <c r="P46" s="6"/>
      <c r="Q46" s="6"/>
      <c r="R46" s="6"/>
      <c r="S46" s="6"/>
      <c r="T46" s="6"/>
      <c r="U46" s="6"/>
      <c r="V46" s="6"/>
      <c r="W46" s="6"/>
      <c r="X46" s="6"/>
    </row>
    <row r="47" spans="1:24" ht="15.75" customHeight="1" x14ac:dyDescent="0.25">
      <c r="A47" s="353"/>
      <c r="B47" s="359"/>
      <c r="C47" s="28" t="s">
        <v>95</v>
      </c>
      <c r="D47" s="106">
        <v>9469.32</v>
      </c>
      <c r="E47" s="99">
        <f t="shared" si="5"/>
        <v>9.4693199999999997</v>
      </c>
      <c r="F47" s="61"/>
      <c r="G47" s="313" t="s">
        <v>7</v>
      </c>
      <c r="H47" s="314"/>
      <c r="I47" s="117" t="s">
        <v>4</v>
      </c>
      <c r="J47" s="118">
        <f>E5</f>
        <v>2.4963130000000002</v>
      </c>
      <c r="K47" s="119">
        <f t="shared" ref="K47:K52" si="6">(J47*100)/$G$13</f>
        <v>9.7680226761481873E-2</v>
      </c>
      <c r="L47" s="8"/>
      <c r="M47" s="6"/>
      <c r="N47" s="6"/>
      <c r="O47" s="6"/>
      <c r="P47" s="6"/>
      <c r="Q47" s="6"/>
      <c r="R47" s="6"/>
      <c r="S47" s="6"/>
      <c r="T47" s="6"/>
      <c r="U47" s="6"/>
      <c r="V47" s="6"/>
      <c r="W47" s="6"/>
      <c r="X47" s="6"/>
    </row>
    <row r="48" spans="1:24" ht="15.75" customHeight="1" x14ac:dyDescent="0.25">
      <c r="A48" s="353"/>
      <c r="B48" s="359"/>
      <c r="C48" s="28" t="s">
        <v>467</v>
      </c>
      <c r="D48" s="106">
        <v>-21401</v>
      </c>
      <c r="E48" s="99">
        <f t="shared" si="5"/>
        <v>-21.401</v>
      </c>
      <c r="F48" s="61"/>
      <c r="G48" s="314"/>
      <c r="H48" s="314"/>
      <c r="I48" s="117" t="s">
        <v>118</v>
      </c>
      <c r="J48" s="118">
        <f>E14</f>
        <v>20.4406575</v>
      </c>
      <c r="K48" s="119">
        <f t="shared" si="6"/>
        <v>0.79983882620239732</v>
      </c>
      <c r="L48" s="8"/>
      <c r="M48" s="6"/>
      <c r="N48" s="6"/>
      <c r="O48" s="6"/>
      <c r="P48" s="6"/>
      <c r="Q48" s="6"/>
      <c r="R48" s="6"/>
      <c r="S48" s="6"/>
      <c r="T48" s="6"/>
      <c r="U48" s="6"/>
      <c r="V48" s="6"/>
      <c r="W48" s="6"/>
      <c r="X48" s="6"/>
    </row>
    <row r="49" spans="1:24" ht="15.75" customHeight="1" x14ac:dyDescent="0.25">
      <c r="A49" s="354"/>
      <c r="B49" s="359"/>
      <c r="C49" s="28" t="s">
        <v>469</v>
      </c>
      <c r="D49" s="106">
        <v>30</v>
      </c>
      <c r="E49" s="99">
        <f t="shared" si="5"/>
        <v>0.03</v>
      </c>
      <c r="F49" s="120"/>
      <c r="G49" s="314"/>
      <c r="H49" s="314"/>
      <c r="I49" s="117" t="s">
        <v>233</v>
      </c>
      <c r="J49" s="118">
        <f>E23</f>
        <v>1.6645765799999999</v>
      </c>
      <c r="K49" s="119">
        <f t="shared" si="6"/>
        <v>6.5134547549226374E-2</v>
      </c>
      <c r="L49" s="8"/>
      <c r="M49" s="6"/>
      <c r="N49" s="6"/>
      <c r="O49" s="6"/>
      <c r="P49" s="6"/>
      <c r="Q49" s="6"/>
      <c r="R49" s="6"/>
      <c r="S49" s="6"/>
      <c r="T49" s="6"/>
      <c r="U49" s="6"/>
      <c r="V49" s="6"/>
      <c r="W49" s="6"/>
      <c r="X49" s="6"/>
    </row>
    <row r="50" spans="1:24" ht="15.75" customHeight="1" x14ac:dyDescent="0.25">
      <c r="A50" s="364" t="s">
        <v>425</v>
      </c>
      <c r="B50" s="96">
        <v>2</v>
      </c>
      <c r="C50" s="64" t="s">
        <v>464</v>
      </c>
      <c r="D50" s="66">
        <v>30531.119999999999</v>
      </c>
      <c r="E50" s="97">
        <f t="shared" si="5"/>
        <v>30.531119999999998</v>
      </c>
      <c r="F50" s="61"/>
      <c r="G50" s="314"/>
      <c r="H50" s="314"/>
      <c r="I50" s="117" t="s">
        <v>75</v>
      </c>
      <c r="J50" s="118">
        <f>E32</f>
        <v>75.348850978999991</v>
      </c>
      <c r="K50" s="119">
        <f t="shared" si="6"/>
        <v>2.9483854187539076</v>
      </c>
      <c r="L50" s="8"/>
      <c r="M50" s="6"/>
      <c r="N50" s="6"/>
      <c r="O50" s="6"/>
      <c r="P50" s="6"/>
      <c r="Q50" s="6"/>
      <c r="R50" s="6"/>
      <c r="S50" s="6"/>
      <c r="T50" s="6"/>
      <c r="U50" s="6"/>
      <c r="V50" s="6"/>
      <c r="W50" s="6"/>
      <c r="X50" s="6"/>
    </row>
    <row r="51" spans="1:24" ht="15.75" customHeight="1" x14ac:dyDescent="0.25">
      <c r="A51" s="365"/>
      <c r="B51" s="121">
        <v>3</v>
      </c>
      <c r="C51" s="28" t="s">
        <v>466</v>
      </c>
      <c r="D51" s="106">
        <v>8749</v>
      </c>
      <c r="E51" s="99">
        <f t="shared" si="5"/>
        <v>8.7490000000000006</v>
      </c>
      <c r="F51" s="61"/>
      <c r="G51" s="314"/>
      <c r="H51" s="314"/>
      <c r="I51" s="117" t="s">
        <v>196</v>
      </c>
      <c r="J51" s="122">
        <f>E41</f>
        <v>168.55551060000002</v>
      </c>
      <c r="K51" s="119">
        <f t="shared" si="6"/>
        <v>6.5955433061901134</v>
      </c>
      <c r="L51" s="8"/>
      <c r="M51" s="6"/>
      <c r="N51" s="6"/>
      <c r="O51" s="6"/>
      <c r="P51" s="6"/>
      <c r="Q51" s="6"/>
      <c r="R51" s="6"/>
      <c r="S51" s="6"/>
      <c r="T51" s="6"/>
      <c r="U51" s="6"/>
      <c r="V51" s="6"/>
      <c r="W51" s="6"/>
      <c r="X51" s="6"/>
    </row>
    <row r="52" spans="1:24" ht="15.75" customHeight="1" x14ac:dyDescent="0.25">
      <c r="A52" s="38"/>
      <c r="B52" s="17"/>
      <c r="C52" s="17"/>
      <c r="D52" s="17"/>
      <c r="E52" s="17"/>
      <c r="F52" s="14"/>
      <c r="G52" s="314"/>
      <c r="H52" s="314"/>
      <c r="I52" s="115" t="s">
        <v>437</v>
      </c>
      <c r="J52" s="123">
        <f>SUM(J47:J51)</f>
        <v>268.505908659</v>
      </c>
      <c r="K52" s="124">
        <f t="shared" si="6"/>
        <v>10.506582325457128</v>
      </c>
      <c r="L52" s="8"/>
      <c r="M52" s="6"/>
      <c r="N52" s="6"/>
      <c r="O52" s="6"/>
      <c r="P52" s="6"/>
      <c r="Q52" s="6"/>
      <c r="R52" s="6"/>
      <c r="S52" s="6"/>
      <c r="T52" s="6"/>
      <c r="U52" s="6"/>
      <c r="V52" s="6"/>
      <c r="W52" s="6"/>
      <c r="X52" s="6"/>
    </row>
    <row r="53" spans="1:24" ht="15.75" customHeight="1" x14ac:dyDescent="0.25">
      <c r="A53" s="6"/>
      <c r="B53" s="6"/>
      <c r="C53" s="6"/>
      <c r="D53" s="6"/>
      <c r="E53" s="6"/>
      <c r="F53" s="14"/>
      <c r="G53" s="313" t="s">
        <v>461</v>
      </c>
      <c r="H53" s="314"/>
      <c r="I53" s="117" t="s">
        <v>4</v>
      </c>
      <c r="J53" s="118">
        <f>E6</f>
        <v>0</v>
      </c>
      <c r="K53" s="125">
        <v>0</v>
      </c>
      <c r="L53" s="8"/>
      <c r="M53" s="6"/>
      <c r="N53" s="6"/>
      <c r="O53" s="6"/>
      <c r="P53" s="6"/>
      <c r="Q53" s="6"/>
      <c r="R53" s="6"/>
      <c r="S53" s="6"/>
      <c r="T53" s="6"/>
      <c r="U53" s="6"/>
      <c r="V53" s="6"/>
      <c r="W53" s="6"/>
      <c r="X53" s="6"/>
    </row>
    <row r="54" spans="1:24" ht="15.75" customHeight="1" x14ac:dyDescent="0.25">
      <c r="A54" s="6"/>
      <c r="B54" s="6"/>
      <c r="C54" s="6"/>
      <c r="D54" s="6"/>
      <c r="E54" s="6"/>
      <c r="F54" s="14"/>
      <c r="G54" s="314"/>
      <c r="H54" s="314"/>
      <c r="I54" s="117" t="s">
        <v>118</v>
      </c>
      <c r="J54" s="118">
        <f>E15</f>
        <v>4.5</v>
      </c>
      <c r="K54" s="119">
        <f>(J54*100)/$G$13</f>
        <v>0.1760840969969184</v>
      </c>
      <c r="L54" s="8"/>
      <c r="M54" s="6"/>
      <c r="N54" s="6"/>
      <c r="O54" s="6"/>
      <c r="P54" s="6"/>
      <c r="Q54" s="6"/>
      <c r="R54" s="6"/>
      <c r="S54" s="6"/>
      <c r="T54" s="6"/>
      <c r="U54" s="6"/>
      <c r="V54" s="6"/>
      <c r="W54" s="6"/>
      <c r="X54" s="6"/>
    </row>
    <row r="55" spans="1:24" ht="15.75" customHeight="1" x14ac:dyDescent="0.25">
      <c r="A55" s="6"/>
      <c r="B55" s="6"/>
      <c r="C55" s="6"/>
      <c r="D55" s="6"/>
      <c r="E55" s="6"/>
      <c r="F55" s="14"/>
      <c r="G55" s="314"/>
      <c r="H55" s="314"/>
      <c r="I55" s="117" t="s">
        <v>233</v>
      </c>
      <c r="J55" s="118">
        <f>E24</f>
        <v>0</v>
      </c>
      <c r="K55" s="125">
        <v>0</v>
      </c>
      <c r="L55" s="8"/>
      <c r="M55" s="6"/>
      <c r="N55" s="6"/>
      <c r="O55" s="6"/>
      <c r="P55" s="6"/>
      <c r="Q55" s="6"/>
      <c r="R55" s="6"/>
      <c r="S55" s="6"/>
      <c r="T55" s="6"/>
      <c r="U55" s="6"/>
      <c r="V55" s="6"/>
      <c r="W55" s="6"/>
      <c r="X55" s="6"/>
    </row>
    <row r="56" spans="1:24" ht="15.75" customHeight="1" x14ac:dyDescent="0.25">
      <c r="A56" s="6"/>
      <c r="B56" s="6"/>
      <c r="C56" s="6"/>
      <c r="D56" s="6"/>
      <c r="E56" s="6"/>
      <c r="F56" s="14"/>
      <c r="G56" s="314"/>
      <c r="H56" s="314"/>
      <c r="I56" s="117" t="s">
        <v>75</v>
      </c>
      <c r="J56" s="118">
        <f>E33</f>
        <v>9.4842000000000013</v>
      </c>
      <c r="K56" s="119">
        <f>(J56*100)/$G$13</f>
        <v>0.37111484283070528</v>
      </c>
      <c r="L56" s="8"/>
      <c r="M56" s="6"/>
      <c r="N56" s="6"/>
      <c r="O56" s="6"/>
      <c r="P56" s="6"/>
      <c r="Q56" s="6"/>
      <c r="R56" s="6"/>
      <c r="S56" s="6"/>
      <c r="T56" s="6"/>
      <c r="U56" s="6"/>
      <c r="V56" s="6"/>
      <c r="W56" s="6"/>
      <c r="X56" s="6"/>
    </row>
    <row r="57" spans="1:24" ht="15.75" customHeight="1" x14ac:dyDescent="0.25">
      <c r="A57" s="6"/>
      <c r="B57" s="6"/>
      <c r="C57" s="6"/>
      <c r="D57" s="6"/>
      <c r="E57" s="6"/>
      <c r="F57" s="14"/>
      <c r="G57" s="314"/>
      <c r="H57" s="314"/>
      <c r="I57" s="126" t="s">
        <v>196</v>
      </c>
      <c r="J57" s="125">
        <f>E42</f>
        <v>45.23</v>
      </c>
      <c r="K57" s="119">
        <f>(J57*100)/$G$13</f>
        <v>1.7698408238156933</v>
      </c>
      <c r="L57" s="8"/>
      <c r="M57" s="6"/>
      <c r="N57" s="6"/>
      <c r="O57" s="6"/>
      <c r="P57" s="6"/>
      <c r="Q57" s="6"/>
      <c r="R57" s="6"/>
      <c r="S57" s="6"/>
      <c r="T57" s="6"/>
      <c r="U57" s="6"/>
      <c r="V57" s="6"/>
      <c r="W57" s="6"/>
      <c r="X57" s="6"/>
    </row>
    <row r="58" spans="1:24" ht="15.75" customHeight="1" x14ac:dyDescent="0.25">
      <c r="A58" s="6"/>
      <c r="B58" s="6"/>
      <c r="C58" s="6"/>
      <c r="D58" s="6"/>
      <c r="E58" s="6"/>
      <c r="F58" s="14"/>
      <c r="G58" s="314"/>
      <c r="H58" s="314"/>
      <c r="I58" s="115" t="s">
        <v>437</v>
      </c>
      <c r="J58" s="127">
        <f>SUM(J53:J57)</f>
        <v>59.214199999999998</v>
      </c>
      <c r="K58" s="124">
        <f>(J58*100)/$G$13</f>
        <v>2.3170397636433169</v>
      </c>
      <c r="L58" s="8"/>
      <c r="M58" s="6"/>
      <c r="N58" s="6"/>
      <c r="O58" s="6"/>
      <c r="P58" s="6"/>
      <c r="Q58" s="6"/>
      <c r="R58" s="6"/>
      <c r="S58" s="6"/>
      <c r="T58" s="6"/>
      <c r="U58" s="6"/>
      <c r="V58" s="6"/>
      <c r="W58" s="6"/>
      <c r="X58" s="6"/>
    </row>
    <row r="59" spans="1:24" ht="15.75" customHeight="1" x14ac:dyDescent="0.25">
      <c r="A59" s="6"/>
      <c r="B59" s="6"/>
      <c r="C59" s="6"/>
      <c r="D59" s="6"/>
      <c r="E59" s="6"/>
      <c r="F59" s="14"/>
      <c r="G59" s="313" t="s">
        <v>463</v>
      </c>
      <c r="H59" s="314"/>
      <c r="I59" s="117" t="s">
        <v>4</v>
      </c>
      <c r="J59" s="118">
        <f>E7</f>
        <v>0</v>
      </c>
      <c r="K59" s="125">
        <v>0</v>
      </c>
      <c r="L59" s="8"/>
      <c r="M59" s="6"/>
      <c r="N59" s="6"/>
      <c r="O59" s="6"/>
      <c r="P59" s="6"/>
      <c r="Q59" s="6"/>
      <c r="R59" s="6"/>
      <c r="S59" s="6"/>
      <c r="T59" s="6"/>
      <c r="U59" s="6"/>
      <c r="V59" s="6"/>
      <c r="W59" s="6"/>
      <c r="X59" s="6"/>
    </row>
    <row r="60" spans="1:24" ht="15.75" customHeight="1" x14ac:dyDescent="0.25">
      <c r="A60" s="6"/>
      <c r="B60" s="6"/>
      <c r="C60" s="6"/>
      <c r="D60" s="6"/>
      <c r="E60" s="6"/>
      <c r="F60" s="14"/>
      <c r="G60" s="314"/>
      <c r="H60" s="314"/>
      <c r="I60" s="117" t="s">
        <v>118</v>
      </c>
      <c r="J60" s="118">
        <f>E16</f>
        <v>0.11</v>
      </c>
      <c r="K60" s="119">
        <f t="shared" ref="K60:K67" si="7">(J60*100)/$G$13</f>
        <v>4.3042779265913388E-3</v>
      </c>
      <c r="L60" s="8"/>
      <c r="M60" s="6"/>
      <c r="N60" s="6"/>
      <c r="O60" s="6"/>
      <c r="P60" s="6"/>
      <c r="Q60" s="6"/>
      <c r="R60" s="6"/>
      <c r="S60" s="6"/>
      <c r="T60" s="6"/>
      <c r="U60" s="6"/>
      <c r="V60" s="6"/>
      <c r="W60" s="6"/>
      <c r="X60" s="6"/>
    </row>
    <row r="61" spans="1:24" ht="15.75" customHeight="1" x14ac:dyDescent="0.25">
      <c r="A61" s="6"/>
      <c r="B61" s="6"/>
      <c r="C61" s="6"/>
      <c r="D61" s="6"/>
      <c r="E61" s="6"/>
      <c r="F61" s="14"/>
      <c r="G61" s="314"/>
      <c r="H61" s="314"/>
      <c r="I61" s="117" t="s">
        <v>233</v>
      </c>
      <c r="J61" s="118">
        <f>E25</f>
        <v>0</v>
      </c>
      <c r="K61" s="125">
        <f t="shared" si="7"/>
        <v>0</v>
      </c>
      <c r="L61" s="8"/>
      <c r="M61" s="6"/>
      <c r="N61" s="6"/>
      <c r="O61" s="6"/>
      <c r="P61" s="6"/>
      <c r="Q61" s="6"/>
      <c r="R61" s="6"/>
      <c r="S61" s="6"/>
      <c r="T61" s="6"/>
      <c r="U61" s="6"/>
      <c r="V61" s="6"/>
      <c r="W61" s="6"/>
      <c r="X61" s="6"/>
    </row>
    <row r="62" spans="1:24" ht="15.75" customHeight="1" x14ac:dyDescent="0.25">
      <c r="A62" s="6"/>
      <c r="B62" s="6"/>
      <c r="C62" s="6"/>
      <c r="D62" s="6"/>
      <c r="E62" s="6"/>
      <c r="F62" s="14"/>
      <c r="G62" s="314"/>
      <c r="H62" s="314"/>
      <c r="I62" s="117" t="s">
        <v>75</v>
      </c>
      <c r="J62" s="118">
        <f>E34</f>
        <v>0.10833</v>
      </c>
      <c r="K62" s="119">
        <f t="shared" si="7"/>
        <v>4.2389311617058159E-3</v>
      </c>
      <c r="L62" s="8"/>
      <c r="M62" s="6"/>
      <c r="N62" s="6"/>
      <c r="O62" s="6"/>
      <c r="P62" s="6"/>
      <c r="Q62" s="6"/>
      <c r="R62" s="6"/>
      <c r="S62" s="6"/>
      <c r="T62" s="6"/>
      <c r="U62" s="6"/>
      <c r="V62" s="6"/>
      <c r="W62" s="6"/>
      <c r="X62" s="6"/>
    </row>
    <row r="63" spans="1:24" ht="15.75" customHeight="1" x14ac:dyDescent="0.25">
      <c r="A63" s="6"/>
      <c r="B63" s="6"/>
      <c r="C63" s="6"/>
      <c r="D63" s="6"/>
      <c r="E63" s="6"/>
      <c r="F63" s="14"/>
      <c r="G63" s="314"/>
      <c r="H63" s="314"/>
      <c r="I63" s="117" t="s">
        <v>196</v>
      </c>
      <c r="J63" s="118">
        <f>E43</f>
        <v>0.505</v>
      </c>
      <c r="K63" s="119">
        <f t="shared" si="7"/>
        <v>1.9760548662987511E-2</v>
      </c>
      <c r="L63" s="8"/>
      <c r="M63" s="6"/>
      <c r="N63" s="6"/>
      <c r="O63" s="6"/>
      <c r="P63" s="6"/>
      <c r="Q63" s="6"/>
      <c r="R63" s="6"/>
      <c r="S63" s="6"/>
      <c r="T63" s="6"/>
      <c r="U63" s="6"/>
      <c r="V63" s="6"/>
      <c r="W63" s="6"/>
      <c r="X63" s="6"/>
    </row>
    <row r="64" spans="1:24" ht="15.75" customHeight="1" x14ac:dyDescent="0.25">
      <c r="A64" s="6"/>
      <c r="B64" s="6"/>
      <c r="C64" s="6"/>
      <c r="D64" s="6"/>
      <c r="E64" s="6"/>
      <c r="F64" s="14"/>
      <c r="G64" s="314"/>
      <c r="H64" s="314"/>
      <c r="I64" s="115" t="s">
        <v>437</v>
      </c>
      <c r="J64" s="127">
        <f>SUM(J59:J63)</f>
        <v>0.72333000000000003</v>
      </c>
      <c r="K64" s="124">
        <f t="shared" si="7"/>
        <v>2.8303757751284665E-2</v>
      </c>
      <c r="L64" s="8"/>
      <c r="M64" s="6"/>
      <c r="N64" s="6"/>
      <c r="O64" s="6"/>
      <c r="P64" s="6"/>
      <c r="Q64" s="6"/>
      <c r="R64" s="6"/>
      <c r="S64" s="6"/>
      <c r="T64" s="6"/>
      <c r="U64" s="6"/>
      <c r="V64" s="6"/>
      <c r="W64" s="6"/>
      <c r="X64" s="6"/>
    </row>
    <row r="65" spans="1:24" ht="15.75" customHeight="1" x14ac:dyDescent="0.25">
      <c r="A65" s="6"/>
      <c r="B65" s="6"/>
      <c r="C65" s="6"/>
      <c r="D65" s="6"/>
      <c r="E65" s="6"/>
      <c r="F65" s="14"/>
      <c r="G65" s="313" t="s">
        <v>29</v>
      </c>
      <c r="H65" s="314"/>
      <c r="I65" s="117" t="s">
        <v>4</v>
      </c>
      <c r="J65" s="118">
        <f>E8</f>
        <v>14.9</v>
      </c>
      <c r="K65" s="119">
        <f t="shared" si="7"/>
        <v>0.58303401005646316</v>
      </c>
      <c r="L65" s="8"/>
      <c r="M65" s="6"/>
      <c r="N65" s="6"/>
      <c r="O65" s="6"/>
      <c r="P65" s="6"/>
      <c r="Q65" s="6"/>
      <c r="R65" s="6"/>
      <c r="S65" s="6"/>
      <c r="T65" s="6"/>
      <c r="U65" s="6"/>
      <c r="V65" s="6"/>
      <c r="W65" s="6"/>
      <c r="X65" s="6"/>
    </row>
    <row r="66" spans="1:24" ht="15.75" customHeight="1" x14ac:dyDescent="0.25">
      <c r="A66" s="6"/>
      <c r="B66" s="6"/>
      <c r="C66" s="6"/>
      <c r="D66" s="6"/>
      <c r="E66" s="6"/>
      <c r="F66" s="14"/>
      <c r="G66" s="314"/>
      <c r="H66" s="314"/>
      <c r="I66" s="117" t="s">
        <v>118</v>
      </c>
      <c r="J66" s="118">
        <f>E17</f>
        <v>173.74712</v>
      </c>
      <c r="K66" s="119">
        <f t="shared" si="7"/>
        <v>6.7986899402256045</v>
      </c>
      <c r="L66" s="8"/>
      <c r="M66" s="6"/>
      <c r="N66" s="6"/>
      <c r="O66" s="6"/>
      <c r="P66" s="6"/>
      <c r="Q66" s="6"/>
      <c r="R66" s="6"/>
      <c r="S66" s="6"/>
      <c r="T66" s="6"/>
      <c r="U66" s="6"/>
      <c r="V66" s="6"/>
      <c r="W66" s="6"/>
      <c r="X66" s="6"/>
    </row>
    <row r="67" spans="1:24" ht="15.75" customHeight="1" x14ac:dyDescent="0.25">
      <c r="A67" s="6"/>
      <c r="B67" s="6"/>
      <c r="C67" s="6"/>
      <c r="D67" s="6"/>
      <c r="E67" s="6"/>
      <c r="F67" s="14"/>
      <c r="G67" s="314"/>
      <c r="H67" s="314"/>
      <c r="I67" s="117" t="s">
        <v>233</v>
      </c>
      <c r="J67" s="118">
        <f>E26</f>
        <v>59.6</v>
      </c>
      <c r="K67" s="119">
        <f t="shared" si="7"/>
        <v>2.3321360402258526</v>
      </c>
      <c r="L67" s="8"/>
      <c r="M67" s="6"/>
      <c r="N67" s="6"/>
      <c r="O67" s="6"/>
      <c r="P67" s="6"/>
      <c r="Q67" s="6"/>
      <c r="R67" s="6"/>
      <c r="S67" s="6"/>
      <c r="T67" s="6"/>
      <c r="U67" s="6"/>
      <c r="V67" s="6"/>
      <c r="W67" s="6"/>
      <c r="X67" s="6"/>
    </row>
    <row r="68" spans="1:24" ht="15.75" customHeight="1" x14ac:dyDescent="0.25">
      <c r="A68" s="6"/>
      <c r="B68" s="6"/>
      <c r="C68" s="6"/>
      <c r="D68" s="6"/>
      <c r="E68" s="6"/>
      <c r="F68" s="14"/>
      <c r="G68" s="314"/>
      <c r="H68" s="314"/>
      <c r="I68" s="117" t="s">
        <v>75</v>
      </c>
      <c r="J68" s="118">
        <f>E35</f>
        <v>0</v>
      </c>
      <c r="K68" s="125">
        <v>0</v>
      </c>
      <c r="L68" s="8"/>
      <c r="M68" s="6"/>
      <c r="N68" s="6"/>
      <c r="O68" s="6"/>
      <c r="P68" s="6"/>
      <c r="Q68" s="6"/>
      <c r="R68" s="6"/>
      <c r="S68" s="6"/>
      <c r="T68" s="6"/>
      <c r="U68" s="6"/>
      <c r="V68" s="6"/>
      <c r="W68" s="6"/>
      <c r="X68" s="6"/>
    </row>
    <row r="69" spans="1:24" ht="15.75" customHeight="1" x14ac:dyDescent="0.25">
      <c r="A69" s="6"/>
      <c r="B69" s="6"/>
      <c r="C69" s="6"/>
      <c r="D69" s="6"/>
      <c r="E69" s="6"/>
      <c r="F69" s="14"/>
      <c r="G69" s="314"/>
      <c r="H69" s="314"/>
      <c r="I69" s="117" t="s">
        <v>196</v>
      </c>
      <c r="J69" s="118">
        <f>E44</f>
        <v>0</v>
      </c>
      <c r="K69" s="125">
        <f t="shared" ref="K69:K103" si="8">(J69*100)/$G$13</f>
        <v>0</v>
      </c>
      <c r="L69" s="8"/>
      <c r="M69" s="6"/>
      <c r="N69" s="6"/>
      <c r="O69" s="6"/>
      <c r="P69" s="6"/>
      <c r="Q69" s="6"/>
      <c r="R69" s="6"/>
      <c r="S69" s="6"/>
      <c r="T69" s="6"/>
      <c r="U69" s="6"/>
      <c r="V69" s="6"/>
      <c r="W69" s="6"/>
      <c r="X69" s="6"/>
    </row>
    <row r="70" spans="1:24" ht="15.75" customHeight="1" x14ac:dyDescent="0.25">
      <c r="A70" s="6"/>
      <c r="B70" s="6"/>
      <c r="C70" s="6"/>
      <c r="D70" s="6"/>
      <c r="E70" s="6"/>
      <c r="F70" s="14"/>
      <c r="G70" s="314"/>
      <c r="H70" s="314"/>
      <c r="I70" s="115" t="s">
        <v>437</v>
      </c>
      <c r="J70" s="127">
        <f>SUM(J65:J69)</f>
        <v>248.24712</v>
      </c>
      <c r="K70" s="124">
        <f t="shared" si="8"/>
        <v>9.7138599905079204</v>
      </c>
      <c r="L70" s="8"/>
      <c r="M70" s="6"/>
      <c r="N70" s="6"/>
      <c r="O70" s="6"/>
      <c r="P70" s="6"/>
      <c r="Q70" s="6"/>
      <c r="R70" s="6"/>
      <c r="S70" s="6"/>
      <c r="T70" s="6"/>
      <c r="U70" s="6"/>
      <c r="V70" s="6"/>
      <c r="W70" s="6"/>
      <c r="X70" s="6"/>
    </row>
    <row r="71" spans="1:24" ht="15.75" customHeight="1" x14ac:dyDescent="0.25">
      <c r="A71" s="6"/>
      <c r="B71" s="6"/>
      <c r="C71" s="6"/>
      <c r="D71" s="6"/>
      <c r="E71" s="6"/>
      <c r="F71" s="14"/>
      <c r="G71" s="313" t="s">
        <v>464</v>
      </c>
      <c r="H71" s="314"/>
      <c r="I71" s="117" t="s">
        <v>4</v>
      </c>
      <c r="J71" s="118">
        <f>E9</f>
        <v>18.098279999999999</v>
      </c>
      <c r="K71" s="119">
        <f t="shared" si="8"/>
        <v>0.70818206466608635</v>
      </c>
      <c r="L71" s="8"/>
      <c r="M71" s="6"/>
      <c r="N71" s="6"/>
      <c r="O71" s="6"/>
      <c r="P71" s="6"/>
      <c r="Q71" s="6"/>
      <c r="R71" s="6"/>
      <c r="S71" s="6"/>
      <c r="T71" s="6"/>
      <c r="U71" s="6"/>
      <c r="V71" s="6"/>
      <c r="W71" s="6"/>
      <c r="X71" s="6"/>
    </row>
    <row r="72" spans="1:24" ht="15.75" customHeight="1" x14ac:dyDescent="0.25">
      <c r="A72" s="6"/>
      <c r="B72" s="6"/>
      <c r="C72" s="6"/>
      <c r="D72" s="6"/>
      <c r="E72" s="6"/>
      <c r="F72" s="14"/>
      <c r="G72" s="314"/>
      <c r="H72" s="314"/>
      <c r="I72" s="117" t="s">
        <v>118</v>
      </c>
      <c r="J72" s="118">
        <f>E18</f>
        <v>182.9196</v>
      </c>
      <c r="K72" s="119">
        <f t="shared" si="8"/>
        <v>7.1576072420083365</v>
      </c>
      <c r="L72" s="8"/>
      <c r="M72" s="6"/>
      <c r="N72" s="6"/>
      <c r="O72" s="6"/>
      <c r="P72" s="6"/>
      <c r="Q72" s="6"/>
      <c r="R72" s="6"/>
      <c r="S72" s="6"/>
      <c r="T72" s="6"/>
      <c r="U72" s="6"/>
      <c r="V72" s="6"/>
      <c r="W72" s="6"/>
      <c r="X72" s="6"/>
    </row>
    <row r="73" spans="1:24" ht="15.75" customHeight="1" x14ac:dyDescent="0.25">
      <c r="A73" s="6"/>
      <c r="B73" s="6"/>
      <c r="C73" s="6"/>
      <c r="D73" s="6"/>
      <c r="E73" s="6"/>
      <c r="F73" s="14"/>
      <c r="G73" s="314"/>
      <c r="H73" s="314"/>
      <c r="I73" s="117" t="s">
        <v>233</v>
      </c>
      <c r="J73" s="118">
        <f>E27</f>
        <v>46.291559999999997</v>
      </c>
      <c r="K73" s="119">
        <f t="shared" si="8"/>
        <v>1.8113794535952596</v>
      </c>
      <c r="L73" s="8"/>
      <c r="M73" s="6"/>
      <c r="N73" s="6"/>
      <c r="O73" s="6"/>
      <c r="P73" s="6"/>
      <c r="Q73" s="6"/>
      <c r="R73" s="6"/>
      <c r="S73" s="6"/>
      <c r="T73" s="6"/>
      <c r="U73" s="6"/>
      <c r="V73" s="6"/>
      <c r="W73" s="6"/>
      <c r="X73" s="6"/>
    </row>
    <row r="74" spans="1:24" ht="15.75" customHeight="1" x14ac:dyDescent="0.25">
      <c r="A74" s="6"/>
      <c r="B74" s="6"/>
      <c r="C74" s="6"/>
      <c r="D74" s="6"/>
      <c r="E74" s="6"/>
      <c r="F74" s="14"/>
      <c r="G74" s="314"/>
      <c r="H74" s="314"/>
      <c r="I74" s="117" t="s">
        <v>75</v>
      </c>
      <c r="J74" s="128">
        <f>E36</f>
        <v>274.97771999999998</v>
      </c>
      <c r="K74" s="119">
        <f t="shared" si="8"/>
        <v>10.759823004549215</v>
      </c>
      <c r="L74" s="8"/>
      <c r="M74" s="6"/>
      <c r="N74" s="6"/>
      <c r="O74" s="6"/>
      <c r="P74" s="6"/>
      <c r="Q74" s="6"/>
      <c r="R74" s="6"/>
      <c r="S74" s="6"/>
      <c r="T74" s="6"/>
      <c r="U74" s="6"/>
      <c r="V74" s="6"/>
      <c r="W74" s="6"/>
      <c r="X74" s="6"/>
    </row>
    <row r="75" spans="1:24" ht="15.75" customHeight="1" x14ac:dyDescent="0.25">
      <c r="A75" s="6"/>
      <c r="B75" s="6"/>
      <c r="C75" s="6"/>
      <c r="D75" s="6"/>
      <c r="E75" s="6"/>
      <c r="F75" s="14"/>
      <c r="G75" s="314"/>
      <c r="H75" s="314"/>
      <c r="I75" s="117" t="s">
        <v>196</v>
      </c>
      <c r="J75" s="118">
        <f>E45</f>
        <v>261.42183</v>
      </c>
      <c r="K75" s="129">
        <f t="shared" si="8"/>
        <v>10.22938374907376</v>
      </c>
      <c r="L75" s="8"/>
      <c r="M75" s="6"/>
      <c r="N75" s="6"/>
      <c r="O75" s="6"/>
      <c r="P75" s="6"/>
      <c r="Q75" s="6"/>
      <c r="R75" s="6"/>
      <c r="S75" s="6"/>
      <c r="T75" s="6"/>
      <c r="U75" s="6"/>
      <c r="V75" s="6"/>
      <c r="W75" s="6"/>
      <c r="X75" s="6"/>
    </row>
    <row r="76" spans="1:24" ht="15.75" customHeight="1" x14ac:dyDescent="0.25">
      <c r="A76" s="6"/>
      <c r="B76" s="6"/>
      <c r="C76" s="6"/>
      <c r="D76" s="6"/>
      <c r="E76" s="6"/>
      <c r="F76" s="14"/>
      <c r="G76" s="314"/>
      <c r="H76" s="314"/>
      <c r="I76" s="117" t="s">
        <v>425</v>
      </c>
      <c r="J76" s="118">
        <f>E50</f>
        <v>30.531119999999998</v>
      </c>
      <c r="K76" s="119">
        <f t="shared" si="8"/>
        <v>1.1946765990010122</v>
      </c>
      <c r="L76" s="8"/>
      <c r="M76" s="6"/>
      <c r="N76" s="6"/>
      <c r="O76" s="6"/>
      <c r="P76" s="6"/>
      <c r="Q76" s="6"/>
      <c r="R76" s="6"/>
      <c r="S76" s="6"/>
      <c r="T76" s="6"/>
      <c r="U76" s="6"/>
      <c r="V76" s="6"/>
      <c r="W76" s="6"/>
      <c r="X76" s="6"/>
    </row>
    <row r="77" spans="1:24" ht="15.75" customHeight="1" x14ac:dyDescent="0.25">
      <c r="A77" s="6"/>
      <c r="B77" s="6"/>
      <c r="C77" s="6"/>
      <c r="D77" s="6"/>
      <c r="E77" s="6"/>
      <c r="F77" s="14"/>
      <c r="G77" s="314"/>
      <c r="H77" s="314"/>
      <c r="I77" s="115" t="s">
        <v>437</v>
      </c>
      <c r="J77" s="127">
        <f>SUM(J71:J76)</f>
        <v>814.24010999999996</v>
      </c>
      <c r="K77" s="124">
        <f t="shared" si="8"/>
        <v>31.86105211289367</v>
      </c>
      <c r="L77" s="8"/>
      <c r="M77" s="6"/>
      <c r="N77" s="6"/>
      <c r="O77" s="6"/>
      <c r="P77" s="6"/>
      <c r="Q77" s="6"/>
      <c r="R77" s="6"/>
      <c r="S77" s="6"/>
      <c r="T77" s="6"/>
      <c r="U77" s="6"/>
      <c r="V77" s="6"/>
      <c r="W77" s="6"/>
      <c r="X77" s="6"/>
    </row>
    <row r="78" spans="1:24" ht="15.75" customHeight="1" x14ac:dyDescent="0.25">
      <c r="A78" s="6"/>
      <c r="B78" s="6"/>
      <c r="C78" s="6"/>
      <c r="D78" s="6"/>
      <c r="E78" s="6"/>
      <c r="F78" s="14"/>
      <c r="G78" s="313" t="s">
        <v>466</v>
      </c>
      <c r="H78" s="314"/>
      <c r="I78" s="117" t="s">
        <v>4</v>
      </c>
      <c r="J78" s="122">
        <f>E10</f>
        <v>16.904150000000001</v>
      </c>
      <c r="K78" s="119">
        <f t="shared" si="8"/>
        <v>0.66145599738899086</v>
      </c>
      <c r="L78" s="8"/>
      <c r="M78" s="6"/>
      <c r="N78" s="6"/>
      <c r="O78" s="6"/>
      <c r="P78" s="6"/>
      <c r="Q78" s="6"/>
      <c r="R78" s="6"/>
      <c r="S78" s="6"/>
      <c r="T78" s="6"/>
      <c r="U78" s="6"/>
      <c r="V78" s="6"/>
      <c r="W78" s="6"/>
      <c r="X78" s="6"/>
    </row>
    <row r="79" spans="1:24" ht="15.75" customHeight="1" x14ac:dyDescent="0.25">
      <c r="A79" s="6"/>
      <c r="B79" s="6"/>
      <c r="C79" s="6"/>
      <c r="D79" s="6"/>
      <c r="E79" s="6"/>
      <c r="F79" s="14"/>
      <c r="G79" s="314"/>
      <c r="H79" s="314"/>
      <c r="I79" s="117" t="s">
        <v>118</v>
      </c>
      <c r="J79" s="122">
        <f>E19</f>
        <v>188.80060444444399</v>
      </c>
      <c r="K79" s="119">
        <f t="shared" si="8"/>
        <v>7.3877297657938445</v>
      </c>
      <c r="L79" s="8"/>
      <c r="M79" s="6"/>
      <c r="N79" s="6"/>
      <c r="O79" s="6"/>
      <c r="P79" s="6"/>
      <c r="Q79" s="6"/>
      <c r="R79" s="6"/>
      <c r="S79" s="6"/>
      <c r="T79" s="6"/>
      <c r="U79" s="6"/>
      <c r="V79" s="6"/>
      <c r="W79" s="6"/>
      <c r="X79" s="6"/>
    </row>
    <row r="80" spans="1:24" ht="15.75" customHeight="1" x14ac:dyDescent="0.25">
      <c r="A80" s="6"/>
      <c r="B80" s="6"/>
      <c r="C80" s="6"/>
      <c r="D80" s="6"/>
      <c r="E80" s="6"/>
      <c r="F80" s="14"/>
      <c r="G80" s="314"/>
      <c r="H80" s="314"/>
      <c r="I80" s="117" t="s">
        <v>233</v>
      </c>
      <c r="J80" s="122">
        <f>E28</f>
        <v>203.20760000000001</v>
      </c>
      <c r="K80" s="119">
        <f t="shared" si="8"/>
        <v>7.9514726108691116</v>
      </c>
      <c r="L80" s="8"/>
      <c r="M80" s="6"/>
      <c r="N80" s="6"/>
      <c r="O80" s="6"/>
      <c r="P80" s="6"/>
      <c r="Q80" s="6"/>
      <c r="R80" s="6"/>
      <c r="S80" s="6"/>
      <c r="T80" s="6"/>
      <c r="U80" s="6"/>
      <c r="V80" s="6"/>
      <c r="W80" s="6"/>
      <c r="X80" s="6"/>
    </row>
    <row r="81" spans="1:24" ht="15.75" customHeight="1" x14ac:dyDescent="0.25">
      <c r="A81" s="6"/>
      <c r="B81" s="6"/>
      <c r="C81" s="6"/>
      <c r="D81" s="6"/>
      <c r="E81" s="6"/>
      <c r="F81" s="14"/>
      <c r="G81" s="314"/>
      <c r="H81" s="314"/>
      <c r="I81" s="117" t="s">
        <v>75</v>
      </c>
      <c r="J81" s="122">
        <f>E37</f>
        <v>97.673899999999989</v>
      </c>
      <c r="K81" s="119">
        <f t="shared" si="8"/>
        <v>3.8219601070371794</v>
      </c>
      <c r="L81" s="8"/>
      <c r="M81" s="6"/>
      <c r="N81" s="6"/>
      <c r="O81" s="6"/>
      <c r="P81" s="6"/>
      <c r="Q81" s="6"/>
      <c r="R81" s="6"/>
      <c r="S81" s="6"/>
      <c r="T81" s="6"/>
      <c r="U81" s="6"/>
      <c r="V81" s="6"/>
      <c r="W81" s="6"/>
      <c r="X81" s="6"/>
    </row>
    <row r="82" spans="1:24" ht="15.75" customHeight="1" x14ac:dyDescent="0.25">
      <c r="A82" s="6"/>
      <c r="B82" s="6"/>
      <c r="C82" s="6"/>
      <c r="D82" s="6"/>
      <c r="E82" s="6"/>
      <c r="F82" s="14"/>
      <c r="G82" s="314"/>
      <c r="H82" s="314"/>
      <c r="I82" s="117" t="s">
        <v>196</v>
      </c>
      <c r="J82" s="122">
        <f>E46</f>
        <v>647.3021</v>
      </c>
      <c r="K82" s="119">
        <f t="shared" si="8"/>
        <v>25.328801280601994</v>
      </c>
      <c r="L82" s="8"/>
      <c r="M82" s="6"/>
      <c r="N82" s="6"/>
      <c r="O82" s="6"/>
      <c r="P82" s="6"/>
      <c r="Q82" s="6"/>
      <c r="R82" s="6"/>
      <c r="S82" s="6"/>
      <c r="T82" s="6"/>
      <c r="U82" s="6"/>
      <c r="V82" s="6"/>
      <c r="W82" s="6"/>
      <c r="X82" s="6"/>
    </row>
    <row r="83" spans="1:24" ht="15.75" customHeight="1" x14ac:dyDescent="0.25">
      <c r="A83" s="6"/>
      <c r="B83" s="6"/>
      <c r="C83" s="6"/>
      <c r="D83" s="6"/>
      <c r="E83" s="6"/>
      <c r="F83" s="14"/>
      <c r="G83" s="314"/>
      <c r="H83" s="314"/>
      <c r="I83" s="117" t="s">
        <v>425</v>
      </c>
      <c r="J83" s="122">
        <f>E51</f>
        <v>8.7490000000000006</v>
      </c>
      <c r="K83" s="119">
        <f t="shared" si="8"/>
        <v>0.34234661436134206</v>
      </c>
      <c r="L83" s="8"/>
      <c r="M83" s="6"/>
      <c r="N83" s="6"/>
      <c r="O83" s="6"/>
      <c r="P83" s="6"/>
      <c r="Q83" s="6"/>
      <c r="R83" s="6"/>
      <c r="S83" s="6"/>
      <c r="T83" s="6"/>
      <c r="U83" s="6"/>
      <c r="V83" s="6"/>
      <c r="W83" s="6"/>
      <c r="X83" s="6"/>
    </row>
    <row r="84" spans="1:24" ht="15.75" customHeight="1" x14ac:dyDescent="0.25">
      <c r="A84" s="6"/>
      <c r="B84" s="6"/>
      <c r="C84" s="6"/>
      <c r="D84" s="6"/>
      <c r="E84" s="6"/>
      <c r="F84" s="14"/>
      <c r="G84" s="314"/>
      <c r="H84" s="314"/>
      <c r="I84" s="115" t="s">
        <v>437</v>
      </c>
      <c r="J84" s="127">
        <f>SUM(J78:J83)</f>
        <v>1162.6373544444441</v>
      </c>
      <c r="K84" s="124">
        <f t="shared" si="8"/>
        <v>45.493766376052463</v>
      </c>
      <c r="L84" s="8"/>
      <c r="M84" s="6"/>
      <c r="N84" s="6"/>
      <c r="O84" s="6"/>
      <c r="P84" s="6"/>
      <c r="Q84" s="6"/>
      <c r="R84" s="6"/>
      <c r="S84" s="6"/>
      <c r="T84" s="6"/>
      <c r="U84" s="6"/>
      <c r="V84" s="6"/>
      <c r="W84" s="6"/>
      <c r="X84" s="6"/>
    </row>
    <row r="85" spans="1:24" ht="15.75" customHeight="1" x14ac:dyDescent="0.25">
      <c r="A85" s="6"/>
      <c r="B85" s="6"/>
      <c r="C85" s="6"/>
      <c r="D85" s="6"/>
      <c r="E85" s="6"/>
      <c r="F85" s="14"/>
      <c r="G85" s="313" t="s">
        <v>95</v>
      </c>
      <c r="H85" s="314"/>
      <c r="I85" s="117" t="s">
        <v>4</v>
      </c>
      <c r="J85" s="118">
        <f>E11</f>
        <v>2.0662720000000001</v>
      </c>
      <c r="K85" s="119">
        <f t="shared" si="8"/>
        <v>8.0852808726670361E-2</v>
      </c>
      <c r="L85" s="8"/>
      <c r="M85" s="6"/>
      <c r="N85" s="6"/>
      <c r="O85" s="6"/>
      <c r="P85" s="6"/>
      <c r="Q85" s="6"/>
      <c r="R85" s="6"/>
      <c r="S85" s="6"/>
      <c r="T85" s="6"/>
      <c r="U85" s="6"/>
      <c r="V85" s="6"/>
      <c r="W85" s="6"/>
      <c r="X85" s="6"/>
    </row>
    <row r="86" spans="1:24" ht="15.75" customHeight="1" x14ac:dyDescent="0.25">
      <c r="A86" s="6"/>
      <c r="B86" s="6"/>
      <c r="C86" s="6"/>
      <c r="D86" s="6"/>
      <c r="E86" s="6"/>
      <c r="F86" s="14"/>
      <c r="G86" s="314"/>
      <c r="H86" s="314"/>
      <c r="I86" s="117" t="s">
        <v>118</v>
      </c>
      <c r="J86" s="118">
        <f>E20</f>
        <v>4.7825847000000001</v>
      </c>
      <c r="K86" s="119">
        <f t="shared" si="8"/>
        <v>0.18714157960239508</v>
      </c>
      <c r="L86" s="8"/>
      <c r="M86" s="6"/>
      <c r="N86" s="6"/>
      <c r="O86" s="6"/>
      <c r="P86" s="6"/>
      <c r="Q86" s="6"/>
      <c r="R86" s="6"/>
      <c r="S86" s="6"/>
      <c r="T86" s="6"/>
      <c r="U86" s="6"/>
      <c r="V86" s="6"/>
      <c r="W86" s="6"/>
      <c r="X86" s="6"/>
    </row>
    <row r="87" spans="1:24" ht="15.75" customHeight="1" x14ac:dyDescent="0.25">
      <c r="A87" s="6"/>
      <c r="B87" s="6"/>
      <c r="C87" s="6"/>
      <c r="D87" s="6"/>
      <c r="E87" s="6"/>
      <c r="F87" s="14"/>
      <c r="G87" s="314"/>
      <c r="H87" s="314"/>
      <c r="I87" s="117" t="s">
        <v>233</v>
      </c>
      <c r="J87" s="118">
        <f>E29</f>
        <v>3.6711230000000001</v>
      </c>
      <c r="K87" s="119">
        <f t="shared" si="8"/>
        <v>0.14365030631547068</v>
      </c>
      <c r="L87" s="8"/>
      <c r="M87" s="6"/>
      <c r="N87" s="6"/>
      <c r="O87" s="6"/>
      <c r="P87" s="6"/>
      <c r="Q87" s="6"/>
      <c r="R87" s="6"/>
      <c r="S87" s="6"/>
      <c r="T87" s="6"/>
      <c r="U87" s="6"/>
      <c r="V87" s="6"/>
      <c r="W87" s="6"/>
      <c r="X87" s="6"/>
    </row>
    <row r="88" spans="1:24" ht="15.75" customHeight="1" x14ac:dyDescent="0.25">
      <c r="A88" s="6"/>
      <c r="B88" s="6"/>
      <c r="C88" s="6"/>
      <c r="D88" s="6"/>
      <c r="E88" s="6"/>
      <c r="F88" s="14"/>
      <c r="G88" s="314"/>
      <c r="H88" s="314"/>
      <c r="I88" s="117" t="s">
        <v>75</v>
      </c>
      <c r="J88" s="118">
        <f>E38</f>
        <v>6.6699899999999994</v>
      </c>
      <c r="K88" s="119">
        <f t="shared" si="8"/>
        <v>0.26099537025077235</v>
      </c>
      <c r="L88" s="8"/>
      <c r="M88" s="6"/>
      <c r="N88" s="6"/>
      <c r="O88" s="6"/>
      <c r="P88" s="6"/>
      <c r="Q88" s="6"/>
      <c r="R88" s="6"/>
      <c r="S88" s="6"/>
      <c r="T88" s="6"/>
      <c r="U88" s="6"/>
      <c r="V88" s="6"/>
      <c r="W88" s="6"/>
      <c r="X88" s="6"/>
    </row>
    <row r="89" spans="1:24" ht="15.75" customHeight="1" x14ac:dyDescent="0.25">
      <c r="A89" s="6"/>
      <c r="B89" s="6"/>
      <c r="C89" s="6"/>
      <c r="D89" s="6"/>
      <c r="E89" s="6"/>
      <c r="F89" s="14"/>
      <c r="G89" s="314"/>
      <c r="H89" s="314"/>
      <c r="I89" s="117" t="s">
        <v>196</v>
      </c>
      <c r="J89" s="118">
        <f>E47</f>
        <v>9.4693199999999997</v>
      </c>
      <c r="K89" s="119">
        <f t="shared" si="8"/>
        <v>0.37053259141663542</v>
      </c>
      <c r="L89" s="8"/>
      <c r="M89" s="6"/>
      <c r="N89" s="6"/>
      <c r="O89" s="6"/>
      <c r="P89" s="6"/>
      <c r="Q89" s="6"/>
      <c r="R89" s="6"/>
      <c r="S89" s="6"/>
      <c r="T89" s="6"/>
      <c r="U89" s="6"/>
      <c r="V89" s="6"/>
      <c r="W89" s="6"/>
      <c r="X89" s="6"/>
    </row>
    <row r="90" spans="1:24" ht="15.75" customHeight="1" x14ac:dyDescent="0.25">
      <c r="A90" s="6"/>
      <c r="B90" s="6"/>
      <c r="C90" s="6"/>
      <c r="D90" s="6"/>
      <c r="E90" s="6"/>
      <c r="F90" s="14"/>
      <c r="G90" s="314"/>
      <c r="H90" s="314"/>
      <c r="I90" s="115" t="s">
        <v>437</v>
      </c>
      <c r="J90" s="130">
        <f>SUM(J85:J89)</f>
        <v>26.659289699999999</v>
      </c>
      <c r="K90" s="124">
        <f t="shared" si="8"/>
        <v>1.0431726563119439</v>
      </c>
      <c r="L90" s="8"/>
      <c r="M90" s="6"/>
      <c r="N90" s="6"/>
      <c r="O90" s="6"/>
      <c r="P90" s="6"/>
      <c r="Q90" s="6"/>
      <c r="R90" s="6"/>
      <c r="S90" s="6"/>
      <c r="T90" s="6"/>
      <c r="U90" s="6"/>
      <c r="V90" s="6"/>
      <c r="W90" s="6"/>
      <c r="X90" s="6"/>
    </row>
    <row r="91" spans="1:24" ht="15.75" customHeight="1" x14ac:dyDescent="0.25">
      <c r="A91" s="6"/>
      <c r="B91" s="6"/>
      <c r="C91" s="6"/>
      <c r="D91" s="6"/>
      <c r="E91" s="6"/>
      <c r="F91" s="14"/>
      <c r="G91" s="313" t="s">
        <v>467</v>
      </c>
      <c r="H91" s="314"/>
      <c r="I91" s="117" t="s">
        <v>4</v>
      </c>
      <c r="J91" s="118">
        <f>E12</f>
        <v>-1.17</v>
      </c>
      <c r="K91" s="119">
        <f t="shared" si="8"/>
        <v>-4.5781865219198789E-2</v>
      </c>
      <c r="L91" s="8"/>
      <c r="M91" s="6"/>
      <c r="N91" s="6"/>
      <c r="O91" s="6"/>
      <c r="P91" s="6"/>
      <c r="Q91" s="6"/>
      <c r="R91" s="6"/>
      <c r="S91" s="6"/>
      <c r="T91" s="6"/>
      <c r="U91" s="6"/>
      <c r="V91" s="6"/>
      <c r="W91" s="6"/>
      <c r="X91" s="6"/>
    </row>
    <row r="92" spans="1:24" ht="15.75" customHeight="1" x14ac:dyDescent="0.25">
      <c r="A92" s="6"/>
      <c r="B92" s="6"/>
      <c r="C92" s="6"/>
      <c r="D92" s="6"/>
      <c r="E92" s="6"/>
      <c r="F92" s="14"/>
      <c r="G92" s="314"/>
      <c r="H92" s="314"/>
      <c r="I92" s="117" t="s">
        <v>118</v>
      </c>
      <c r="J92" s="118">
        <f>E21</f>
        <v>-3.01</v>
      </c>
      <c r="K92" s="119">
        <f t="shared" si="8"/>
        <v>-0.1177806959912721</v>
      </c>
      <c r="L92" s="8"/>
      <c r="M92" s="6"/>
      <c r="N92" s="6"/>
      <c r="O92" s="6"/>
      <c r="P92" s="6"/>
      <c r="Q92" s="6"/>
      <c r="R92" s="6"/>
      <c r="S92" s="6"/>
      <c r="T92" s="6"/>
      <c r="U92" s="6"/>
      <c r="V92" s="6"/>
      <c r="W92" s="6"/>
      <c r="X92" s="6"/>
    </row>
    <row r="93" spans="1:24" ht="15.75" customHeight="1" x14ac:dyDescent="0.25">
      <c r="A93" s="6"/>
      <c r="B93" s="6"/>
      <c r="C93" s="6"/>
      <c r="D93" s="6"/>
      <c r="E93" s="6"/>
      <c r="F93" s="14"/>
      <c r="G93" s="314"/>
      <c r="H93" s="314"/>
      <c r="I93" s="117" t="s">
        <v>233</v>
      </c>
      <c r="J93" s="118">
        <f>E30</f>
        <v>-2.98</v>
      </c>
      <c r="K93" s="119">
        <f t="shared" si="8"/>
        <v>-0.11660680201129263</v>
      </c>
      <c r="L93" s="8"/>
      <c r="M93" s="6"/>
      <c r="N93" s="6"/>
      <c r="O93" s="6"/>
      <c r="P93" s="6"/>
      <c r="Q93" s="6"/>
      <c r="R93" s="6"/>
      <c r="S93" s="6"/>
      <c r="T93" s="6"/>
      <c r="U93" s="6"/>
      <c r="V93" s="6"/>
      <c r="W93" s="6"/>
      <c r="X93" s="6"/>
    </row>
    <row r="94" spans="1:24" ht="15.75" customHeight="1" x14ac:dyDescent="0.25">
      <c r="A94" s="6"/>
      <c r="B94" s="6"/>
      <c r="C94" s="6"/>
      <c r="D94" s="6"/>
      <c r="E94" s="6"/>
      <c r="F94" s="14"/>
      <c r="G94" s="314"/>
      <c r="H94" s="314"/>
      <c r="I94" s="117" t="s">
        <v>75</v>
      </c>
      <c r="J94" s="118">
        <f>E39</f>
        <v>-1.17</v>
      </c>
      <c r="K94" s="119">
        <f t="shared" si="8"/>
        <v>-4.5781865219198789E-2</v>
      </c>
      <c r="L94" s="8"/>
      <c r="M94" s="6"/>
      <c r="N94" s="6"/>
      <c r="O94" s="6"/>
      <c r="P94" s="6"/>
      <c r="Q94" s="6"/>
      <c r="R94" s="6"/>
      <c r="S94" s="6"/>
      <c r="T94" s="6"/>
      <c r="U94" s="6"/>
      <c r="V94" s="6"/>
      <c r="W94" s="6"/>
      <c r="X94" s="6"/>
    </row>
    <row r="95" spans="1:24" ht="15.75" customHeight="1" x14ac:dyDescent="0.25">
      <c r="A95" s="6"/>
      <c r="B95" s="6"/>
      <c r="C95" s="6"/>
      <c r="D95" s="6"/>
      <c r="E95" s="6"/>
      <c r="F95" s="14"/>
      <c r="G95" s="314"/>
      <c r="H95" s="314"/>
      <c r="I95" s="117" t="s">
        <v>196</v>
      </c>
      <c r="J95" s="118">
        <f>E48</f>
        <v>-21.401</v>
      </c>
      <c r="K95" s="125">
        <f t="shared" si="8"/>
        <v>-0.83741683551801127</v>
      </c>
      <c r="L95" s="8"/>
      <c r="M95" s="6"/>
      <c r="N95" s="6"/>
      <c r="O95" s="6"/>
      <c r="P95" s="6"/>
      <c r="Q95" s="6"/>
      <c r="R95" s="6"/>
      <c r="S95" s="6"/>
      <c r="T95" s="6"/>
      <c r="U95" s="6"/>
      <c r="V95" s="6"/>
      <c r="W95" s="6"/>
      <c r="X95" s="6"/>
    </row>
    <row r="96" spans="1:24" ht="15.75" customHeight="1" x14ac:dyDescent="0.25">
      <c r="A96" s="6"/>
      <c r="B96" s="6"/>
      <c r="C96" s="6"/>
      <c r="D96" s="6"/>
      <c r="E96" s="6"/>
      <c r="F96" s="14"/>
      <c r="G96" s="314"/>
      <c r="H96" s="314"/>
      <c r="I96" s="115" t="s">
        <v>437</v>
      </c>
      <c r="J96" s="127">
        <f>SUM(J91:J95)</f>
        <v>-29.731000000000002</v>
      </c>
      <c r="K96" s="124">
        <f t="shared" si="8"/>
        <v>-1.1633680639589739</v>
      </c>
      <c r="L96" s="8"/>
      <c r="M96" s="6"/>
      <c r="N96" s="6"/>
      <c r="O96" s="6"/>
      <c r="P96" s="6"/>
      <c r="Q96" s="6"/>
      <c r="R96" s="6"/>
      <c r="S96" s="6"/>
      <c r="T96" s="6"/>
      <c r="U96" s="6"/>
      <c r="V96" s="6"/>
      <c r="W96" s="6"/>
      <c r="X96" s="6"/>
    </row>
    <row r="97" spans="1:24" ht="15.75" customHeight="1" x14ac:dyDescent="0.25">
      <c r="A97" s="6"/>
      <c r="B97" s="6"/>
      <c r="C97" s="6"/>
      <c r="D97" s="6"/>
      <c r="E97" s="6"/>
      <c r="F97" s="14"/>
      <c r="G97" s="313" t="s">
        <v>469</v>
      </c>
      <c r="H97" s="314"/>
      <c r="I97" s="117" t="s">
        <v>4</v>
      </c>
      <c r="J97" s="118">
        <f>E13</f>
        <v>0.5</v>
      </c>
      <c r="K97" s="119">
        <f t="shared" si="8"/>
        <v>1.9564899666324267E-2</v>
      </c>
      <c r="L97" s="8"/>
      <c r="M97" s="6"/>
      <c r="N97" s="6"/>
      <c r="O97" s="6"/>
      <c r="P97" s="6"/>
      <c r="Q97" s="6"/>
      <c r="R97" s="6"/>
      <c r="S97" s="6"/>
      <c r="T97" s="6"/>
      <c r="U97" s="6"/>
      <c r="V97" s="6"/>
      <c r="W97" s="6"/>
      <c r="X97" s="6"/>
    </row>
    <row r="98" spans="1:24" ht="15.75" customHeight="1" x14ac:dyDescent="0.25">
      <c r="A98" s="6"/>
      <c r="B98" s="6"/>
      <c r="C98" s="6"/>
      <c r="D98" s="6"/>
      <c r="E98" s="6"/>
      <c r="F98" s="14"/>
      <c r="G98" s="314"/>
      <c r="H98" s="314"/>
      <c r="I98" s="117" t="s">
        <v>118</v>
      </c>
      <c r="J98" s="118">
        <f>E22</f>
        <v>4.17</v>
      </c>
      <c r="K98" s="119">
        <f t="shared" si="8"/>
        <v>0.1631712632171444</v>
      </c>
      <c r="L98" s="8"/>
      <c r="M98" s="6"/>
      <c r="N98" s="6"/>
      <c r="O98" s="6"/>
      <c r="P98" s="6"/>
      <c r="Q98" s="6"/>
      <c r="R98" s="6"/>
      <c r="S98" s="6"/>
      <c r="T98" s="6"/>
      <c r="U98" s="6"/>
      <c r="V98" s="6"/>
      <c r="W98" s="6"/>
      <c r="X98" s="6"/>
    </row>
    <row r="99" spans="1:24" ht="15.75" customHeight="1" x14ac:dyDescent="0.25">
      <c r="A99" s="6"/>
      <c r="B99" s="6"/>
      <c r="C99" s="6"/>
      <c r="D99" s="6"/>
      <c r="E99" s="6"/>
      <c r="F99" s="14"/>
      <c r="G99" s="314"/>
      <c r="H99" s="314"/>
      <c r="I99" s="117" t="s">
        <v>233</v>
      </c>
      <c r="J99" s="118">
        <f>E31</f>
        <v>-0.04</v>
      </c>
      <c r="K99" s="119">
        <f t="shared" si="8"/>
        <v>-1.5651919733059413E-3</v>
      </c>
      <c r="L99" s="8"/>
      <c r="M99" s="6"/>
      <c r="N99" s="6"/>
      <c r="O99" s="6"/>
      <c r="P99" s="6"/>
      <c r="Q99" s="6"/>
      <c r="R99" s="6"/>
      <c r="S99" s="6"/>
      <c r="T99" s="6"/>
      <c r="U99" s="6"/>
      <c r="V99" s="6"/>
      <c r="W99" s="6"/>
      <c r="X99" s="6"/>
    </row>
    <row r="100" spans="1:24" ht="15.75" customHeight="1" x14ac:dyDescent="0.25">
      <c r="A100" s="6"/>
      <c r="B100" s="6"/>
      <c r="C100" s="6"/>
      <c r="D100" s="6"/>
      <c r="E100" s="6"/>
      <c r="F100" s="14"/>
      <c r="G100" s="314"/>
      <c r="H100" s="314"/>
      <c r="I100" s="117" t="s">
        <v>75</v>
      </c>
      <c r="J100" s="118">
        <f>E40</f>
        <v>0.44074380000000002</v>
      </c>
      <c r="K100" s="119">
        <f t="shared" si="8"/>
        <v>1.7246216451108982E-2</v>
      </c>
      <c r="L100" s="8"/>
      <c r="M100" s="6"/>
      <c r="N100" s="6"/>
      <c r="O100" s="6"/>
      <c r="P100" s="6"/>
      <c r="Q100" s="6"/>
      <c r="R100" s="6"/>
      <c r="S100" s="6"/>
      <c r="T100" s="6"/>
      <c r="U100" s="6"/>
      <c r="V100" s="6"/>
      <c r="W100" s="6"/>
      <c r="X100" s="6"/>
    </row>
    <row r="101" spans="1:24" ht="15.75" customHeight="1" x14ac:dyDescent="0.25">
      <c r="A101" s="6"/>
      <c r="B101" s="6"/>
      <c r="C101" s="6"/>
      <c r="D101" s="6"/>
      <c r="E101" s="6"/>
      <c r="F101" s="14"/>
      <c r="G101" s="314"/>
      <c r="H101" s="314"/>
      <c r="I101" s="117" t="s">
        <v>196</v>
      </c>
      <c r="J101" s="118">
        <f>E49</f>
        <v>0.03</v>
      </c>
      <c r="K101" s="119">
        <f t="shared" si="8"/>
        <v>1.1738939799794562E-3</v>
      </c>
      <c r="L101" s="8"/>
      <c r="M101" s="6"/>
      <c r="N101" s="6"/>
      <c r="O101" s="6"/>
      <c r="P101" s="6"/>
      <c r="Q101" s="6"/>
      <c r="R101" s="6"/>
      <c r="S101" s="6"/>
      <c r="T101" s="6"/>
      <c r="U101" s="6"/>
      <c r="V101" s="6"/>
      <c r="W101" s="6"/>
      <c r="X101" s="6"/>
    </row>
    <row r="102" spans="1:24" ht="15.75" customHeight="1" x14ac:dyDescent="0.25">
      <c r="A102" s="6"/>
      <c r="B102" s="6"/>
      <c r="C102" s="6"/>
      <c r="D102" s="6"/>
      <c r="E102" s="6"/>
      <c r="F102" s="14"/>
      <c r="G102" s="314"/>
      <c r="H102" s="314"/>
      <c r="I102" s="115" t="s">
        <v>437</v>
      </c>
      <c r="J102" s="127">
        <f>SUM(J97:J101)</f>
        <v>5.1007438</v>
      </c>
      <c r="K102" s="124">
        <f t="shared" si="8"/>
        <v>0.19959108134125117</v>
      </c>
      <c r="L102" s="8"/>
      <c r="M102" s="6"/>
      <c r="N102" s="6"/>
      <c r="O102" s="6"/>
      <c r="P102" s="6"/>
      <c r="Q102" s="6"/>
      <c r="R102" s="6"/>
      <c r="S102" s="6"/>
      <c r="T102" s="6"/>
      <c r="U102" s="6"/>
      <c r="V102" s="6"/>
      <c r="W102" s="6"/>
      <c r="X102" s="6"/>
    </row>
    <row r="103" spans="1:24" ht="15.75" customHeight="1" x14ac:dyDescent="0.25">
      <c r="A103" s="6"/>
      <c r="B103" s="6"/>
      <c r="C103" s="6"/>
      <c r="D103" s="6"/>
      <c r="E103" s="6"/>
      <c r="F103" s="14"/>
      <c r="G103" s="315" t="s">
        <v>437</v>
      </c>
      <c r="H103" s="316"/>
      <c r="I103" s="317"/>
      <c r="J103" s="90">
        <f>J102+J96+J90+J84+J77+J70+J58+J64+J52</f>
        <v>2555.5970566034434</v>
      </c>
      <c r="K103" s="131">
        <f t="shared" si="8"/>
        <v>99.999999999999972</v>
      </c>
      <c r="L103" s="8"/>
      <c r="M103" s="6"/>
      <c r="N103" s="6"/>
      <c r="O103" s="6"/>
      <c r="P103" s="6"/>
      <c r="Q103" s="6"/>
      <c r="R103" s="6"/>
      <c r="S103" s="6"/>
      <c r="T103" s="6"/>
      <c r="U103" s="6"/>
      <c r="V103" s="6"/>
      <c r="W103" s="6"/>
      <c r="X103" s="6"/>
    </row>
    <row r="104" spans="1:24" ht="15.75" customHeight="1" x14ac:dyDescent="0.25">
      <c r="A104" s="6"/>
      <c r="B104" s="6"/>
      <c r="C104" s="6"/>
      <c r="D104" s="6"/>
      <c r="E104" s="6"/>
      <c r="F104" s="6"/>
      <c r="G104" s="17"/>
      <c r="H104" s="17"/>
      <c r="I104" s="17"/>
      <c r="J104" s="17"/>
      <c r="K104" s="17"/>
      <c r="L104" s="6"/>
      <c r="M104" s="6"/>
      <c r="N104" s="6"/>
      <c r="O104" s="6"/>
      <c r="P104" s="6"/>
      <c r="Q104" s="6"/>
      <c r="R104" s="6"/>
      <c r="S104" s="6"/>
      <c r="T104" s="6"/>
      <c r="U104" s="6"/>
      <c r="V104" s="6"/>
      <c r="W104" s="6"/>
      <c r="X104" s="6"/>
    </row>
    <row r="105" spans="1:24" ht="15.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5.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5.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5.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5.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5.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5.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5.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5.75" customHeight="1" x14ac:dyDescent="0.25">
      <c r="A113" s="6"/>
      <c r="B113" s="6"/>
      <c r="C113" s="6"/>
      <c r="D113" s="6"/>
      <c r="E113" s="6"/>
      <c r="F113" s="6"/>
      <c r="G113" s="6"/>
      <c r="H113" s="7"/>
      <c r="I113" s="7"/>
      <c r="J113" s="7"/>
      <c r="K113" s="7"/>
      <c r="L113" s="7"/>
      <c r="M113" s="6"/>
      <c r="N113" s="6"/>
      <c r="O113" s="6"/>
      <c r="P113" s="6"/>
      <c r="Q113" s="6"/>
      <c r="R113" s="6"/>
      <c r="S113" s="6"/>
      <c r="T113" s="6"/>
      <c r="U113" s="6"/>
      <c r="V113" s="6"/>
      <c r="W113" s="6"/>
      <c r="X113" s="6"/>
    </row>
    <row r="114" spans="1:24" ht="15.75" customHeight="1" x14ac:dyDescent="0.25">
      <c r="A114" s="6"/>
      <c r="B114" s="6"/>
      <c r="C114" s="6"/>
      <c r="D114" s="6"/>
      <c r="E114" s="6"/>
      <c r="F114" s="6"/>
      <c r="G114" s="14"/>
      <c r="H114" s="10" t="s">
        <v>467</v>
      </c>
      <c r="I114" s="12"/>
      <c r="J114" s="10" t="s">
        <v>4</v>
      </c>
      <c r="K114" s="132">
        <v>-1.17</v>
      </c>
      <c r="L114" s="132">
        <v>0.5</v>
      </c>
      <c r="M114" s="8"/>
      <c r="N114" s="6"/>
      <c r="O114" s="6"/>
      <c r="P114" s="6"/>
      <c r="Q114" s="6"/>
      <c r="R114" s="6"/>
      <c r="S114" s="6"/>
      <c r="T114" s="6"/>
      <c r="U114" s="6"/>
      <c r="V114" s="6"/>
      <c r="W114" s="6"/>
      <c r="X114" s="6"/>
    </row>
    <row r="115" spans="1:24" ht="15.75" customHeight="1" x14ac:dyDescent="0.25">
      <c r="A115" s="6"/>
      <c r="B115" s="6"/>
      <c r="C115" s="6"/>
      <c r="D115" s="6"/>
      <c r="E115" s="6"/>
      <c r="F115" s="6"/>
      <c r="G115" s="14"/>
      <c r="H115" s="12"/>
      <c r="I115" s="12"/>
      <c r="J115" s="10" t="s">
        <v>118</v>
      </c>
      <c r="K115" s="132">
        <v>-3.01</v>
      </c>
      <c r="L115" s="132">
        <v>4.17</v>
      </c>
      <c r="M115" s="8"/>
      <c r="N115" s="6"/>
      <c r="O115" s="6"/>
      <c r="P115" s="6"/>
      <c r="Q115" s="6"/>
      <c r="R115" s="6"/>
      <c r="S115" s="6"/>
      <c r="T115" s="6"/>
      <c r="U115" s="6"/>
      <c r="V115" s="6"/>
      <c r="W115" s="6"/>
      <c r="X115" s="6"/>
    </row>
    <row r="116" spans="1:24" ht="15.75" customHeight="1" x14ac:dyDescent="0.25">
      <c r="A116" s="6"/>
      <c r="B116" s="6"/>
      <c r="C116" s="6"/>
      <c r="D116" s="6"/>
      <c r="E116" s="6"/>
      <c r="F116" s="6"/>
      <c r="G116" s="14"/>
      <c r="H116" s="12"/>
      <c r="I116" s="12"/>
      <c r="J116" s="10" t="s">
        <v>233</v>
      </c>
      <c r="K116" s="132">
        <v>-2.98</v>
      </c>
      <c r="L116" s="133">
        <v>0</v>
      </c>
      <c r="M116" s="8"/>
      <c r="N116" s="6"/>
      <c r="O116" s="6"/>
      <c r="P116" s="6"/>
      <c r="Q116" s="6"/>
      <c r="R116" s="6"/>
      <c r="S116" s="6"/>
      <c r="T116" s="6"/>
      <c r="U116" s="6"/>
      <c r="V116" s="6"/>
      <c r="W116" s="6"/>
      <c r="X116" s="6"/>
    </row>
    <row r="117" spans="1:24" ht="15.75" customHeight="1" x14ac:dyDescent="0.25">
      <c r="A117" s="6"/>
      <c r="B117" s="6"/>
      <c r="C117" s="6"/>
      <c r="D117" s="6"/>
      <c r="E117" s="6"/>
      <c r="F117" s="6"/>
      <c r="G117" s="14"/>
      <c r="H117" s="12"/>
      <c r="I117" s="12"/>
      <c r="J117" s="10" t="s">
        <v>75</v>
      </c>
      <c r="K117" s="132">
        <v>-1.17</v>
      </c>
      <c r="L117" s="132">
        <v>0.44074380000000002</v>
      </c>
      <c r="M117" s="8"/>
      <c r="N117" s="6"/>
      <c r="O117" s="6"/>
      <c r="P117" s="6"/>
      <c r="Q117" s="6"/>
      <c r="R117" s="6"/>
      <c r="S117" s="6"/>
      <c r="T117" s="6"/>
      <c r="U117" s="6"/>
      <c r="V117" s="6"/>
      <c r="W117" s="6"/>
      <c r="X117" s="6"/>
    </row>
    <row r="118" spans="1:24" ht="15.75" customHeight="1" x14ac:dyDescent="0.25">
      <c r="A118" s="6"/>
      <c r="B118" s="6"/>
      <c r="C118" s="6"/>
      <c r="D118" s="6"/>
      <c r="E118" s="6"/>
      <c r="F118" s="6"/>
      <c r="G118" s="14"/>
      <c r="H118" s="12"/>
      <c r="I118" s="12"/>
      <c r="J118" s="10" t="s">
        <v>196</v>
      </c>
      <c r="K118" s="132">
        <v>-21.401</v>
      </c>
      <c r="L118" s="133">
        <v>0</v>
      </c>
      <c r="M118" s="8"/>
      <c r="N118" s="6"/>
      <c r="O118" s="6"/>
      <c r="P118" s="6"/>
      <c r="Q118" s="6"/>
      <c r="R118" s="6"/>
      <c r="S118" s="6"/>
      <c r="T118" s="6"/>
      <c r="U118" s="6"/>
      <c r="V118" s="6"/>
      <c r="W118" s="6"/>
      <c r="X118" s="6"/>
    </row>
    <row r="119" spans="1:24" ht="15.75" customHeight="1" x14ac:dyDescent="0.25">
      <c r="A119" s="6"/>
      <c r="B119" s="6"/>
      <c r="C119" s="6"/>
      <c r="D119" s="6"/>
      <c r="E119" s="6"/>
      <c r="F119" s="6"/>
      <c r="G119" s="6"/>
      <c r="H119" s="17"/>
      <c r="I119" s="17"/>
      <c r="J119" s="17"/>
      <c r="K119" s="17"/>
      <c r="L119" s="17"/>
      <c r="M119" s="6"/>
      <c r="N119" s="6"/>
      <c r="O119" s="6"/>
      <c r="P119" s="6"/>
      <c r="Q119" s="6"/>
      <c r="R119" s="6"/>
      <c r="S119" s="6"/>
      <c r="T119" s="6"/>
      <c r="U119" s="6"/>
      <c r="V119" s="6"/>
      <c r="W119" s="6"/>
      <c r="X119" s="6"/>
    </row>
    <row r="120" spans="1:24" ht="15.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5.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5.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sheetData>
  <mergeCells count="56">
    <mergeCell ref="A1:B2"/>
    <mergeCell ref="G26:K26"/>
    <mergeCell ref="H27:I27"/>
    <mergeCell ref="B37:B40"/>
    <mergeCell ref="A50:A51"/>
    <mergeCell ref="A32:A40"/>
    <mergeCell ref="B32:B35"/>
    <mergeCell ref="K6:L6"/>
    <mergeCell ref="K9:L9"/>
    <mergeCell ref="G12:H12"/>
    <mergeCell ref="G13:G14"/>
    <mergeCell ref="G16:H16"/>
    <mergeCell ref="K33:K35"/>
    <mergeCell ref="J36:J37"/>
    <mergeCell ref="K36:K37"/>
    <mergeCell ref="G25:K25"/>
    <mergeCell ref="A41:A49"/>
    <mergeCell ref="B41:B44"/>
    <mergeCell ref="B46:B49"/>
    <mergeCell ref="B5:B8"/>
    <mergeCell ref="A5:A13"/>
    <mergeCell ref="B10:B13"/>
    <mergeCell ref="A14:A22"/>
    <mergeCell ref="B14:B17"/>
    <mergeCell ref="B19:B22"/>
    <mergeCell ref="A23:A31"/>
    <mergeCell ref="B23:B26"/>
    <mergeCell ref="B28:B31"/>
    <mergeCell ref="H41:I41"/>
    <mergeCell ref="H42:I42"/>
    <mergeCell ref="H33:I35"/>
    <mergeCell ref="H36:I37"/>
    <mergeCell ref="G28:G32"/>
    <mergeCell ref="H32:I32"/>
    <mergeCell ref="H28:I28"/>
    <mergeCell ref="H40:I40"/>
    <mergeCell ref="H39:I39"/>
    <mergeCell ref="H38:I38"/>
    <mergeCell ref="G33:G37"/>
    <mergeCell ref="G38:G42"/>
    <mergeCell ref="G97:H102"/>
    <mergeCell ref="G103:I103"/>
    <mergeCell ref="G3:J3"/>
    <mergeCell ref="G47:H52"/>
    <mergeCell ref="G53:H58"/>
    <mergeCell ref="G59:H64"/>
    <mergeCell ref="G65:H70"/>
    <mergeCell ref="G71:H77"/>
    <mergeCell ref="G78:H84"/>
    <mergeCell ref="G85:H90"/>
    <mergeCell ref="G91:H96"/>
    <mergeCell ref="G46:H46"/>
    <mergeCell ref="J33:J35"/>
    <mergeCell ref="H29:I29"/>
    <mergeCell ref="H30:I30"/>
    <mergeCell ref="H31:I31"/>
  </mergeCells>
  <pageMargins left="0.7" right="0.7" top="0.75" bottom="0.75" header="0.3" footer="0.3"/>
  <pageSetup orientation="portrait"/>
  <headerFooter>
    <oddFooter>&amp;C&amp;"Helvetica Neue,Regular"&amp;12&amp;K000000&amp;P</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6"/>
  <sheetViews>
    <sheetView showGridLines="0" workbookViewId="0"/>
  </sheetViews>
  <sheetFormatPr baseColWidth="10" defaultColWidth="10.875" defaultRowHeight="15.75" customHeight="1" x14ac:dyDescent="0.25"/>
  <cols>
    <col min="1" max="1" width="11.875" style="134" customWidth="1"/>
    <col min="2" max="2" width="10.875" style="134" customWidth="1"/>
    <col min="3" max="3" width="27.375" style="134" customWidth="1"/>
    <col min="4" max="4" width="15.875" style="134" customWidth="1"/>
    <col min="5" max="5" width="18.875" style="134" customWidth="1"/>
    <col min="6" max="6" width="7.5" style="134" customWidth="1"/>
    <col min="7" max="7" width="17.375" style="134" customWidth="1"/>
    <col min="8" max="8" width="15.875" style="134" customWidth="1"/>
    <col min="9" max="9" width="12.375" style="134" customWidth="1"/>
    <col min="10" max="10" width="10.875" style="134" customWidth="1"/>
    <col min="11" max="11" width="11.875" style="134" customWidth="1"/>
    <col min="12" max="12" width="10.875" style="134" customWidth="1"/>
    <col min="13" max="13" width="12.375" style="134" customWidth="1"/>
    <col min="14" max="256" width="10.875" style="134" customWidth="1"/>
  </cols>
  <sheetData>
    <row r="1" spans="1:17" ht="17.100000000000001" customHeight="1" x14ac:dyDescent="0.25">
      <c r="A1" s="385" t="s">
        <v>448</v>
      </c>
      <c r="B1" s="386"/>
      <c r="C1" s="135">
        <f>2042.53*1000</f>
        <v>2042530</v>
      </c>
      <c r="D1" s="135">
        <f>C1/1000</f>
        <v>2042.53</v>
      </c>
      <c r="E1" s="8"/>
      <c r="F1" s="6"/>
      <c r="G1" s="6"/>
      <c r="H1" s="6"/>
      <c r="I1" s="6"/>
      <c r="J1" s="6"/>
      <c r="K1" s="6"/>
      <c r="L1" s="6"/>
      <c r="M1" s="6"/>
      <c r="N1" s="6"/>
      <c r="O1" s="6"/>
      <c r="P1" s="6"/>
      <c r="Q1" s="6"/>
    </row>
    <row r="2" spans="1:17" ht="17.100000000000001" customHeight="1" x14ac:dyDescent="0.25">
      <c r="A2" s="386"/>
      <c r="B2" s="386"/>
      <c r="C2" s="75" t="s">
        <v>33</v>
      </c>
      <c r="D2" s="75" t="s">
        <v>484</v>
      </c>
      <c r="E2" s="8"/>
      <c r="F2" s="6"/>
      <c r="G2" s="6"/>
      <c r="H2" s="6"/>
      <c r="I2" s="6"/>
      <c r="J2" s="6"/>
      <c r="K2" s="6"/>
      <c r="L2" s="6"/>
      <c r="M2" s="6"/>
      <c r="N2" s="6"/>
      <c r="O2" s="6"/>
      <c r="P2" s="6"/>
      <c r="Q2" s="6"/>
    </row>
    <row r="3" spans="1:17" ht="17.100000000000001" customHeight="1" x14ac:dyDescent="0.25">
      <c r="A3" s="15"/>
      <c r="B3" s="15"/>
      <c r="C3" s="15"/>
      <c r="D3" s="15"/>
      <c r="E3" s="7"/>
      <c r="F3" s="6"/>
      <c r="G3" s="6"/>
      <c r="H3" s="6"/>
      <c r="I3" s="6"/>
      <c r="J3" s="6"/>
      <c r="K3" s="7"/>
      <c r="L3" s="7"/>
      <c r="M3" s="7"/>
      <c r="N3" s="6"/>
      <c r="O3" s="7"/>
      <c r="P3" s="7"/>
      <c r="Q3" s="7"/>
    </row>
    <row r="4" spans="1:17" ht="17.100000000000001" customHeight="1" x14ac:dyDescent="0.25">
      <c r="A4" s="77" t="s">
        <v>451</v>
      </c>
      <c r="B4" s="77" t="s">
        <v>452</v>
      </c>
      <c r="C4" s="77" t="s">
        <v>485</v>
      </c>
      <c r="D4" s="77" t="s">
        <v>454</v>
      </c>
      <c r="E4" s="77" t="s">
        <v>455</v>
      </c>
      <c r="F4" s="8"/>
      <c r="G4" s="6"/>
      <c r="H4" s="6"/>
      <c r="I4" s="6"/>
      <c r="J4" s="14"/>
      <c r="K4" s="77" t="s">
        <v>456</v>
      </c>
      <c r="L4" s="77" t="s">
        <v>457</v>
      </c>
      <c r="M4" s="77" t="s">
        <v>458</v>
      </c>
      <c r="N4" s="61"/>
      <c r="O4" s="77" t="s">
        <v>460</v>
      </c>
      <c r="P4" s="77" t="s">
        <v>457</v>
      </c>
      <c r="Q4" s="77" t="s">
        <v>458</v>
      </c>
    </row>
    <row r="5" spans="1:17" ht="17.100000000000001" customHeight="1" x14ac:dyDescent="0.25">
      <c r="A5" s="352" t="s">
        <v>4</v>
      </c>
      <c r="B5" s="355">
        <v>1</v>
      </c>
      <c r="C5" s="83" t="s">
        <v>486</v>
      </c>
      <c r="D5" s="84">
        <f>3.81*1000</f>
        <v>3810</v>
      </c>
      <c r="E5" s="84">
        <f t="shared" ref="E5:E46" si="0">D5/1000</f>
        <v>3.81</v>
      </c>
      <c r="F5" s="8"/>
      <c r="G5" s="6"/>
      <c r="H5" s="6"/>
      <c r="I5" s="6"/>
      <c r="J5" s="14"/>
      <c r="K5" s="136" t="s">
        <v>487</v>
      </c>
      <c r="L5" s="11">
        <f>$C$1*0.04</f>
        <v>81701.2</v>
      </c>
      <c r="M5" s="11">
        <f t="shared" ref="M5:M10" si="1">L5/1000</f>
        <v>81.7012</v>
      </c>
      <c r="N5" s="61"/>
      <c r="O5" s="137">
        <v>1</v>
      </c>
      <c r="P5" s="11">
        <f>457.45*1000</f>
        <v>457450</v>
      </c>
      <c r="Q5" s="11">
        <f>P5/1000</f>
        <v>457.45</v>
      </c>
    </row>
    <row r="6" spans="1:17" ht="17.100000000000001" customHeight="1" x14ac:dyDescent="0.25">
      <c r="A6" s="353"/>
      <c r="B6" s="356"/>
      <c r="C6" s="83" t="s">
        <v>488</v>
      </c>
      <c r="D6" s="84">
        <f>26.05*1000</f>
        <v>26050</v>
      </c>
      <c r="E6" s="84">
        <f t="shared" si="0"/>
        <v>26.05</v>
      </c>
      <c r="F6" s="8"/>
      <c r="G6" s="6"/>
      <c r="H6" s="6"/>
      <c r="I6" s="6"/>
      <c r="J6" s="14"/>
      <c r="K6" s="136" t="s">
        <v>489</v>
      </c>
      <c r="L6" s="11">
        <f>$C$1*0.09</f>
        <v>183827.69999999998</v>
      </c>
      <c r="M6" s="11">
        <f t="shared" si="1"/>
        <v>183.82769999999999</v>
      </c>
      <c r="N6" s="61"/>
      <c r="O6" s="137">
        <v>2</v>
      </c>
      <c r="P6" s="11">
        <v>580790</v>
      </c>
      <c r="Q6" s="11">
        <f>P6/1000</f>
        <v>580.79</v>
      </c>
    </row>
    <row r="7" spans="1:17" ht="17.100000000000001" customHeight="1" x14ac:dyDescent="0.25">
      <c r="A7" s="353"/>
      <c r="B7" s="357"/>
      <c r="C7" s="83" t="s">
        <v>490</v>
      </c>
      <c r="D7" s="84">
        <f>4.28*1000</f>
        <v>4280</v>
      </c>
      <c r="E7" s="84">
        <f t="shared" si="0"/>
        <v>4.28</v>
      </c>
      <c r="F7" s="8"/>
      <c r="G7" s="6"/>
      <c r="H7" s="6"/>
      <c r="I7" s="6"/>
      <c r="J7" s="14"/>
      <c r="K7" s="136" t="s">
        <v>491</v>
      </c>
      <c r="L7" s="11">
        <f>$C$1*0.17</f>
        <v>347230.10000000003</v>
      </c>
      <c r="M7" s="11">
        <f t="shared" si="1"/>
        <v>347.23010000000005</v>
      </c>
      <c r="N7" s="61"/>
      <c r="O7" s="137">
        <v>3</v>
      </c>
      <c r="P7" s="11">
        <f>1004.27*1000</f>
        <v>1004270</v>
      </c>
      <c r="Q7" s="11">
        <f>P7/1000</f>
        <v>1004.27</v>
      </c>
    </row>
    <row r="8" spans="1:17" ht="17.100000000000001" customHeight="1" x14ac:dyDescent="0.25">
      <c r="A8" s="353"/>
      <c r="B8" s="96">
        <v>2</v>
      </c>
      <c r="C8" s="64" t="s">
        <v>464</v>
      </c>
      <c r="D8" s="66">
        <f>13.1*1000</f>
        <v>13100</v>
      </c>
      <c r="E8" s="66">
        <f t="shared" si="0"/>
        <v>13.1</v>
      </c>
      <c r="F8" s="8"/>
      <c r="G8" s="6"/>
      <c r="H8" s="6"/>
      <c r="I8" s="6"/>
      <c r="J8" s="14"/>
      <c r="K8" s="136" t="s">
        <v>492</v>
      </c>
      <c r="L8" s="11">
        <f>$C$1*0.32</f>
        <v>653609.6</v>
      </c>
      <c r="M8" s="11">
        <f t="shared" si="1"/>
        <v>653.6096</v>
      </c>
      <c r="N8" s="8"/>
      <c r="O8" s="17"/>
      <c r="P8" s="17"/>
      <c r="Q8" s="17"/>
    </row>
    <row r="9" spans="1:17" ht="17.100000000000001" customHeight="1" x14ac:dyDescent="0.25">
      <c r="A9" s="353"/>
      <c r="B9" s="382">
        <v>3</v>
      </c>
      <c r="C9" s="28" t="s">
        <v>58</v>
      </c>
      <c r="D9" s="106">
        <f>26.81*1000</f>
        <v>26810</v>
      </c>
      <c r="E9" s="106">
        <f t="shared" si="0"/>
        <v>26.81</v>
      </c>
      <c r="F9" s="8"/>
      <c r="G9" s="6"/>
      <c r="H9" s="6"/>
      <c r="I9" s="6"/>
      <c r="J9" s="14"/>
      <c r="K9" s="136" t="s">
        <v>235</v>
      </c>
      <c r="L9" s="11">
        <f>$C$1*0.27</f>
        <v>551483.10000000009</v>
      </c>
      <c r="M9" s="11">
        <f t="shared" si="1"/>
        <v>551.48310000000015</v>
      </c>
      <c r="N9" s="8"/>
      <c r="O9" s="6"/>
      <c r="P9" s="6"/>
      <c r="Q9" s="6"/>
    </row>
    <row r="10" spans="1:17" ht="17.100000000000001" customHeight="1" x14ac:dyDescent="0.25">
      <c r="A10" s="353"/>
      <c r="B10" s="383"/>
      <c r="C10" s="28" t="s">
        <v>95</v>
      </c>
      <c r="D10" s="106">
        <f>15.06*1000</f>
        <v>15060</v>
      </c>
      <c r="E10" s="106">
        <f t="shared" si="0"/>
        <v>15.06</v>
      </c>
      <c r="F10" s="8"/>
      <c r="G10" s="6"/>
      <c r="H10" s="6"/>
      <c r="I10" s="6"/>
      <c r="J10" s="14"/>
      <c r="K10" s="136" t="s">
        <v>425</v>
      </c>
      <c r="L10" s="11">
        <f>$C$1*0.11</f>
        <v>224678.3</v>
      </c>
      <c r="M10" s="11">
        <f t="shared" si="1"/>
        <v>224.67829999999998</v>
      </c>
      <c r="N10" s="8"/>
      <c r="O10" s="6"/>
      <c r="P10" s="6"/>
      <c r="Q10" s="6"/>
    </row>
    <row r="11" spans="1:17" ht="17.100000000000001" customHeight="1" x14ac:dyDescent="0.25">
      <c r="A11" s="353"/>
      <c r="B11" s="383"/>
      <c r="C11" s="28" t="s">
        <v>493</v>
      </c>
      <c r="D11" s="106">
        <f>-4.72*1000</f>
        <v>-4720</v>
      </c>
      <c r="E11" s="106">
        <f t="shared" si="0"/>
        <v>-4.72</v>
      </c>
      <c r="F11" s="8"/>
      <c r="G11" s="6"/>
      <c r="H11" s="6"/>
      <c r="I11" s="6"/>
      <c r="J11" s="6"/>
      <c r="K11" s="17"/>
      <c r="L11" s="17"/>
      <c r="M11" s="17"/>
      <c r="N11" s="6"/>
      <c r="O11" s="6"/>
      <c r="P11" s="6"/>
      <c r="Q11" s="6"/>
    </row>
    <row r="12" spans="1:17" ht="17.100000000000001" customHeight="1" x14ac:dyDescent="0.25">
      <c r="A12" s="354"/>
      <c r="B12" s="384"/>
      <c r="C12" s="28" t="s">
        <v>494</v>
      </c>
      <c r="D12" s="106">
        <v>0</v>
      </c>
      <c r="E12" s="106">
        <f t="shared" si="0"/>
        <v>0</v>
      </c>
      <c r="F12" s="8"/>
      <c r="G12" s="6"/>
      <c r="H12" s="6"/>
      <c r="I12" s="6"/>
      <c r="J12" s="6"/>
      <c r="K12" s="6"/>
      <c r="L12" s="6"/>
      <c r="M12" s="6"/>
      <c r="N12" s="6"/>
      <c r="O12" s="6"/>
      <c r="P12" s="6"/>
      <c r="Q12" s="6"/>
    </row>
    <row r="13" spans="1:17" ht="17.100000000000001" customHeight="1" x14ac:dyDescent="0.25">
      <c r="A13" s="352" t="s">
        <v>118</v>
      </c>
      <c r="B13" s="355">
        <v>1</v>
      </c>
      <c r="C13" s="83" t="s">
        <v>486</v>
      </c>
      <c r="D13" s="84">
        <f>4.53*100</f>
        <v>453</v>
      </c>
      <c r="E13" s="84">
        <f t="shared" si="0"/>
        <v>0.45300000000000001</v>
      </c>
      <c r="F13" s="8"/>
      <c r="G13" s="6"/>
      <c r="H13" s="6"/>
      <c r="I13" s="6"/>
      <c r="J13" s="6"/>
      <c r="K13" s="6"/>
      <c r="L13" s="6"/>
      <c r="M13" s="6"/>
      <c r="N13" s="6"/>
      <c r="O13" s="6"/>
      <c r="P13" s="6"/>
      <c r="Q13" s="6"/>
    </row>
    <row r="14" spans="1:17" ht="17.100000000000001" customHeight="1" x14ac:dyDescent="0.25">
      <c r="A14" s="353"/>
      <c r="B14" s="356"/>
      <c r="C14" s="83" t="s">
        <v>488</v>
      </c>
      <c r="D14" s="84">
        <f>19.89*1000</f>
        <v>19890</v>
      </c>
      <c r="E14" s="84">
        <f t="shared" si="0"/>
        <v>19.89</v>
      </c>
      <c r="F14" s="8"/>
      <c r="G14" s="6"/>
      <c r="H14" s="6"/>
      <c r="I14" s="6"/>
      <c r="J14" s="6"/>
      <c r="K14" s="6"/>
      <c r="L14" s="6"/>
      <c r="M14" s="6"/>
      <c r="N14" s="6"/>
      <c r="O14" s="6"/>
      <c r="P14" s="6"/>
      <c r="Q14" s="6"/>
    </row>
    <row r="15" spans="1:17" ht="17.100000000000001" customHeight="1" x14ac:dyDescent="0.25">
      <c r="A15" s="353"/>
      <c r="B15" s="357"/>
      <c r="C15" s="83" t="s">
        <v>490</v>
      </c>
      <c r="D15" s="84">
        <f>4.41*1000</f>
        <v>4410</v>
      </c>
      <c r="E15" s="84">
        <f t="shared" si="0"/>
        <v>4.41</v>
      </c>
      <c r="F15" s="8"/>
      <c r="G15" s="6"/>
      <c r="H15" s="6"/>
      <c r="I15" s="6"/>
      <c r="J15" s="6"/>
      <c r="K15" s="6"/>
      <c r="L15" s="6"/>
      <c r="M15" s="6"/>
      <c r="N15" s="6"/>
      <c r="O15" s="6"/>
      <c r="P15" s="6"/>
      <c r="Q15" s="6"/>
    </row>
    <row r="16" spans="1:17" ht="17.100000000000001" customHeight="1" x14ac:dyDescent="0.25">
      <c r="A16" s="353"/>
      <c r="B16" s="96">
        <v>2</v>
      </c>
      <c r="C16" s="64" t="s">
        <v>464</v>
      </c>
      <c r="D16" s="66">
        <f>117.65*1000</f>
        <v>117650</v>
      </c>
      <c r="E16" s="66">
        <f t="shared" si="0"/>
        <v>117.65</v>
      </c>
      <c r="F16" s="8"/>
      <c r="G16" s="6"/>
      <c r="H16" s="6"/>
      <c r="I16" s="6"/>
      <c r="J16" s="6"/>
      <c r="K16" s="6"/>
      <c r="L16" s="6"/>
      <c r="M16" s="6"/>
      <c r="N16" s="6"/>
      <c r="O16" s="6"/>
      <c r="P16" s="6"/>
      <c r="Q16" s="6"/>
    </row>
    <row r="17" spans="1:17" ht="17.100000000000001" customHeight="1" x14ac:dyDescent="0.25">
      <c r="A17" s="353"/>
      <c r="B17" s="382">
        <v>3</v>
      </c>
      <c r="C17" s="28" t="s">
        <v>58</v>
      </c>
      <c r="D17" s="106">
        <f>9.31*1000</f>
        <v>9310</v>
      </c>
      <c r="E17" s="106">
        <f t="shared" si="0"/>
        <v>9.31</v>
      </c>
      <c r="F17" s="8"/>
      <c r="G17" s="6"/>
      <c r="H17" s="6"/>
      <c r="I17" s="6"/>
      <c r="J17" s="6"/>
      <c r="K17" s="6"/>
      <c r="L17" s="6"/>
      <c r="M17" s="6"/>
      <c r="N17" s="6"/>
      <c r="O17" s="6"/>
      <c r="P17" s="6"/>
      <c r="Q17" s="6"/>
    </row>
    <row r="18" spans="1:17" ht="17.100000000000001" customHeight="1" x14ac:dyDescent="0.25">
      <c r="A18" s="353"/>
      <c r="B18" s="383"/>
      <c r="C18" s="28" t="s">
        <v>95</v>
      </c>
      <c r="D18" s="106">
        <f>25.16*1000</f>
        <v>25160</v>
      </c>
      <c r="E18" s="106">
        <f t="shared" si="0"/>
        <v>25.16</v>
      </c>
      <c r="F18" s="8"/>
      <c r="G18" s="6"/>
      <c r="H18" s="6"/>
      <c r="I18" s="6"/>
      <c r="J18" s="6"/>
      <c r="K18" s="6"/>
      <c r="L18" s="6"/>
      <c r="M18" s="6"/>
      <c r="N18" s="6"/>
      <c r="O18" s="6"/>
      <c r="P18" s="6"/>
      <c r="Q18" s="6"/>
    </row>
    <row r="19" spans="1:17" ht="17.100000000000001" customHeight="1" x14ac:dyDescent="0.25">
      <c r="A19" s="353"/>
      <c r="B19" s="383"/>
      <c r="C19" s="28" t="s">
        <v>493</v>
      </c>
      <c r="D19" s="106">
        <v>0</v>
      </c>
      <c r="E19" s="106">
        <f t="shared" si="0"/>
        <v>0</v>
      </c>
      <c r="F19" s="8"/>
      <c r="G19" s="6"/>
      <c r="H19" s="6"/>
      <c r="I19" s="6"/>
      <c r="J19" s="6"/>
      <c r="K19" s="6"/>
      <c r="L19" s="6"/>
      <c r="M19" s="6"/>
      <c r="N19" s="6"/>
      <c r="O19" s="6"/>
      <c r="P19" s="6"/>
      <c r="Q19" s="6"/>
    </row>
    <row r="20" spans="1:17" ht="17.100000000000001" customHeight="1" x14ac:dyDescent="0.25">
      <c r="A20" s="354"/>
      <c r="B20" s="384"/>
      <c r="C20" s="28" t="s">
        <v>494</v>
      </c>
      <c r="D20" s="106">
        <v>0</v>
      </c>
      <c r="E20" s="106">
        <f t="shared" si="0"/>
        <v>0</v>
      </c>
      <c r="F20" s="8"/>
      <c r="G20" s="6"/>
      <c r="H20" s="6"/>
      <c r="I20" s="6"/>
      <c r="J20" s="6"/>
      <c r="K20" s="6"/>
      <c r="L20" s="6"/>
      <c r="M20" s="6"/>
      <c r="N20" s="6"/>
      <c r="O20" s="6"/>
      <c r="P20" s="6"/>
      <c r="Q20" s="6"/>
    </row>
    <row r="21" spans="1:17" ht="17.100000000000001" customHeight="1" x14ac:dyDescent="0.25">
      <c r="A21" s="352" t="s">
        <v>233</v>
      </c>
      <c r="B21" s="355">
        <v>1</v>
      </c>
      <c r="C21" s="83" t="s">
        <v>486</v>
      </c>
      <c r="D21" s="84">
        <f>5.7*1000</f>
        <v>5700</v>
      </c>
      <c r="E21" s="84">
        <f t="shared" si="0"/>
        <v>5.7</v>
      </c>
      <c r="F21" s="8"/>
      <c r="G21" s="6"/>
      <c r="H21" s="6"/>
      <c r="I21" s="6"/>
      <c r="J21" s="6"/>
      <c r="K21" s="6"/>
      <c r="L21" s="6"/>
      <c r="M21" s="6"/>
      <c r="N21" s="6"/>
      <c r="O21" s="6"/>
      <c r="P21" s="6"/>
      <c r="Q21" s="6"/>
    </row>
    <row r="22" spans="1:17" ht="17.100000000000001" customHeight="1" x14ac:dyDescent="0.25">
      <c r="A22" s="353"/>
      <c r="B22" s="356"/>
      <c r="C22" s="83" t="s">
        <v>488</v>
      </c>
      <c r="D22" s="84">
        <f>75.3*1000</f>
        <v>75300</v>
      </c>
      <c r="E22" s="84">
        <f t="shared" si="0"/>
        <v>75.3</v>
      </c>
      <c r="F22" s="8"/>
      <c r="G22" s="6"/>
      <c r="H22" s="6"/>
      <c r="I22" s="6"/>
      <c r="J22" s="6"/>
      <c r="K22" s="6"/>
      <c r="L22" s="6"/>
      <c r="M22" s="6"/>
      <c r="N22" s="6"/>
      <c r="O22" s="6"/>
      <c r="P22" s="6"/>
      <c r="Q22" s="6"/>
    </row>
    <row r="23" spans="1:17" ht="17.100000000000001" customHeight="1" x14ac:dyDescent="0.25">
      <c r="A23" s="353"/>
      <c r="B23" s="357"/>
      <c r="C23" s="83" t="s">
        <v>490</v>
      </c>
      <c r="D23" s="84">
        <f>33.91*1000</f>
        <v>33910</v>
      </c>
      <c r="E23" s="84">
        <f t="shared" si="0"/>
        <v>33.909999999999997</v>
      </c>
      <c r="F23" s="8"/>
      <c r="G23" s="6"/>
      <c r="H23" s="6"/>
      <c r="I23" s="6"/>
      <c r="J23" s="6"/>
      <c r="K23" s="6"/>
      <c r="L23" s="6"/>
      <c r="M23" s="6"/>
      <c r="N23" s="6"/>
      <c r="O23" s="6"/>
      <c r="P23" s="6"/>
      <c r="Q23" s="6"/>
    </row>
    <row r="24" spans="1:17" ht="17.100000000000001" customHeight="1" x14ac:dyDescent="0.25">
      <c r="A24" s="353"/>
      <c r="B24" s="96">
        <v>2</v>
      </c>
      <c r="C24" s="64" t="s">
        <v>464</v>
      </c>
      <c r="D24" s="66">
        <f>31.23*1000</f>
        <v>31230</v>
      </c>
      <c r="E24" s="66">
        <f t="shared" si="0"/>
        <v>31.23</v>
      </c>
      <c r="F24" s="8"/>
      <c r="G24" s="6"/>
      <c r="H24" s="6"/>
      <c r="I24" s="6"/>
      <c r="J24" s="6"/>
      <c r="K24" s="6"/>
      <c r="L24" s="6"/>
      <c r="M24" s="6"/>
      <c r="N24" s="6"/>
      <c r="O24" s="6"/>
      <c r="P24" s="6"/>
      <c r="Q24" s="6"/>
    </row>
    <row r="25" spans="1:17" ht="17.100000000000001" customHeight="1" x14ac:dyDescent="0.25">
      <c r="A25" s="353"/>
      <c r="B25" s="382">
        <v>3</v>
      </c>
      <c r="C25" s="28" t="s">
        <v>58</v>
      </c>
      <c r="D25" s="106">
        <f>169.74*1000</f>
        <v>169740</v>
      </c>
      <c r="E25" s="106">
        <f t="shared" si="0"/>
        <v>169.74</v>
      </c>
      <c r="F25" s="8"/>
      <c r="G25" s="6"/>
      <c r="H25" s="6"/>
      <c r="I25" s="6"/>
      <c r="J25" s="6"/>
      <c r="K25" s="6"/>
      <c r="L25" s="6"/>
      <c r="M25" s="6"/>
      <c r="N25" s="6"/>
      <c r="O25" s="6"/>
      <c r="P25" s="6"/>
      <c r="Q25" s="6"/>
    </row>
    <row r="26" spans="1:17" ht="17.100000000000001" customHeight="1" x14ac:dyDescent="0.25">
      <c r="A26" s="353"/>
      <c r="B26" s="383"/>
      <c r="C26" s="28" t="s">
        <v>95</v>
      </c>
      <c r="D26" s="106">
        <f>35.93*1000</f>
        <v>35930</v>
      </c>
      <c r="E26" s="106">
        <f t="shared" si="0"/>
        <v>35.93</v>
      </c>
      <c r="F26" s="8"/>
      <c r="G26" s="6"/>
      <c r="H26" s="6"/>
      <c r="I26" s="6"/>
      <c r="J26" s="6"/>
      <c r="K26" s="6"/>
      <c r="L26" s="6"/>
      <c r="M26" s="6"/>
      <c r="N26" s="6"/>
      <c r="O26" s="6"/>
      <c r="P26" s="6"/>
      <c r="Q26" s="6"/>
    </row>
    <row r="27" spans="1:17" ht="17.100000000000001" customHeight="1" x14ac:dyDescent="0.25">
      <c r="A27" s="353"/>
      <c r="B27" s="383"/>
      <c r="C27" s="28" t="s">
        <v>493</v>
      </c>
      <c r="D27" s="106">
        <f>-7.57*1000</f>
        <v>-7570</v>
      </c>
      <c r="E27" s="106">
        <f t="shared" si="0"/>
        <v>-7.57</v>
      </c>
      <c r="F27" s="8"/>
      <c r="G27" s="6"/>
      <c r="H27" s="6"/>
      <c r="I27" s="6"/>
      <c r="J27" s="6"/>
      <c r="K27" s="6"/>
      <c r="L27" s="6"/>
      <c r="M27" s="6"/>
      <c r="N27" s="6"/>
      <c r="O27" s="6"/>
      <c r="P27" s="6"/>
      <c r="Q27" s="6"/>
    </row>
    <row r="28" spans="1:17" ht="17.100000000000001" customHeight="1" x14ac:dyDescent="0.25">
      <c r="A28" s="354"/>
      <c r="B28" s="384"/>
      <c r="C28" s="28" t="s">
        <v>494</v>
      </c>
      <c r="D28" s="106">
        <v>0</v>
      </c>
      <c r="E28" s="106">
        <f t="shared" si="0"/>
        <v>0</v>
      </c>
      <c r="F28" s="8"/>
      <c r="G28" s="6"/>
      <c r="H28" s="6"/>
      <c r="I28" s="6"/>
      <c r="J28" s="6"/>
      <c r="K28" s="6"/>
      <c r="L28" s="6"/>
      <c r="M28" s="6"/>
      <c r="N28" s="6"/>
      <c r="O28" s="6"/>
      <c r="P28" s="6"/>
      <c r="Q28" s="6"/>
    </row>
    <row r="29" spans="1:17" ht="17.100000000000001" customHeight="1" x14ac:dyDescent="0.25">
      <c r="A29" s="352" t="s">
        <v>75</v>
      </c>
      <c r="B29" s="355">
        <v>1</v>
      </c>
      <c r="C29" s="83" t="s">
        <v>486</v>
      </c>
      <c r="D29" s="84">
        <f>3.91*1000</f>
        <v>3910</v>
      </c>
      <c r="E29" s="84">
        <f t="shared" si="0"/>
        <v>3.91</v>
      </c>
      <c r="F29" s="8"/>
      <c r="G29" s="6"/>
      <c r="H29" s="6"/>
      <c r="I29" s="6"/>
      <c r="J29" s="6"/>
      <c r="K29" s="6"/>
      <c r="L29" s="6"/>
      <c r="M29" s="6"/>
      <c r="N29" s="6"/>
      <c r="O29" s="6"/>
      <c r="P29" s="6"/>
      <c r="Q29" s="6"/>
    </row>
    <row r="30" spans="1:17" ht="17.100000000000001" customHeight="1" x14ac:dyDescent="0.25">
      <c r="A30" s="353"/>
      <c r="B30" s="356"/>
      <c r="C30" s="83" t="s">
        <v>488</v>
      </c>
      <c r="D30" s="84">
        <f>59.79*1000</f>
        <v>59790</v>
      </c>
      <c r="E30" s="84">
        <f t="shared" si="0"/>
        <v>59.79</v>
      </c>
      <c r="F30" s="8"/>
      <c r="G30" s="6"/>
      <c r="H30" s="6"/>
      <c r="I30" s="6"/>
      <c r="J30" s="6"/>
      <c r="K30" s="6"/>
      <c r="L30" s="6"/>
      <c r="M30" s="6"/>
      <c r="N30" s="6"/>
      <c r="O30" s="6"/>
      <c r="P30" s="6"/>
      <c r="Q30" s="6"/>
    </row>
    <row r="31" spans="1:17" ht="17.100000000000001" customHeight="1" x14ac:dyDescent="0.25">
      <c r="A31" s="353"/>
      <c r="B31" s="357"/>
      <c r="C31" s="83" t="s">
        <v>490</v>
      </c>
      <c r="D31" s="84">
        <f>57.94*1000</f>
        <v>57940</v>
      </c>
      <c r="E31" s="84">
        <f t="shared" si="0"/>
        <v>57.94</v>
      </c>
      <c r="F31" s="8"/>
      <c r="G31" s="6"/>
      <c r="H31" s="6"/>
      <c r="I31" s="6"/>
      <c r="J31" s="6"/>
      <c r="K31" s="6"/>
      <c r="L31" s="6"/>
      <c r="M31" s="6"/>
      <c r="N31" s="6"/>
      <c r="O31" s="6"/>
      <c r="P31" s="6"/>
      <c r="Q31" s="6"/>
    </row>
    <row r="32" spans="1:17" ht="17.100000000000001" customHeight="1" x14ac:dyDescent="0.25">
      <c r="A32" s="353"/>
      <c r="B32" s="96">
        <v>2</v>
      </c>
      <c r="C32" s="64" t="s">
        <v>464</v>
      </c>
      <c r="D32" s="66">
        <f>203.16*1000</f>
        <v>203160</v>
      </c>
      <c r="E32" s="66">
        <f t="shared" si="0"/>
        <v>203.16</v>
      </c>
      <c r="F32" s="8"/>
      <c r="G32" s="6"/>
      <c r="H32" s="6"/>
      <c r="I32" s="6"/>
      <c r="J32" s="6"/>
      <c r="K32" s="6"/>
      <c r="L32" s="6"/>
      <c r="M32" s="6"/>
      <c r="N32" s="6"/>
      <c r="O32" s="6"/>
      <c r="P32" s="6"/>
      <c r="Q32" s="6"/>
    </row>
    <row r="33" spans="1:17" ht="17.100000000000001" customHeight="1" x14ac:dyDescent="0.25">
      <c r="A33" s="353"/>
      <c r="B33" s="382">
        <v>3</v>
      </c>
      <c r="C33" s="28" t="s">
        <v>58</v>
      </c>
      <c r="D33" s="106">
        <f>143.97*1000</f>
        <v>143970</v>
      </c>
      <c r="E33" s="106">
        <f t="shared" si="0"/>
        <v>143.97</v>
      </c>
      <c r="F33" s="8"/>
      <c r="G33" s="6"/>
      <c r="H33" s="6"/>
      <c r="I33" s="6"/>
      <c r="J33" s="6"/>
      <c r="K33" s="6"/>
      <c r="L33" s="6"/>
      <c r="M33" s="6"/>
      <c r="N33" s="6"/>
      <c r="O33" s="6"/>
      <c r="P33" s="6"/>
      <c r="Q33" s="6"/>
    </row>
    <row r="34" spans="1:17" ht="17.100000000000001" customHeight="1" x14ac:dyDescent="0.25">
      <c r="A34" s="353"/>
      <c r="B34" s="383"/>
      <c r="C34" s="28" t="s">
        <v>95</v>
      </c>
      <c r="D34" s="106">
        <f>201.02*1000</f>
        <v>201020</v>
      </c>
      <c r="E34" s="106">
        <f t="shared" si="0"/>
        <v>201.02</v>
      </c>
      <c r="F34" s="8"/>
      <c r="G34" s="6"/>
      <c r="H34" s="6"/>
      <c r="I34" s="6"/>
      <c r="J34" s="6"/>
      <c r="K34" s="6"/>
      <c r="L34" s="6"/>
      <c r="M34" s="6"/>
      <c r="N34" s="6"/>
      <c r="O34" s="6"/>
      <c r="P34" s="6"/>
      <c r="Q34" s="6"/>
    </row>
    <row r="35" spans="1:17" ht="17.100000000000001" customHeight="1" x14ac:dyDescent="0.25">
      <c r="A35" s="353"/>
      <c r="B35" s="383"/>
      <c r="C35" s="28" t="s">
        <v>493</v>
      </c>
      <c r="D35" s="106">
        <f>-8.45*1000</f>
        <v>-8450</v>
      </c>
      <c r="E35" s="106">
        <f t="shared" si="0"/>
        <v>-8.4499999999999993</v>
      </c>
      <c r="F35" s="8"/>
      <c r="G35" s="6"/>
      <c r="H35" s="6"/>
      <c r="I35" s="6"/>
      <c r="J35" s="6"/>
      <c r="K35" s="6"/>
      <c r="L35" s="6"/>
      <c r="M35" s="6"/>
      <c r="N35" s="6"/>
      <c r="O35" s="6"/>
      <c r="P35" s="6"/>
      <c r="Q35" s="6"/>
    </row>
    <row r="36" spans="1:17" ht="17.100000000000001" customHeight="1" x14ac:dyDescent="0.25">
      <c r="A36" s="354"/>
      <c r="B36" s="384"/>
      <c r="C36" s="28" t="s">
        <v>494</v>
      </c>
      <c r="D36" s="106">
        <v>0</v>
      </c>
      <c r="E36" s="106">
        <f t="shared" si="0"/>
        <v>0</v>
      </c>
      <c r="F36" s="8"/>
      <c r="G36" s="6"/>
      <c r="H36" s="6"/>
      <c r="I36" s="6"/>
      <c r="J36" s="6"/>
      <c r="K36" s="6"/>
      <c r="L36" s="6"/>
      <c r="M36" s="6"/>
      <c r="N36" s="6"/>
      <c r="O36" s="6"/>
      <c r="P36" s="6"/>
      <c r="Q36" s="6"/>
    </row>
    <row r="37" spans="1:17" ht="17.100000000000001" customHeight="1" x14ac:dyDescent="0.25">
      <c r="A37" s="352" t="s">
        <v>196</v>
      </c>
      <c r="B37" s="355">
        <v>1</v>
      </c>
      <c r="C37" s="83" t="s">
        <v>486</v>
      </c>
      <c r="D37" s="84">
        <f>10.96*1000</f>
        <v>10960</v>
      </c>
      <c r="E37" s="84">
        <f t="shared" si="0"/>
        <v>10.96</v>
      </c>
      <c r="F37" s="8"/>
      <c r="G37" s="6"/>
      <c r="H37" s="6"/>
      <c r="I37" s="6"/>
      <c r="J37" s="6"/>
      <c r="K37" s="6"/>
      <c r="L37" s="6"/>
      <c r="M37" s="6"/>
      <c r="N37" s="6"/>
      <c r="O37" s="6"/>
      <c r="P37" s="6"/>
      <c r="Q37" s="6"/>
    </row>
    <row r="38" spans="1:17" ht="17.100000000000001" customHeight="1" x14ac:dyDescent="0.25">
      <c r="A38" s="353"/>
      <c r="B38" s="356"/>
      <c r="C38" s="83" t="s">
        <v>488</v>
      </c>
      <c r="D38" s="84">
        <f>65.39*1000</f>
        <v>65390</v>
      </c>
      <c r="E38" s="84">
        <f t="shared" si="0"/>
        <v>65.39</v>
      </c>
      <c r="F38" s="8"/>
      <c r="G38" s="6"/>
      <c r="H38" s="6"/>
      <c r="I38" s="6"/>
      <c r="J38" s="6"/>
      <c r="K38" s="6"/>
      <c r="L38" s="6"/>
      <c r="M38" s="6"/>
      <c r="N38" s="6"/>
      <c r="O38" s="6"/>
      <c r="P38" s="6"/>
      <c r="Q38" s="6"/>
    </row>
    <row r="39" spans="1:17" ht="17.100000000000001" customHeight="1" x14ac:dyDescent="0.25">
      <c r="A39" s="353"/>
      <c r="B39" s="357"/>
      <c r="C39" s="83" t="s">
        <v>490</v>
      </c>
      <c r="D39" s="84">
        <f>45.23*1000</f>
        <v>45230</v>
      </c>
      <c r="E39" s="84">
        <f t="shared" si="0"/>
        <v>45.23</v>
      </c>
      <c r="F39" s="8"/>
      <c r="G39" s="6"/>
      <c r="H39" s="6"/>
      <c r="I39" s="6"/>
      <c r="J39" s="6"/>
      <c r="K39" s="6"/>
      <c r="L39" s="6"/>
      <c r="M39" s="6"/>
      <c r="N39" s="6"/>
      <c r="O39" s="6"/>
      <c r="P39" s="6"/>
      <c r="Q39" s="6"/>
    </row>
    <row r="40" spans="1:17" ht="17.100000000000001" customHeight="1" x14ac:dyDescent="0.25">
      <c r="A40" s="353"/>
      <c r="B40" s="96">
        <v>2</v>
      </c>
      <c r="C40" s="64" t="s">
        <v>464</v>
      </c>
      <c r="D40" s="66">
        <f>193.63*1000</f>
        <v>193630</v>
      </c>
      <c r="E40" s="66">
        <f t="shared" si="0"/>
        <v>193.63</v>
      </c>
      <c r="F40" s="8"/>
      <c r="G40" s="6"/>
      <c r="H40" s="6"/>
      <c r="I40" s="6"/>
      <c r="J40" s="6"/>
      <c r="K40" s="6"/>
      <c r="L40" s="6"/>
      <c r="M40" s="6"/>
      <c r="N40" s="6"/>
      <c r="O40" s="6"/>
      <c r="P40" s="6"/>
      <c r="Q40" s="6"/>
    </row>
    <row r="41" spans="1:17" ht="17.100000000000001" customHeight="1" x14ac:dyDescent="0.25">
      <c r="A41" s="353"/>
      <c r="B41" s="382">
        <v>3</v>
      </c>
      <c r="C41" s="28" t="s">
        <v>58</v>
      </c>
      <c r="D41" s="106">
        <f>173.57*1000</f>
        <v>173570</v>
      </c>
      <c r="E41" s="106">
        <f t="shared" si="0"/>
        <v>173.57</v>
      </c>
      <c r="F41" s="8"/>
      <c r="G41" s="6"/>
      <c r="H41" s="6"/>
      <c r="I41" s="6"/>
      <c r="J41" s="6"/>
      <c r="K41" s="6"/>
      <c r="L41" s="6"/>
      <c r="M41" s="6"/>
      <c r="N41" s="6"/>
      <c r="O41" s="6"/>
      <c r="P41" s="6"/>
      <c r="Q41" s="6"/>
    </row>
    <row r="42" spans="1:17" ht="17.100000000000001" customHeight="1" x14ac:dyDescent="0.25">
      <c r="A42" s="353"/>
      <c r="B42" s="383"/>
      <c r="C42" s="28" t="s">
        <v>95</v>
      </c>
      <c r="D42" s="106">
        <f>104.07*1000</f>
        <v>104070</v>
      </c>
      <c r="E42" s="106">
        <f t="shared" si="0"/>
        <v>104.07</v>
      </c>
      <c r="F42" s="8"/>
      <c r="G42" s="6"/>
      <c r="H42" s="6"/>
      <c r="I42" s="6"/>
      <c r="J42" s="6"/>
      <c r="K42" s="6"/>
      <c r="L42" s="6"/>
      <c r="M42" s="6"/>
      <c r="N42" s="6"/>
      <c r="O42" s="6"/>
      <c r="P42" s="6"/>
      <c r="Q42" s="6"/>
    </row>
    <row r="43" spans="1:17" ht="17.100000000000001" customHeight="1" x14ac:dyDescent="0.25">
      <c r="A43" s="353"/>
      <c r="B43" s="383"/>
      <c r="C43" s="28" t="s">
        <v>493</v>
      </c>
      <c r="D43" s="106">
        <f>-51.34*1000</f>
        <v>-51340</v>
      </c>
      <c r="E43" s="106">
        <f t="shared" si="0"/>
        <v>-51.34</v>
      </c>
      <c r="F43" s="8"/>
      <c r="G43" s="6"/>
      <c r="H43" s="6"/>
      <c r="I43" s="6"/>
      <c r="J43" s="6"/>
      <c r="K43" s="6"/>
      <c r="L43" s="6"/>
      <c r="M43" s="6"/>
      <c r="N43" s="6"/>
      <c r="O43" s="6"/>
      <c r="P43" s="6"/>
      <c r="Q43" s="6"/>
    </row>
    <row r="44" spans="1:17" ht="17.100000000000001" customHeight="1" x14ac:dyDescent="0.25">
      <c r="A44" s="354"/>
      <c r="B44" s="384"/>
      <c r="C44" s="28" t="s">
        <v>494</v>
      </c>
      <c r="D44" s="106">
        <v>0</v>
      </c>
      <c r="E44" s="106">
        <f t="shared" si="0"/>
        <v>0</v>
      </c>
      <c r="F44" s="8"/>
      <c r="G44" s="6"/>
      <c r="H44" s="6"/>
      <c r="I44" s="6"/>
      <c r="J44" s="6"/>
      <c r="K44" s="6"/>
      <c r="L44" s="6"/>
      <c r="M44" s="6"/>
      <c r="N44" s="6"/>
      <c r="O44" s="6"/>
      <c r="P44" s="6"/>
      <c r="Q44" s="6"/>
    </row>
    <row r="45" spans="1:17" ht="17.100000000000001" customHeight="1" x14ac:dyDescent="0.25">
      <c r="A45" s="364" t="s">
        <v>425</v>
      </c>
      <c r="B45" s="138">
        <v>2</v>
      </c>
      <c r="C45" s="64" t="s">
        <v>464</v>
      </c>
      <c r="D45" s="66">
        <f>22.02*1000</f>
        <v>22020</v>
      </c>
      <c r="E45" s="66">
        <f t="shared" si="0"/>
        <v>22.02</v>
      </c>
      <c r="F45" s="8"/>
      <c r="G45" s="6"/>
      <c r="H45" s="6"/>
      <c r="I45" s="6"/>
      <c r="J45" s="6"/>
      <c r="K45" s="6"/>
      <c r="L45" s="6"/>
      <c r="M45" s="6"/>
      <c r="N45" s="6"/>
      <c r="O45" s="6"/>
      <c r="P45" s="6"/>
      <c r="Q45" s="6"/>
    </row>
    <row r="46" spans="1:17" ht="17.100000000000001" customHeight="1" x14ac:dyDescent="0.25">
      <c r="A46" s="381"/>
      <c r="B46" s="121">
        <v>3</v>
      </c>
      <c r="C46" s="28" t="s">
        <v>466</v>
      </c>
      <c r="D46" s="106">
        <f>75.79*1000</f>
        <v>75790</v>
      </c>
      <c r="E46" s="106">
        <f t="shared" si="0"/>
        <v>75.790000000000006</v>
      </c>
      <c r="F46" s="8"/>
      <c r="G46" s="6"/>
      <c r="H46" s="6"/>
      <c r="I46" s="6"/>
      <c r="J46" s="6"/>
      <c r="K46" s="6"/>
      <c r="L46" s="6"/>
      <c r="M46" s="6"/>
      <c r="N46" s="6"/>
      <c r="O46" s="6"/>
      <c r="P46" s="6"/>
      <c r="Q46" s="6"/>
    </row>
  </sheetData>
  <mergeCells count="17">
    <mergeCell ref="A5:A12"/>
    <mergeCell ref="A13:A20"/>
    <mergeCell ref="A45:A46"/>
    <mergeCell ref="B37:B39"/>
    <mergeCell ref="B41:B44"/>
    <mergeCell ref="A1:B2"/>
    <mergeCell ref="A37:A44"/>
    <mergeCell ref="B5:B7"/>
    <mergeCell ref="B9:B12"/>
    <mergeCell ref="B13:B15"/>
    <mergeCell ref="B17:B20"/>
    <mergeCell ref="B21:B23"/>
    <mergeCell ref="B25:B28"/>
    <mergeCell ref="B29:B31"/>
    <mergeCell ref="A21:A28"/>
    <mergeCell ref="A29:A36"/>
    <mergeCell ref="B33:B36"/>
  </mergeCells>
  <pageMargins left="0.7" right="0.7" top="0.75" bottom="0.75" header="0.3" footer="0.3"/>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Resumen de exportación</vt:lpstr>
      <vt:lpstr>Medellin</vt:lpstr>
      <vt:lpstr>Villavicencio</vt:lpstr>
      <vt:lpstr>Tunja</vt:lpstr>
      <vt:lpstr>Bucaramanga</vt:lpstr>
      <vt:lpstr>Bogota</vt:lpstr>
      <vt:lpstr>DUAD</vt:lpstr>
      <vt:lpstr>Huella 2018</vt:lpstr>
      <vt:lpstr>Huella 2017</vt:lpstr>
      <vt:lpstr>Comparacion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Sala Biblioteca</cp:lastModifiedBy>
  <dcterms:modified xsi:type="dcterms:W3CDTF">2020-02-03T17:51:33Z</dcterms:modified>
</cp:coreProperties>
</file>