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NIELA\Documents\USTA\Semestre 8\SEMINARIO DE GRADO1\PROYECTO\TESIS DE GRADO\2.0 ANEXOS\"/>
    </mc:Choice>
  </mc:AlternateContent>
  <bookViews>
    <workbookView xWindow="6444" yWindow="6720" windowWidth="17280" windowHeight="8964" activeTab="88"/>
  </bookViews>
  <sheets>
    <sheet name="PCI_U1" sheetId="10" r:id="rId1"/>
    <sheet name="PCI_U2" sheetId="13" r:id="rId2"/>
    <sheet name="PCI_U3" sheetId="14" r:id="rId3"/>
    <sheet name="PCI_U4" sheetId="15" r:id="rId4"/>
    <sheet name="PCI_U5" sheetId="16" r:id="rId5"/>
    <sheet name="PCI_U6" sheetId="17" r:id="rId6"/>
    <sheet name="PCI_U7" sheetId="18" r:id="rId7"/>
    <sheet name="PCI_U8" sheetId="19" r:id="rId8"/>
    <sheet name="PCI_U9" sheetId="20" r:id="rId9"/>
    <sheet name="PCI_U10" sheetId="21" r:id="rId10"/>
    <sheet name="PCI_U11" sheetId="22" r:id="rId11"/>
    <sheet name="PCI_U12" sheetId="23" r:id="rId12"/>
    <sheet name="PCI_U13" sheetId="24" r:id="rId13"/>
    <sheet name="PCI_U14" sheetId="25" r:id="rId14"/>
    <sheet name="PCI_U15" sheetId="26" r:id="rId15"/>
    <sheet name="PCI_U16" sheetId="28" r:id="rId16"/>
    <sheet name="PCI_U17" sheetId="29" r:id="rId17"/>
    <sheet name="PCI_U18" sheetId="27" r:id="rId18"/>
    <sheet name="PCI_U19" sheetId="30" r:id="rId19"/>
    <sheet name="PCI_U20" sheetId="31" r:id="rId20"/>
    <sheet name="PCI_U21" sheetId="32" r:id="rId21"/>
    <sheet name="PCI_U22" sheetId="33" r:id="rId22"/>
    <sheet name="PCI_U23" sheetId="34" r:id="rId23"/>
    <sheet name="PCI_U24" sheetId="35" r:id="rId24"/>
    <sheet name="PCI_U25" sheetId="36" r:id="rId25"/>
    <sheet name="PCI_U26" sheetId="37" r:id="rId26"/>
    <sheet name="PCI_U27" sheetId="38" r:id="rId27"/>
    <sheet name="PCI_U28" sheetId="39" r:id="rId28"/>
    <sheet name="PCI_U29" sheetId="40" r:id="rId29"/>
    <sheet name="PCI_U30" sheetId="41" r:id="rId30"/>
    <sheet name="PCI_U31" sheetId="42" r:id="rId31"/>
    <sheet name="PCI_U32" sheetId="43" r:id="rId32"/>
    <sheet name="PCI_U33" sheetId="44" r:id="rId33"/>
    <sheet name="PCI_U34" sheetId="45" r:id="rId34"/>
    <sheet name="PCI_U35" sheetId="46" r:id="rId35"/>
    <sheet name="PCI_U36" sheetId="47" r:id="rId36"/>
    <sheet name="PCI_U37" sheetId="48" r:id="rId37"/>
    <sheet name="PCI_U38" sheetId="49" r:id="rId38"/>
    <sheet name="PCI_U39" sheetId="50" r:id="rId39"/>
    <sheet name="PCI_U40" sheetId="52" r:id="rId40"/>
    <sheet name="PCI_U41" sheetId="54" r:id="rId41"/>
    <sheet name="PCI_U42" sheetId="53" r:id="rId42"/>
    <sheet name="PCI_U43" sheetId="51" r:id="rId43"/>
    <sheet name="PCI_U44" sheetId="56" r:id="rId44"/>
    <sheet name="PCI_U45" sheetId="57" r:id="rId45"/>
    <sheet name="PCI_U46" sheetId="58" r:id="rId46"/>
    <sheet name="PCI_U47" sheetId="59" r:id="rId47"/>
    <sheet name="PCI_U48" sheetId="60" r:id="rId48"/>
    <sheet name="PCI_U49" sheetId="61" r:id="rId49"/>
    <sheet name="PCI_U50" sheetId="55" r:id="rId50"/>
    <sheet name="PCI_U51" sheetId="70" r:id="rId51"/>
    <sheet name="PCI_U52" sheetId="69" r:id="rId52"/>
    <sheet name="PCI_U53" sheetId="68" r:id="rId53"/>
    <sheet name="PCI_U54" sheetId="67" r:id="rId54"/>
    <sheet name="PCI_U55" sheetId="66" r:id="rId55"/>
    <sheet name="PCI_U56" sheetId="65" r:id="rId56"/>
    <sheet name="PCI_U57" sheetId="64" r:id="rId57"/>
    <sheet name="PCI_U58" sheetId="63" r:id="rId58"/>
    <sheet name="PCI_U59" sheetId="62" r:id="rId59"/>
    <sheet name="PCI_U60" sheetId="80" r:id="rId60"/>
    <sheet name="PCI_U61" sheetId="79" r:id="rId61"/>
    <sheet name="PCI_U62" sheetId="78" r:id="rId62"/>
    <sheet name="PCI_U63" sheetId="77" r:id="rId63"/>
    <sheet name="PCI_U64" sheetId="76" r:id="rId64"/>
    <sheet name="PCI_U65" sheetId="75" r:id="rId65"/>
    <sheet name="PCI_U66" sheetId="74" r:id="rId66"/>
    <sheet name="PCI_U67" sheetId="73" r:id="rId67"/>
    <sheet name="PCI_U68" sheetId="72" r:id="rId68"/>
    <sheet name="PCI_U69" sheetId="71" r:id="rId69"/>
    <sheet name="PCI_U70" sheetId="90" r:id="rId70"/>
    <sheet name="PCI_U71" sheetId="89" r:id="rId71"/>
    <sheet name="PCI_U72" sheetId="88" r:id="rId72"/>
    <sheet name="PCI_U73" sheetId="87" r:id="rId73"/>
    <sheet name="PCI_U74" sheetId="86" r:id="rId74"/>
    <sheet name="PCI_U75" sheetId="85" r:id="rId75"/>
    <sheet name="PCI_U76" sheetId="84" r:id="rId76"/>
    <sheet name="PCI_U77" sheetId="83" r:id="rId77"/>
    <sheet name="PCI_U78" sheetId="82" r:id="rId78"/>
    <sheet name="PCI_U79" sheetId="81" r:id="rId79"/>
    <sheet name="PCI_U80" sheetId="105" r:id="rId80"/>
    <sheet name="PCI_U81" sheetId="104" r:id="rId81"/>
    <sheet name="PCI_U82" sheetId="103" r:id="rId82"/>
    <sheet name="PCI_U83" sheetId="102" r:id="rId83"/>
    <sheet name="PCI_U84" sheetId="101" r:id="rId84"/>
    <sheet name="PCI_U85" sheetId="100" r:id="rId85"/>
    <sheet name="PCI_U86" sheetId="99" r:id="rId86"/>
    <sheet name="PCI_U87" sheetId="98" r:id="rId87"/>
    <sheet name="PCI_U88" sheetId="97" r:id="rId88"/>
    <sheet name="PCI_U89" sheetId="96" r:id="rId8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8" i="15" l="1"/>
  <c r="M38" i="14"/>
  <c r="M38" i="13"/>
  <c r="M38" i="10"/>
  <c r="E28" i="96" l="1"/>
  <c r="E27" i="96"/>
  <c r="E26" i="96"/>
  <c r="E26" i="97"/>
  <c r="K27" i="98"/>
  <c r="L27" i="98" s="1"/>
  <c r="K28" i="98"/>
  <c r="L28" i="98"/>
  <c r="K29" i="98"/>
  <c r="L29" i="98"/>
  <c r="K30" i="98"/>
  <c r="L30" i="98"/>
  <c r="K31" i="98"/>
  <c r="L31" i="98"/>
  <c r="K32" i="98"/>
  <c r="L32" i="98"/>
  <c r="E32" i="98"/>
  <c r="E31" i="98"/>
  <c r="F27" i="98"/>
  <c r="E30" i="98"/>
  <c r="E29" i="98"/>
  <c r="E28" i="98"/>
  <c r="E27" i="98"/>
  <c r="F26" i="98"/>
  <c r="E26" i="98"/>
  <c r="J26" i="99"/>
  <c r="E29" i="99"/>
  <c r="E28" i="99"/>
  <c r="E27" i="99"/>
  <c r="I26" i="99"/>
  <c r="H26" i="99"/>
  <c r="G26" i="99"/>
  <c r="F26" i="99"/>
  <c r="E26" i="99"/>
  <c r="C4" i="96"/>
  <c r="F9" i="96"/>
  <c r="C4" i="97"/>
  <c r="F9" i="97"/>
  <c r="F9" i="98"/>
  <c r="C4" i="98"/>
  <c r="E28" i="100"/>
  <c r="J26" i="100"/>
  <c r="I26" i="100"/>
  <c r="H26" i="100"/>
  <c r="G26" i="100"/>
  <c r="E27" i="100"/>
  <c r="F26" i="100"/>
  <c r="E26" i="100"/>
  <c r="C4" i="99"/>
  <c r="F9" i="99"/>
  <c r="F9" i="100"/>
  <c r="C4" i="100"/>
  <c r="K27" i="101"/>
  <c r="L27" i="101" s="1"/>
  <c r="K28" i="101"/>
  <c r="L28" i="101"/>
  <c r="K29" i="101"/>
  <c r="L29" i="101" s="1"/>
  <c r="K30" i="101"/>
  <c r="L30" i="101"/>
  <c r="K31" i="101"/>
  <c r="L31" i="101" s="1"/>
  <c r="F29" i="101"/>
  <c r="E31" i="101"/>
  <c r="J27" i="101"/>
  <c r="E30" i="101"/>
  <c r="G26" i="101"/>
  <c r="I27" i="101"/>
  <c r="E29" i="101"/>
  <c r="H27" i="101"/>
  <c r="F28" i="101"/>
  <c r="G27" i="101"/>
  <c r="E28" i="101"/>
  <c r="F27" i="101"/>
  <c r="E27" i="101"/>
  <c r="F26" i="101"/>
  <c r="E26" i="101"/>
  <c r="K27" i="102"/>
  <c r="L27" i="102" s="1"/>
  <c r="K28" i="102"/>
  <c r="L28" i="102"/>
  <c r="K29" i="102"/>
  <c r="L29" i="102" s="1"/>
  <c r="K30" i="102"/>
  <c r="L30" i="102"/>
  <c r="K31" i="102"/>
  <c r="L31" i="102" s="1"/>
  <c r="G28" i="102"/>
  <c r="F28" i="102"/>
  <c r="G27" i="102"/>
  <c r="E31" i="102"/>
  <c r="F30" i="102"/>
  <c r="E30" i="102"/>
  <c r="F29" i="102"/>
  <c r="E29" i="102"/>
  <c r="F27" i="102"/>
  <c r="E28" i="102"/>
  <c r="E27" i="102"/>
  <c r="E26" i="102"/>
  <c r="K27" i="103"/>
  <c r="L27" i="103"/>
  <c r="K28" i="103"/>
  <c r="L28" i="103"/>
  <c r="K29" i="103"/>
  <c r="L29" i="103"/>
  <c r="K30" i="103"/>
  <c r="L30" i="103"/>
  <c r="K31" i="103"/>
  <c r="L31" i="103"/>
  <c r="K32" i="103"/>
  <c r="L32" i="103"/>
  <c r="J26" i="103"/>
  <c r="E32" i="103"/>
  <c r="E31" i="103"/>
  <c r="I26" i="103"/>
  <c r="E30" i="103"/>
  <c r="E29" i="103"/>
  <c r="H26" i="103"/>
  <c r="E28" i="103"/>
  <c r="G26" i="103"/>
  <c r="F26" i="103"/>
  <c r="E27" i="103"/>
  <c r="E26" i="103"/>
  <c r="K27" i="104"/>
  <c r="L27" i="104" s="1"/>
  <c r="K28" i="104"/>
  <c r="L28" i="104"/>
  <c r="K29" i="104"/>
  <c r="L29" i="104" s="1"/>
  <c r="K30" i="104"/>
  <c r="L30" i="104"/>
  <c r="K31" i="104"/>
  <c r="L31" i="104" s="1"/>
  <c r="K32" i="104"/>
  <c r="L32" i="104"/>
  <c r="J29" i="104"/>
  <c r="I29" i="104"/>
  <c r="G26" i="104"/>
  <c r="H29" i="104"/>
  <c r="F26" i="104"/>
  <c r="F31" i="104"/>
  <c r="G29" i="104"/>
  <c r="E32" i="104"/>
  <c r="F29" i="104"/>
  <c r="F30" i="104"/>
  <c r="E31" i="104"/>
  <c r="E30" i="104"/>
  <c r="E29" i="104"/>
  <c r="E28" i="104"/>
  <c r="E27" i="104"/>
  <c r="E26" i="104"/>
  <c r="F9" i="101"/>
  <c r="C4" i="101"/>
  <c r="F9" i="102"/>
  <c r="C4" i="102"/>
  <c r="F9" i="103"/>
  <c r="C4" i="103"/>
  <c r="F9" i="104"/>
  <c r="C4" i="104"/>
  <c r="F30" i="105"/>
  <c r="H29" i="105"/>
  <c r="K27" i="105"/>
  <c r="L27" i="105" s="1"/>
  <c r="K28" i="105"/>
  <c r="L28" i="105"/>
  <c r="K29" i="105"/>
  <c r="L29" i="105" s="1"/>
  <c r="K30" i="105"/>
  <c r="L30" i="105" s="1"/>
  <c r="G28" i="105"/>
  <c r="G29" i="105"/>
  <c r="H26" i="105"/>
  <c r="F29" i="105"/>
  <c r="G26" i="105"/>
  <c r="E30" i="105"/>
  <c r="F26" i="105"/>
  <c r="E29" i="105"/>
  <c r="F28" i="105"/>
  <c r="E28" i="105"/>
  <c r="E27" i="105"/>
  <c r="E26" i="105"/>
  <c r="C4" i="105"/>
  <c r="E27" i="82"/>
  <c r="E26" i="82"/>
  <c r="C4" i="82"/>
  <c r="G26" i="84"/>
  <c r="G27" i="84"/>
  <c r="F27" i="84"/>
  <c r="E27" i="84"/>
  <c r="F26" i="84"/>
  <c r="E26" i="84"/>
  <c r="J26" i="85"/>
  <c r="I26" i="85"/>
  <c r="H26" i="85"/>
  <c r="E28" i="85"/>
  <c r="E27" i="85"/>
  <c r="G26" i="85"/>
  <c r="F26" i="85"/>
  <c r="E26" i="85"/>
  <c r="K27" i="86"/>
  <c r="L27" i="86"/>
  <c r="K28" i="86"/>
  <c r="L28" i="86"/>
  <c r="K29" i="86"/>
  <c r="L29" i="86"/>
  <c r="K30" i="86"/>
  <c r="L30" i="86"/>
  <c r="I26" i="86"/>
  <c r="F30" i="86"/>
  <c r="E30" i="86"/>
  <c r="H26" i="86"/>
  <c r="H27" i="86"/>
  <c r="G27" i="86"/>
  <c r="E29" i="86"/>
  <c r="E28" i="86"/>
  <c r="G26" i="86"/>
  <c r="F26" i="86"/>
  <c r="F27" i="86"/>
  <c r="E27" i="86"/>
  <c r="E26" i="86"/>
  <c r="K27" i="87"/>
  <c r="L27" i="87"/>
  <c r="K28" i="87"/>
  <c r="L28" i="87"/>
  <c r="K29" i="87"/>
  <c r="L29" i="87"/>
  <c r="K30" i="87"/>
  <c r="L30" i="87"/>
  <c r="K31" i="87"/>
  <c r="L31" i="87"/>
  <c r="K32" i="87"/>
  <c r="L32" i="87"/>
  <c r="F31" i="87"/>
  <c r="J29" i="87"/>
  <c r="E32" i="87"/>
  <c r="I29" i="87"/>
  <c r="H29" i="87"/>
  <c r="E31" i="87"/>
  <c r="I28" i="87"/>
  <c r="G29" i="87"/>
  <c r="G26" i="87"/>
  <c r="H28" i="87"/>
  <c r="G28" i="87"/>
  <c r="F29" i="87"/>
  <c r="F28" i="87"/>
  <c r="E30" i="87"/>
  <c r="F26" i="87"/>
  <c r="E29" i="87"/>
  <c r="E28" i="87"/>
  <c r="E27" i="87"/>
  <c r="E26" i="87"/>
  <c r="K27" i="88"/>
  <c r="L27" i="88" s="1"/>
  <c r="K28" i="88"/>
  <c r="L28" i="88"/>
  <c r="K29" i="88"/>
  <c r="L29" i="88"/>
  <c r="K30" i="88"/>
  <c r="L30" i="88"/>
  <c r="E30" i="88"/>
  <c r="F29" i="88"/>
  <c r="I27" i="88"/>
  <c r="I28" i="88"/>
  <c r="H28" i="88"/>
  <c r="H27" i="88"/>
  <c r="G27" i="88"/>
  <c r="F27" i="88"/>
  <c r="G28" i="88"/>
  <c r="F28" i="88"/>
  <c r="E29" i="88"/>
  <c r="F26" i="88"/>
  <c r="E28" i="88"/>
  <c r="E27" i="88"/>
  <c r="E26" i="88"/>
  <c r="I27" i="89"/>
  <c r="H27" i="89"/>
  <c r="F28" i="89"/>
  <c r="E28" i="89"/>
  <c r="G27" i="89"/>
  <c r="F27" i="89"/>
  <c r="E27" i="89"/>
  <c r="E26" i="89"/>
  <c r="K27" i="90"/>
  <c r="L27" i="90"/>
  <c r="K28" i="90"/>
  <c r="L28" i="90"/>
  <c r="K29" i="90"/>
  <c r="L29" i="90"/>
  <c r="K30" i="90"/>
  <c r="L30" i="90"/>
  <c r="H29" i="90"/>
  <c r="E30" i="90"/>
  <c r="G29" i="90"/>
  <c r="F29" i="90"/>
  <c r="E29" i="90"/>
  <c r="E28" i="90"/>
  <c r="E27" i="90"/>
  <c r="E26" i="90"/>
  <c r="K27" i="71"/>
  <c r="L27" i="71" s="1"/>
  <c r="K28" i="71"/>
  <c r="L28" i="71"/>
  <c r="K29" i="71"/>
  <c r="L29" i="71" s="1"/>
  <c r="K30" i="71"/>
  <c r="L30" i="71"/>
  <c r="E30" i="71"/>
  <c r="E29" i="71"/>
  <c r="G28" i="71"/>
  <c r="F28" i="71"/>
  <c r="E28" i="71"/>
  <c r="F26" i="71"/>
  <c r="E27" i="71"/>
  <c r="E26" i="71"/>
  <c r="K27" i="72"/>
  <c r="L27" i="72" s="1"/>
  <c r="K28" i="72"/>
  <c r="L28" i="72"/>
  <c r="K29" i="72"/>
  <c r="L29" i="72" s="1"/>
  <c r="K30" i="72"/>
  <c r="L30" i="72"/>
  <c r="K31" i="72"/>
  <c r="L31" i="72" s="1"/>
  <c r="K32" i="72"/>
  <c r="L32" i="72"/>
  <c r="K33" i="72"/>
  <c r="L33" i="72" s="1"/>
  <c r="K34" i="72"/>
  <c r="L34" i="72"/>
  <c r="E34" i="72"/>
  <c r="H27" i="72"/>
  <c r="E33" i="72"/>
  <c r="G27" i="72"/>
  <c r="F27" i="72"/>
  <c r="E32" i="72"/>
  <c r="E31" i="72"/>
  <c r="E30" i="72"/>
  <c r="F29" i="72"/>
  <c r="E29" i="72"/>
  <c r="E28" i="72"/>
  <c r="E27" i="72"/>
  <c r="E26" i="72"/>
  <c r="K27" i="73"/>
  <c r="L27" i="73" s="1"/>
  <c r="K28" i="73"/>
  <c r="L28" i="73"/>
  <c r="K29" i="73"/>
  <c r="L29" i="73" s="1"/>
  <c r="K30" i="73"/>
  <c r="L30" i="73"/>
  <c r="K31" i="73"/>
  <c r="L31" i="73" s="1"/>
  <c r="F30" i="73"/>
  <c r="E31" i="73"/>
  <c r="E30" i="73"/>
  <c r="H27" i="73"/>
  <c r="G28" i="73"/>
  <c r="E29" i="73"/>
  <c r="G27" i="73"/>
  <c r="F27" i="73"/>
  <c r="F28" i="73"/>
  <c r="E28" i="73"/>
  <c r="E27" i="73"/>
  <c r="E26" i="73"/>
  <c r="K27" i="74"/>
  <c r="L27" i="74"/>
  <c r="K28" i="74"/>
  <c r="L28" i="74"/>
  <c r="K29" i="74"/>
  <c r="L29" i="74"/>
  <c r="K30" i="74"/>
  <c r="L30" i="74"/>
  <c r="J28" i="74"/>
  <c r="F30" i="74"/>
  <c r="E30" i="74"/>
  <c r="E29" i="74"/>
  <c r="I28" i="74"/>
  <c r="H28" i="74"/>
  <c r="G28" i="74"/>
  <c r="F28" i="74"/>
  <c r="E28" i="74"/>
  <c r="E27" i="74"/>
  <c r="E26" i="74"/>
  <c r="E29" i="75"/>
  <c r="E28" i="75"/>
  <c r="G26" i="75"/>
  <c r="F26" i="75"/>
  <c r="G27" i="75"/>
  <c r="F27" i="75"/>
  <c r="E27" i="75"/>
  <c r="E26" i="75"/>
  <c r="K27" i="76"/>
  <c r="L27" i="76" s="1"/>
  <c r="K28" i="76"/>
  <c r="L28" i="76"/>
  <c r="K29" i="76"/>
  <c r="L29" i="76" s="1"/>
  <c r="K30" i="76"/>
  <c r="L30" i="76"/>
  <c r="J29" i="76"/>
  <c r="H27" i="76"/>
  <c r="G27" i="76"/>
  <c r="F30" i="76"/>
  <c r="I29" i="76"/>
  <c r="F27" i="76"/>
  <c r="J26" i="76"/>
  <c r="J28" i="76"/>
  <c r="H29" i="76"/>
  <c r="E30" i="76"/>
  <c r="I28" i="76"/>
  <c r="H28" i="76"/>
  <c r="I26" i="76"/>
  <c r="G28" i="76"/>
  <c r="H26" i="76"/>
  <c r="G29" i="76"/>
  <c r="F28" i="76"/>
  <c r="G26" i="76"/>
  <c r="F29" i="76"/>
  <c r="E29" i="76"/>
  <c r="E28" i="76"/>
  <c r="F26" i="76"/>
  <c r="E27" i="76"/>
  <c r="E26" i="76"/>
  <c r="K27" i="77"/>
  <c r="L27" i="77" s="1"/>
  <c r="K28" i="77"/>
  <c r="L28" i="77"/>
  <c r="K29" i="77"/>
  <c r="L29" i="77" s="1"/>
  <c r="K30" i="77"/>
  <c r="L30" i="77"/>
  <c r="K31" i="77"/>
  <c r="L31" i="77" s="1"/>
  <c r="K32" i="77"/>
  <c r="L32" i="77"/>
  <c r="K33" i="77"/>
  <c r="L33" i="77" s="1"/>
  <c r="G31" i="77"/>
  <c r="J30" i="77"/>
  <c r="J32" i="77"/>
  <c r="H33" i="77"/>
  <c r="I30" i="77"/>
  <c r="G33" i="77"/>
  <c r="F33" i="77"/>
  <c r="I32" i="77"/>
  <c r="H30" i="77"/>
  <c r="G30" i="77"/>
  <c r="H32" i="77"/>
  <c r="G32" i="77"/>
  <c r="F30" i="77"/>
  <c r="E33" i="77"/>
  <c r="F31" i="77"/>
  <c r="F32" i="77"/>
  <c r="E32" i="77"/>
  <c r="E31" i="77"/>
  <c r="E30" i="77"/>
  <c r="E29" i="77"/>
  <c r="E28" i="77"/>
  <c r="F27" i="77"/>
  <c r="E27" i="77"/>
  <c r="E26" i="77"/>
  <c r="K27" i="78"/>
  <c r="L27" i="78" s="1"/>
  <c r="K28" i="78"/>
  <c r="L28" i="78"/>
  <c r="K29" i="78"/>
  <c r="L29" i="78" s="1"/>
  <c r="K30" i="78"/>
  <c r="L30" i="78"/>
  <c r="E30" i="78"/>
  <c r="J26" i="78"/>
  <c r="G27" i="78"/>
  <c r="E29" i="78"/>
  <c r="F28" i="78"/>
  <c r="E28" i="78"/>
  <c r="F27" i="78"/>
  <c r="E27" i="78"/>
  <c r="I26" i="78"/>
  <c r="H26" i="78"/>
  <c r="G26" i="78"/>
  <c r="F26" i="78"/>
  <c r="E26" i="78"/>
  <c r="I27" i="79"/>
  <c r="K27" i="79" s="1"/>
  <c r="L27" i="79" s="1"/>
  <c r="K28" i="79"/>
  <c r="L28" i="79"/>
  <c r="K29" i="79"/>
  <c r="L29" i="79"/>
  <c r="K30" i="79"/>
  <c r="L30" i="79"/>
  <c r="K31" i="79"/>
  <c r="L31" i="79"/>
  <c r="K32" i="79"/>
  <c r="L32" i="79"/>
  <c r="E32" i="79"/>
  <c r="H27" i="79"/>
  <c r="G27" i="79"/>
  <c r="F27" i="79"/>
  <c r="E31" i="79"/>
  <c r="E30" i="79"/>
  <c r="H26" i="79"/>
  <c r="E29" i="79"/>
  <c r="G26" i="79"/>
  <c r="F26" i="79"/>
  <c r="E28" i="79"/>
  <c r="E27" i="79"/>
  <c r="E26" i="79"/>
  <c r="K27" i="41" l="1"/>
  <c r="L27" i="41" s="1"/>
  <c r="K28" i="41"/>
  <c r="L28" i="41" s="1"/>
  <c r="K29" i="41"/>
  <c r="L29" i="41"/>
  <c r="K30" i="41"/>
  <c r="L30" i="41"/>
  <c r="E30" i="37"/>
  <c r="K30" i="80" l="1"/>
  <c r="L30" i="80" s="1"/>
  <c r="J27" i="80"/>
  <c r="J26" i="80"/>
  <c r="E30" i="80"/>
  <c r="E29" i="80"/>
  <c r="I27" i="80"/>
  <c r="I26" i="80"/>
  <c r="H27" i="80"/>
  <c r="G27" i="80"/>
  <c r="E28" i="80"/>
  <c r="H26" i="80"/>
  <c r="G26" i="80"/>
  <c r="F26" i="80"/>
  <c r="F27" i="80"/>
  <c r="E27" i="80"/>
  <c r="E26" i="80"/>
  <c r="K27" i="62"/>
  <c r="L27" i="62"/>
  <c r="K28" i="62"/>
  <c r="L28" i="62"/>
  <c r="K29" i="62"/>
  <c r="L29" i="62"/>
  <c r="K30" i="62"/>
  <c r="L30" i="62"/>
  <c r="K31" i="62"/>
  <c r="L31" i="62"/>
  <c r="G27" i="62"/>
  <c r="F30" i="62"/>
  <c r="F29" i="62"/>
  <c r="F28" i="62"/>
  <c r="E31" i="62"/>
  <c r="F27" i="62"/>
  <c r="E30" i="62"/>
  <c r="E29" i="62"/>
  <c r="E28" i="62"/>
  <c r="E27" i="62"/>
  <c r="E26" i="62"/>
  <c r="K27" i="63"/>
  <c r="L27" i="63"/>
  <c r="K28" i="63"/>
  <c r="L28" i="63"/>
  <c r="K29" i="63"/>
  <c r="L29" i="63"/>
  <c r="K30" i="63"/>
  <c r="L30" i="63"/>
  <c r="J29" i="63"/>
  <c r="I29" i="63"/>
  <c r="J27" i="63"/>
  <c r="H29" i="63"/>
  <c r="G29" i="63"/>
  <c r="F30" i="63"/>
  <c r="F29" i="63"/>
  <c r="G26" i="63"/>
  <c r="I27" i="63"/>
  <c r="H27" i="63"/>
  <c r="E30" i="63"/>
  <c r="E29" i="63"/>
  <c r="G27" i="63"/>
  <c r="E28" i="63"/>
  <c r="F27" i="63"/>
  <c r="E27" i="63"/>
  <c r="F26" i="63"/>
  <c r="E26" i="63"/>
  <c r="K27" i="64"/>
  <c r="L27" i="64" s="1"/>
  <c r="K28" i="64"/>
  <c r="L28" i="64" s="1"/>
  <c r="K29" i="64"/>
  <c r="L29" i="64"/>
  <c r="K30" i="64"/>
  <c r="L30" i="64" s="1"/>
  <c r="K31" i="64"/>
  <c r="L31" i="64"/>
  <c r="K32" i="64"/>
  <c r="L32" i="64" s="1"/>
  <c r="G30" i="64"/>
  <c r="G26" i="64"/>
  <c r="F30" i="64"/>
  <c r="F32" i="64"/>
  <c r="J28" i="64"/>
  <c r="I28" i="64"/>
  <c r="E32" i="64"/>
  <c r="H28" i="64"/>
  <c r="E31" i="64"/>
  <c r="E30" i="64"/>
  <c r="E29" i="64"/>
  <c r="G28" i="64"/>
  <c r="F28" i="64"/>
  <c r="E28" i="64"/>
  <c r="F26" i="64"/>
  <c r="E27" i="64"/>
  <c r="E26" i="64"/>
  <c r="I26" i="65"/>
  <c r="F27" i="65"/>
  <c r="H26" i="65"/>
  <c r="G26" i="65"/>
  <c r="E27" i="65"/>
  <c r="F26" i="65"/>
  <c r="E26" i="65"/>
  <c r="J26" i="66"/>
  <c r="G27" i="66"/>
  <c r="I26" i="66"/>
  <c r="H26" i="66"/>
  <c r="G26" i="66"/>
  <c r="E28" i="66"/>
  <c r="F27" i="66"/>
  <c r="F26" i="66"/>
  <c r="E27" i="66"/>
  <c r="E26" i="66"/>
  <c r="K27" i="67"/>
  <c r="L27" i="67" s="1"/>
  <c r="K28" i="67"/>
  <c r="L28" i="67"/>
  <c r="K29" i="67"/>
  <c r="L29" i="67" s="1"/>
  <c r="K30" i="67"/>
  <c r="L30" i="67" s="1"/>
  <c r="K31" i="67"/>
  <c r="L31" i="67" s="1"/>
  <c r="E31" i="67"/>
  <c r="J29" i="67"/>
  <c r="F30" i="67"/>
  <c r="I29" i="67"/>
  <c r="H29" i="67"/>
  <c r="E30" i="67"/>
  <c r="G29" i="67" l="1"/>
  <c r="F29" i="67"/>
  <c r="E29" i="67"/>
  <c r="E28" i="67"/>
  <c r="E27" i="67"/>
  <c r="E26" i="67"/>
  <c r="K26" i="67" s="1"/>
  <c r="L26" i="67" s="1"/>
  <c r="J26" i="68"/>
  <c r="H28" i="68"/>
  <c r="K28" i="68" s="1"/>
  <c r="L28" i="68" s="1"/>
  <c r="G28" i="68"/>
  <c r="F28" i="68"/>
  <c r="I26" i="68"/>
  <c r="H26" i="68"/>
  <c r="F27" i="68"/>
  <c r="F29" i="68"/>
  <c r="E29" i="68"/>
  <c r="K29" i="68" s="1"/>
  <c r="L29" i="68" s="1"/>
  <c r="E28" i="68"/>
  <c r="E27" i="68"/>
  <c r="K27" i="68"/>
  <c r="L27" i="68" s="1"/>
  <c r="G26" i="68"/>
  <c r="F26" i="68"/>
  <c r="K26" i="68" s="1"/>
  <c r="L26" i="68" s="1"/>
  <c r="E26" i="68"/>
  <c r="K27" i="69"/>
  <c r="L27" i="69" s="1"/>
  <c r="K28" i="69"/>
  <c r="L28" i="69"/>
  <c r="K29" i="69"/>
  <c r="L29" i="69" s="1"/>
  <c r="K30" i="69"/>
  <c r="L30" i="69"/>
  <c r="K31" i="69"/>
  <c r="L31" i="69" s="1"/>
  <c r="K32" i="69"/>
  <c r="L32" i="69"/>
  <c r="K33" i="69"/>
  <c r="L33" i="69" s="1"/>
  <c r="J28" i="69"/>
  <c r="J26" i="69"/>
  <c r="I26" i="69"/>
  <c r="J31" i="69"/>
  <c r="F33" i="69"/>
  <c r="I28" i="69"/>
  <c r="E33" i="69"/>
  <c r="I31" i="69"/>
  <c r="H31" i="69"/>
  <c r="G31" i="69"/>
  <c r="H26" i="69"/>
  <c r="H28" i="69"/>
  <c r="F31" i="69"/>
  <c r="G27" i="69"/>
  <c r="G28" i="69"/>
  <c r="F28" i="69"/>
  <c r="E32" i="69"/>
  <c r="E31" i="69"/>
  <c r="F29" i="69"/>
  <c r="E30" i="69"/>
  <c r="G26" i="69"/>
  <c r="E29" i="69"/>
  <c r="F27" i="69"/>
  <c r="E28" i="69"/>
  <c r="F26" i="69"/>
  <c r="E27" i="69"/>
  <c r="E26" i="69"/>
  <c r="F9" i="105"/>
  <c r="K26" i="105"/>
  <c r="L26" i="105" s="1"/>
  <c r="K26" i="104"/>
  <c r="L26" i="104" s="1"/>
  <c r="K26" i="103"/>
  <c r="L26" i="103" s="1"/>
  <c r="K26" i="102"/>
  <c r="L26" i="102" s="1"/>
  <c r="K26" i="101"/>
  <c r="L26" i="101" s="1"/>
  <c r="K28" i="100"/>
  <c r="L28" i="100" s="1"/>
  <c r="K27" i="100"/>
  <c r="L27" i="100" s="1"/>
  <c r="K26" i="100"/>
  <c r="L26" i="100" s="1"/>
  <c r="K29" i="99"/>
  <c r="L29" i="99" s="1"/>
  <c r="K28" i="99"/>
  <c r="L28" i="99" s="1"/>
  <c r="K27" i="99"/>
  <c r="L27" i="99" s="1"/>
  <c r="K26" i="99"/>
  <c r="L26" i="99" s="1"/>
  <c r="K26" i="98"/>
  <c r="L26" i="98" s="1"/>
  <c r="K26" i="97"/>
  <c r="L26" i="97" s="1"/>
  <c r="K28" i="96"/>
  <c r="L28" i="96" s="1"/>
  <c r="K27" i="96"/>
  <c r="L27" i="96" s="1"/>
  <c r="K26" i="96"/>
  <c r="L26" i="96" s="1"/>
  <c r="F9" i="81"/>
  <c r="K27" i="70"/>
  <c r="L27" i="70"/>
  <c r="K28" i="70"/>
  <c r="L28" i="70"/>
  <c r="K29" i="70"/>
  <c r="L29" i="70"/>
  <c r="K30" i="70"/>
  <c r="L30" i="70"/>
  <c r="E30" i="70"/>
  <c r="E29" i="70"/>
  <c r="G27" i="70"/>
  <c r="J28" i="70"/>
  <c r="F26" i="70"/>
  <c r="K26" i="70" s="1"/>
  <c r="L26" i="70" s="1"/>
  <c r="I28" i="70"/>
  <c r="H28" i="70"/>
  <c r="G28" i="70"/>
  <c r="F27" i="70"/>
  <c r="F28" i="70"/>
  <c r="E28" i="70"/>
  <c r="E27" i="70"/>
  <c r="E26" i="70"/>
  <c r="F26" i="55"/>
  <c r="E27" i="55"/>
  <c r="E26" i="55"/>
  <c r="E28" i="60"/>
  <c r="K28" i="60" s="1"/>
  <c r="L28" i="60" s="1"/>
  <c r="F27" i="60"/>
  <c r="K27" i="60" s="1"/>
  <c r="L27" i="60" s="1"/>
  <c r="H26" i="60"/>
  <c r="G26" i="60"/>
  <c r="E27" i="60"/>
  <c r="F26" i="60"/>
  <c r="E26" i="60"/>
  <c r="F9" i="82"/>
  <c r="F9" i="83"/>
  <c r="C4" i="84"/>
  <c r="F9" i="84"/>
  <c r="C4" i="85"/>
  <c r="F9" i="85"/>
  <c r="J27" i="59"/>
  <c r="I27" i="59"/>
  <c r="H27" i="59"/>
  <c r="G27" i="59"/>
  <c r="F27" i="59"/>
  <c r="I26" i="59"/>
  <c r="H26" i="59"/>
  <c r="E28" i="59"/>
  <c r="G26" i="59"/>
  <c r="F26" i="59"/>
  <c r="E27" i="59"/>
  <c r="E26" i="59"/>
  <c r="C4" i="86"/>
  <c r="F9" i="86"/>
  <c r="K27" i="58"/>
  <c r="L27" i="58"/>
  <c r="K28" i="58"/>
  <c r="L28" i="58"/>
  <c r="K29" i="58"/>
  <c r="L29" i="58"/>
  <c r="K30" i="58"/>
  <c r="L30" i="58"/>
  <c r="F29" i="58"/>
  <c r="E30" i="58"/>
  <c r="E29" i="58"/>
  <c r="F28" i="58"/>
  <c r="E28" i="58"/>
  <c r="F27" i="58"/>
  <c r="E27" i="58"/>
  <c r="E26" i="58"/>
  <c r="K26" i="58" s="1"/>
  <c r="L26" i="58" s="1"/>
  <c r="C4" i="87"/>
  <c r="F9" i="87"/>
  <c r="E29" i="57"/>
  <c r="K29" i="57" s="1"/>
  <c r="L29" i="57" s="1"/>
  <c r="E28" i="57"/>
  <c r="K28" i="57" s="1"/>
  <c r="L28" i="57" s="1"/>
  <c r="E27" i="57"/>
  <c r="K27" i="57" s="1"/>
  <c r="L27" i="57" s="1"/>
  <c r="E26" i="57"/>
  <c r="K26" i="57" s="1"/>
  <c r="L26" i="57" s="1"/>
  <c r="C4" i="88"/>
  <c r="F9" i="88"/>
  <c r="C4" i="90"/>
  <c r="C4" i="89"/>
  <c r="F9" i="89"/>
  <c r="F9" i="90"/>
  <c r="E39" i="56"/>
  <c r="K39" i="56"/>
  <c r="L39" i="56" s="1"/>
  <c r="I33" i="56"/>
  <c r="H29" i="56"/>
  <c r="K27" i="56"/>
  <c r="L27" i="56" s="1"/>
  <c r="K28" i="56"/>
  <c r="L28" i="56"/>
  <c r="K29" i="56"/>
  <c r="L29" i="56" s="1"/>
  <c r="K30" i="56"/>
  <c r="L30" i="56"/>
  <c r="K31" i="56"/>
  <c r="L31" i="56" s="1"/>
  <c r="K32" i="56"/>
  <c r="L32" i="56"/>
  <c r="K33" i="56"/>
  <c r="L33" i="56" s="1"/>
  <c r="K34" i="56"/>
  <c r="L34" i="56"/>
  <c r="K35" i="56"/>
  <c r="L35" i="56" s="1"/>
  <c r="K36" i="56"/>
  <c r="L36" i="56"/>
  <c r="K37" i="56"/>
  <c r="L37" i="56" s="1"/>
  <c r="K38" i="56"/>
  <c r="L38" i="56"/>
  <c r="E38" i="56"/>
  <c r="G35" i="56"/>
  <c r="F35" i="56"/>
  <c r="E37" i="56"/>
  <c r="H33" i="56"/>
  <c r="G33" i="56"/>
  <c r="F30" i="56"/>
  <c r="E36" i="56"/>
  <c r="G27" i="56"/>
  <c r="H32" i="56"/>
  <c r="F33" i="56"/>
  <c r="E35" i="56"/>
  <c r="E34" i="56"/>
  <c r="G29" i="56"/>
  <c r="G32" i="56"/>
  <c r="F32" i="56"/>
  <c r="E33" i="56"/>
  <c r="E32" i="56"/>
  <c r="E31" i="56"/>
  <c r="F29" i="56"/>
  <c r="E30" i="56"/>
  <c r="F27" i="56"/>
  <c r="E29" i="56"/>
  <c r="E28" i="56"/>
  <c r="E27" i="56"/>
  <c r="E26" i="56"/>
  <c r="K26" i="90"/>
  <c r="L26" i="90" s="1"/>
  <c r="K28" i="89"/>
  <c r="L28" i="89" s="1"/>
  <c r="K27" i="89"/>
  <c r="L27" i="89" s="1"/>
  <c r="K26" i="89"/>
  <c r="L26" i="89" s="1"/>
  <c r="K26" i="88"/>
  <c r="L26" i="88" s="1"/>
  <c r="K26" i="87"/>
  <c r="L26" i="87" s="1"/>
  <c r="K26" i="86"/>
  <c r="L26" i="86" s="1"/>
  <c r="K28" i="85"/>
  <c r="L28" i="85" s="1"/>
  <c r="K27" i="85"/>
  <c r="L27" i="85" s="1"/>
  <c r="K26" i="85"/>
  <c r="L26" i="85" s="1"/>
  <c r="K27" i="84"/>
  <c r="L27" i="84" s="1"/>
  <c r="K26" i="84"/>
  <c r="L26" i="84" s="1"/>
  <c r="K27" i="82"/>
  <c r="L27" i="82" s="1"/>
  <c r="K26" i="82"/>
  <c r="L26" i="82" s="1"/>
  <c r="C4" i="71"/>
  <c r="F9" i="71"/>
  <c r="F9" i="72"/>
  <c r="C4" i="72"/>
  <c r="C4" i="73"/>
  <c r="F9" i="73"/>
  <c r="C4" i="74"/>
  <c r="F9" i="74"/>
  <c r="K27" i="51"/>
  <c r="L27" i="51" s="1"/>
  <c r="K28" i="51"/>
  <c r="L28" i="51"/>
  <c r="K29" i="51"/>
  <c r="L29" i="51" s="1"/>
  <c r="K30" i="51"/>
  <c r="L30" i="51"/>
  <c r="K31" i="51"/>
  <c r="L31" i="51" s="1"/>
  <c r="K32" i="51"/>
  <c r="L32" i="51"/>
  <c r="K33" i="51"/>
  <c r="L33" i="51" s="1"/>
  <c r="H27" i="51"/>
  <c r="F26" i="51"/>
  <c r="G27" i="51"/>
  <c r="E33" i="51"/>
  <c r="H28" i="51"/>
  <c r="F27" i="51"/>
  <c r="E32" i="51"/>
  <c r="G28" i="51"/>
  <c r="F30" i="51"/>
  <c r="E31" i="51"/>
  <c r="E30" i="51"/>
  <c r="F28" i="51"/>
  <c r="E29" i="51"/>
  <c r="E28" i="51"/>
  <c r="E27" i="51"/>
  <c r="E26" i="51"/>
  <c r="C4" i="75"/>
  <c r="F9" i="75"/>
  <c r="C4" i="76"/>
  <c r="F9" i="76"/>
  <c r="C4" i="77"/>
  <c r="F9" i="77"/>
  <c r="K27" i="53"/>
  <c r="L27" i="53" s="1"/>
  <c r="K28" i="53"/>
  <c r="L28" i="53"/>
  <c r="K29" i="53"/>
  <c r="L29" i="53"/>
  <c r="K30" i="53"/>
  <c r="L30" i="53"/>
  <c r="K31" i="53"/>
  <c r="L31" i="53"/>
  <c r="K32" i="53"/>
  <c r="L32" i="53"/>
  <c r="K33" i="53"/>
  <c r="L33" i="53"/>
  <c r="K34" i="53"/>
  <c r="L34" i="53"/>
  <c r="J30" i="53"/>
  <c r="I30" i="53"/>
  <c r="F29" i="53"/>
  <c r="F34" i="53"/>
  <c r="I28" i="53"/>
  <c r="H31" i="53"/>
  <c r="E34" i="53"/>
  <c r="H28" i="53"/>
  <c r="E33" i="53"/>
  <c r="F26" i="53"/>
  <c r="K26" i="53" s="1"/>
  <c r="L26" i="53" s="1"/>
  <c r="H30" i="53"/>
  <c r="G28" i="53"/>
  <c r="F28" i="53"/>
  <c r="G30" i="53"/>
  <c r="F30" i="53"/>
  <c r="C4" i="78"/>
  <c r="F9" i="78"/>
  <c r="E32" i="53"/>
  <c r="G27" i="53"/>
  <c r="G31" i="53"/>
  <c r="F31" i="53"/>
  <c r="F27" i="53"/>
  <c r="E31" i="53"/>
  <c r="E30" i="53"/>
  <c r="E29" i="53"/>
  <c r="E28" i="53"/>
  <c r="E27" i="53"/>
  <c r="E26" i="53"/>
  <c r="C4" i="79"/>
  <c r="F9" i="79"/>
  <c r="C4" i="80"/>
  <c r="F9" i="80"/>
  <c r="K29" i="80"/>
  <c r="L29" i="80" s="1"/>
  <c r="K28" i="80"/>
  <c r="L28" i="80" s="1"/>
  <c r="K27" i="80"/>
  <c r="L27" i="80" s="1"/>
  <c r="K26" i="80"/>
  <c r="L26" i="80" s="1"/>
  <c r="K26" i="79"/>
  <c r="L26" i="79" s="1"/>
  <c r="K26" i="78"/>
  <c r="L26" i="78" s="1"/>
  <c r="K26" i="77"/>
  <c r="L26" i="77" s="1"/>
  <c r="K26" i="76"/>
  <c r="L26" i="76" s="1"/>
  <c r="K29" i="75"/>
  <c r="L29" i="75" s="1"/>
  <c r="K28" i="75"/>
  <c r="L28" i="75" s="1"/>
  <c r="K27" i="75"/>
  <c r="L27" i="75" s="1"/>
  <c r="K26" i="75"/>
  <c r="L26" i="75" s="1"/>
  <c r="K26" i="74"/>
  <c r="L26" i="74" s="1"/>
  <c r="K26" i="73"/>
  <c r="L26" i="73" s="1"/>
  <c r="K26" i="72"/>
  <c r="L26" i="72" s="1"/>
  <c r="K26" i="71"/>
  <c r="L26" i="71" s="1"/>
  <c r="C4" i="62"/>
  <c r="F9" i="62"/>
  <c r="C4" i="63"/>
  <c r="F9" i="63"/>
  <c r="C4" i="64"/>
  <c r="F9" i="64"/>
  <c r="K27" i="54"/>
  <c r="L27" i="54"/>
  <c r="K28" i="54"/>
  <c r="L28" i="54"/>
  <c r="K29" i="54"/>
  <c r="L29" i="54"/>
  <c r="K30" i="54"/>
  <c r="L30" i="54"/>
  <c r="K31" i="54"/>
  <c r="L31" i="54"/>
  <c r="K32" i="54"/>
  <c r="L32" i="54"/>
  <c r="K33" i="54"/>
  <c r="L33" i="54"/>
  <c r="K34" i="54"/>
  <c r="L34" i="54"/>
  <c r="H26" i="54"/>
  <c r="F31" i="54"/>
  <c r="J32" i="54"/>
  <c r="J28" i="54"/>
  <c r="I28" i="54"/>
  <c r="H28" i="54"/>
  <c r="I32" i="54"/>
  <c r="H32" i="54"/>
  <c r="G28" i="54"/>
  <c r="F34" i="54"/>
  <c r="G32" i="54"/>
  <c r="E34" i="54"/>
  <c r="G26" i="54"/>
  <c r="E33" i="54"/>
  <c r="F26" i="54"/>
  <c r="F28" i="54"/>
  <c r="F32" i="54"/>
  <c r="E32" i="54"/>
  <c r="E31" i="54"/>
  <c r="E30" i="54"/>
  <c r="F29" i="54"/>
  <c r="E29" i="54"/>
  <c r="E28" i="54"/>
  <c r="E27" i="54"/>
  <c r="E26" i="54"/>
  <c r="C4" i="65"/>
  <c r="F9" i="65"/>
  <c r="F9" i="66"/>
  <c r="C4" i="66"/>
  <c r="C4" i="67"/>
  <c r="F9" i="67"/>
  <c r="C4" i="68"/>
  <c r="F9" i="68"/>
  <c r="C4" i="69"/>
  <c r="F9" i="69"/>
  <c r="F9" i="70"/>
  <c r="C4" i="70"/>
  <c r="K26" i="69"/>
  <c r="L26" i="69" s="1"/>
  <c r="K28" i="66"/>
  <c r="L28" i="66" s="1"/>
  <c r="K27" i="66"/>
  <c r="L27" i="66" s="1"/>
  <c r="K26" i="66"/>
  <c r="L26" i="66" s="1"/>
  <c r="K27" i="65"/>
  <c r="L27" i="65" s="1"/>
  <c r="K26" i="65"/>
  <c r="L26" i="65" s="1"/>
  <c r="K26" i="64"/>
  <c r="L26" i="64" s="1"/>
  <c r="K26" i="63"/>
  <c r="L26" i="63" s="1"/>
  <c r="K26" i="62"/>
  <c r="L26" i="62" s="1"/>
  <c r="F9" i="55"/>
  <c r="F9" i="61"/>
  <c r="K32" i="52"/>
  <c r="L32" i="52" s="1"/>
  <c r="K27" i="52"/>
  <c r="L27" i="52"/>
  <c r="K28" i="52"/>
  <c r="L28" i="52"/>
  <c r="K29" i="52"/>
  <c r="L29" i="52"/>
  <c r="K30" i="52"/>
  <c r="L30" i="52"/>
  <c r="K31" i="52"/>
  <c r="L31" i="52"/>
  <c r="I28" i="52"/>
  <c r="H27" i="52"/>
  <c r="E32" i="52"/>
  <c r="G31" i="52"/>
  <c r="F31" i="52"/>
  <c r="E31" i="52"/>
  <c r="F30" i="52"/>
  <c r="G27" i="52"/>
  <c r="F27" i="52"/>
  <c r="E30" i="52"/>
  <c r="F29" i="52"/>
  <c r="E29" i="52"/>
  <c r="H28" i="52"/>
  <c r="G28" i="52"/>
  <c r="F28" i="52"/>
  <c r="E28" i="52"/>
  <c r="E27" i="52"/>
  <c r="E26" i="52"/>
  <c r="F9" i="60"/>
  <c r="C4" i="60"/>
  <c r="F9" i="59"/>
  <c r="C4" i="59"/>
  <c r="F9" i="58"/>
  <c r="C4" i="58"/>
  <c r="F9" i="57"/>
  <c r="C4" i="57"/>
  <c r="K27" i="50"/>
  <c r="L27" i="50" s="1"/>
  <c r="K28" i="50"/>
  <c r="L28" i="50"/>
  <c r="K29" i="50"/>
  <c r="L29" i="50" s="1"/>
  <c r="K30" i="50"/>
  <c r="L30" i="50"/>
  <c r="K31" i="50"/>
  <c r="L31" i="50" s="1"/>
  <c r="K32" i="50"/>
  <c r="L32" i="50"/>
  <c r="K33" i="50"/>
  <c r="L33" i="50" s="1"/>
  <c r="K34" i="50"/>
  <c r="L34" i="50"/>
  <c r="F34" i="50"/>
  <c r="E34" i="50"/>
  <c r="G28" i="50"/>
  <c r="E33" i="50"/>
  <c r="G27" i="50"/>
  <c r="F28" i="50"/>
  <c r="F27" i="50"/>
  <c r="E32" i="50"/>
  <c r="F31" i="50"/>
  <c r="E31" i="50"/>
  <c r="E30" i="50"/>
  <c r="E29" i="50"/>
  <c r="E28" i="50"/>
  <c r="E27" i="50"/>
  <c r="E26" i="50"/>
  <c r="F9" i="56"/>
  <c r="C4" i="56"/>
  <c r="K28" i="59"/>
  <c r="L28" i="59" s="1"/>
  <c r="K26" i="56"/>
  <c r="L26" i="56" s="1"/>
  <c r="K27" i="55"/>
  <c r="L27" i="55" s="1"/>
  <c r="K26" i="55"/>
  <c r="L26" i="55" s="1"/>
  <c r="F9" i="51"/>
  <c r="C4" i="51"/>
  <c r="F9" i="53"/>
  <c r="C4" i="53"/>
  <c r="C4" i="54"/>
  <c r="C4" i="52"/>
  <c r="G27" i="49"/>
  <c r="F27" i="49"/>
  <c r="F26" i="49"/>
  <c r="E29" i="49"/>
  <c r="K29" i="49" s="1"/>
  <c r="L29" i="49" s="1"/>
  <c r="E28" i="49"/>
  <c r="E27" i="49"/>
  <c r="E26" i="49"/>
  <c r="C4" i="50"/>
  <c r="K27" i="48"/>
  <c r="L27" i="48" s="1"/>
  <c r="K28" i="48"/>
  <c r="L28" i="48"/>
  <c r="K29" i="48"/>
  <c r="L29" i="48" s="1"/>
  <c r="K30" i="48"/>
  <c r="L30" i="48"/>
  <c r="K31" i="48"/>
  <c r="L31" i="48" s="1"/>
  <c r="G31" i="48"/>
  <c r="F28" i="48"/>
  <c r="F31" i="48"/>
  <c r="G29" i="48"/>
  <c r="F29" i="48"/>
  <c r="E31" i="48"/>
  <c r="E30" i="48"/>
  <c r="E29" i="48"/>
  <c r="E28" i="48"/>
  <c r="E27" i="48"/>
  <c r="E26" i="48"/>
  <c r="F29" i="47"/>
  <c r="J27" i="47"/>
  <c r="I27" i="47"/>
  <c r="H27" i="47"/>
  <c r="G27" i="47"/>
  <c r="F26" i="47"/>
  <c r="E29" i="47"/>
  <c r="E28" i="47"/>
  <c r="F27" i="47"/>
  <c r="E27" i="47"/>
  <c r="E26" i="47"/>
  <c r="F9" i="54"/>
  <c r="F9" i="52"/>
  <c r="E28" i="46"/>
  <c r="E27" i="46"/>
  <c r="F26" i="46"/>
  <c r="E26" i="46"/>
  <c r="K26" i="46" s="1"/>
  <c r="L26" i="46" s="1"/>
  <c r="K26" i="54"/>
  <c r="L26" i="54" s="1"/>
  <c r="K26" i="52"/>
  <c r="L26" i="52" s="1"/>
  <c r="K26" i="51"/>
  <c r="L26" i="51" s="1"/>
  <c r="F9" i="50"/>
  <c r="K26" i="50"/>
  <c r="L26" i="50" s="1"/>
  <c r="E26" i="45"/>
  <c r="F9" i="49"/>
  <c r="C4" i="49"/>
  <c r="E29" i="44"/>
  <c r="E26" i="44"/>
  <c r="K26" i="44" s="1"/>
  <c r="L26" i="44" s="1"/>
  <c r="E27" i="44"/>
  <c r="E28" i="44"/>
  <c r="F26" i="44"/>
  <c r="K28" i="49"/>
  <c r="L28" i="49" s="1"/>
  <c r="K27" i="49"/>
  <c r="L27" i="49" s="1"/>
  <c r="K26" i="49"/>
  <c r="L26" i="49" s="1"/>
  <c r="F9" i="48"/>
  <c r="C4" i="48"/>
  <c r="K26" i="48"/>
  <c r="L26" i="48" s="1"/>
  <c r="F9" i="47"/>
  <c r="C4" i="47"/>
  <c r="H26" i="43"/>
  <c r="G26" i="43"/>
  <c r="F27" i="43"/>
  <c r="E28" i="43"/>
  <c r="F26" i="43"/>
  <c r="E27" i="43"/>
  <c r="E26" i="43"/>
  <c r="F9" i="46"/>
  <c r="C4" i="46"/>
  <c r="F9" i="45"/>
  <c r="C4" i="45"/>
  <c r="K29" i="47"/>
  <c r="L29" i="47" s="1"/>
  <c r="K28" i="47"/>
  <c r="L28" i="47" s="1"/>
  <c r="K26" i="47"/>
  <c r="L26" i="47" s="1"/>
  <c r="K28" i="46"/>
  <c r="L28" i="46" s="1"/>
  <c r="K27" i="46"/>
  <c r="L27" i="46" s="1"/>
  <c r="K26" i="45"/>
  <c r="L26" i="45" s="1"/>
  <c r="H27" i="42"/>
  <c r="H26" i="42"/>
  <c r="G26" i="42"/>
  <c r="G27" i="42"/>
  <c r="F27" i="42"/>
  <c r="F26" i="42"/>
  <c r="E27" i="42"/>
  <c r="E26" i="42"/>
  <c r="J27" i="41"/>
  <c r="J29" i="41"/>
  <c r="E30" i="41"/>
  <c r="I29" i="41"/>
  <c r="H29" i="41"/>
  <c r="I27" i="41"/>
  <c r="H27" i="41"/>
  <c r="K26" i="60" l="1"/>
  <c r="L26" i="60" s="1"/>
  <c r="K27" i="59"/>
  <c r="L27" i="59" s="1"/>
  <c r="K26" i="59"/>
  <c r="L26" i="59" s="1"/>
  <c r="K27" i="47"/>
  <c r="L27" i="47" s="1"/>
  <c r="G29" i="41"/>
  <c r="F29" i="41"/>
  <c r="E29" i="41"/>
  <c r="E28" i="41"/>
  <c r="G27" i="41"/>
  <c r="F27" i="41"/>
  <c r="E27" i="41"/>
  <c r="E26" i="41"/>
  <c r="F9" i="44"/>
  <c r="C4" i="44"/>
  <c r="F9" i="43"/>
  <c r="C4" i="43"/>
  <c r="K29" i="44"/>
  <c r="L29" i="44" s="1"/>
  <c r="K28" i="44"/>
  <c r="L28" i="44" s="1"/>
  <c r="K27" i="44"/>
  <c r="L27" i="44" s="1"/>
  <c r="K28" i="43"/>
  <c r="L28" i="43" s="1"/>
  <c r="K27" i="43"/>
  <c r="L27" i="43" s="1"/>
  <c r="K26" i="43"/>
  <c r="L26" i="43" s="1"/>
  <c r="K27" i="40"/>
  <c r="L27" i="40"/>
  <c r="K28" i="40"/>
  <c r="L28" i="40"/>
  <c r="K29" i="40"/>
  <c r="L29" i="40"/>
  <c r="K30" i="40"/>
  <c r="L30" i="40"/>
  <c r="K31" i="40"/>
  <c r="L31" i="40"/>
  <c r="K32" i="40"/>
  <c r="L32" i="40"/>
  <c r="K33" i="40"/>
  <c r="L33" i="40"/>
  <c r="F32" i="40"/>
  <c r="E33" i="40"/>
  <c r="I30" i="40"/>
  <c r="E32" i="40"/>
  <c r="H30" i="40"/>
  <c r="G30" i="40"/>
  <c r="E31" i="40"/>
  <c r="F26" i="40"/>
  <c r="F30" i="40"/>
  <c r="F28" i="40"/>
  <c r="E30" i="40"/>
  <c r="F29" i="40"/>
  <c r="E29" i="40"/>
  <c r="E28" i="40"/>
  <c r="E27" i="40"/>
  <c r="E26" i="40"/>
  <c r="C4" i="42"/>
  <c r="F9" i="42"/>
  <c r="F9" i="41"/>
  <c r="K27" i="39"/>
  <c r="L27" i="39"/>
  <c r="K28" i="39"/>
  <c r="L28" i="39"/>
  <c r="K29" i="39"/>
  <c r="L29" i="39"/>
  <c r="K30" i="39"/>
  <c r="L30" i="39"/>
  <c r="K31" i="39"/>
  <c r="L31" i="39"/>
  <c r="K32" i="39"/>
  <c r="L32" i="39"/>
  <c r="K33" i="39"/>
  <c r="L33" i="39"/>
  <c r="K34" i="39"/>
  <c r="L34" i="39"/>
  <c r="K35" i="39"/>
  <c r="L35" i="39"/>
  <c r="I29" i="39"/>
  <c r="F34" i="39"/>
  <c r="F35" i="39"/>
  <c r="E35" i="39"/>
  <c r="E34" i="39"/>
  <c r="G30" i="39"/>
  <c r="F31" i="39"/>
  <c r="H29" i="39"/>
  <c r="G29" i="39"/>
  <c r="F29" i="39"/>
  <c r="F30" i="39"/>
  <c r="E33" i="39"/>
  <c r="F32" i="39"/>
  <c r="E32" i="39"/>
  <c r="E31" i="39"/>
  <c r="E30" i="39"/>
  <c r="F28" i="39" l="1"/>
  <c r="E29" i="39"/>
  <c r="E28" i="39"/>
  <c r="E27" i="39"/>
  <c r="E26" i="39"/>
  <c r="K30" i="38"/>
  <c r="L30" i="38"/>
  <c r="K31" i="38"/>
  <c r="L31" i="38"/>
  <c r="K32" i="38"/>
  <c r="L32" i="38"/>
  <c r="K33" i="38"/>
  <c r="L33" i="38"/>
  <c r="K34" i="38"/>
  <c r="L34" i="38"/>
  <c r="K35" i="38"/>
  <c r="L35" i="38"/>
  <c r="K36" i="38"/>
  <c r="L36" i="38"/>
  <c r="K27" i="38"/>
  <c r="L27" i="38"/>
  <c r="K28" i="38"/>
  <c r="L28" i="38"/>
  <c r="K29" i="38"/>
  <c r="L29" i="38"/>
  <c r="F36" i="38"/>
  <c r="E36" i="38"/>
  <c r="H31" i="38"/>
  <c r="E35" i="38"/>
  <c r="G31" i="38"/>
  <c r="F34" i="38"/>
  <c r="E34" i="38"/>
  <c r="E33" i="38"/>
  <c r="E32" i="38"/>
  <c r="F31" i="38"/>
  <c r="E31" i="38"/>
  <c r="E30" i="38"/>
  <c r="F26" i="38"/>
  <c r="E29" i="38"/>
  <c r="E28" i="38"/>
  <c r="E27" i="38"/>
  <c r="E26" i="38"/>
  <c r="C4" i="41"/>
  <c r="C4" i="40"/>
  <c r="F9" i="40"/>
  <c r="K27" i="37"/>
  <c r="L27" i="37" s="1"/>
  <c r="K28" i="37"/>
  <c r="L28" i="37"/>
  <c r="K29" i="37"/>
  <c r="L29" i="37" s="1"/>
  <c r="K30" i="37"/>
  <c r="L30" i="37" s="1"/>
  <c r="K31" i="37"/>
  <c r="L31" i="37" s="1"/>
  <c r="K32" i="37"/>
  <c r="L32" i="37"/>
  <c r="E32" i="37"/>
  <c r="E31" i="37"/>
  <c r="E29" i="37"/>
  <c r="F28" i="37"/>
  <c r="E28" i="37"/>
  <c r="E27" i="37"/>
  <c r="E26" i="37"/>
  <c r="C4" i="39"/>
  <c r="F9" i="39"/>
  <c r="F9" i="38"/>
  <c r="K27" i="36"/>
  <c r="L27" i="36"/>
  <c r="K28" i="36"/>
  <c r="L28" i="36"/>
  <c r="K29" i="36"/>
  <c r="L29" i="36"/>
  <c r="K30" i="36"/>
  <c r="L30" i="36"/>
  <c r="K31" i="36"/>
  <c r="L31" i="36"/>
  <c r="K32" i="36"/>
  <c r="L32" i="36"/>
  <c r="K33" i="36"/>
  <c r="L33" i="36"/>
  <c r="K34" i="36"/>
  <c r="L34" i="36"/>
  <c r="F30" i="36"/>
  <c r="G31" i="36"/>
  <c r="F31" i="36"/>
  <c r="E34" i="36"/>
  <c r="E33" i="36"/>
  <c r="G27" i="36"/>
  <c r="F27" i="36"/>
  <c r="E32" i="36"/>
  <c r="E31" i="36"/>
  <c r="E30" i="36"/>
  <c r="E29" i="36"/>
  <c r="E28" i="36"/>
  <c r="E27" i="36"/>
  <c r="E26" i="36"/>
  <c r="C4" i="38"/>
  <c r="F9" i="37"/>
  <c r="F9" i="36"/>
  <c r="K30" i="35"/>
  <c r="L30" i="35" s="1"/>
  <c r="K31" i="35"/>
  <c r="L31" i="35"/>
  <c r="K32" i="35"/>
  <c r="L32" i="35" s="1"/>
  <c r="K27" i="35"/>
  <c r="L27" i="35"/>
  <c r="K28" i="35"/>
  <c r="L28" i="35"/>
  <c r="K29" i="35"/>
  <c r="L29" i="35"/>
  <c r="E32" i="35"/>
  <c r="F31" i="35"/>
  <c r="F29" i="35"/>
  <c r="E31" i="35"/>
  <c r="E30" i="35"/>
  <c r="E29" i="35"/>
  <c r="E28" i="35"/>
  <c r="E27" i="35"/>
  <c r="E26" i="35"/>
  <c r="C4" i="37"/>
  <c r="C4" i="36"/>
  <c r="F26" i="34"/>
  <c r="F27" i="34"/>
  <c r="E27" i="34"/>
  <c r="E26" i="34"/>
  <c r="F9" i="35"/>
  <c r="C4" i="35"/>
  <c r="C4" i="34"/>
  <c r="E28" i="33"/>
  <c r="F27" i="33"/>
  <c r="E27" i="33"/>
  <c r="E26" i="33"/>
  <c r="F9" i="34"/>
  <c r="F9" i="33"/>
  <c r="G27" i="32"/>
  <c r="E28" i="32"/>
  <c r="K28" i="32" s="1"/>
  <c r="L28" i="32" s="1"/>
  <c r="F27" i="32"/>
  <c r="K27" i="32" s="1"/>
  <c r="L27" i="32" s="1"/>
  <c r="E27" i="32"/>
  <c r="G26" i="32"/>
  <c r="F26" i="32"/>
  <c r="E26" i="32"/>
  <c r="F9" i="32"/>
  <c r="C4" i="33"/>
  <c r="C4" i="32"/>
  <c r="K27" i="42"/>
  <c r="L27" i="42" s="1"/>
  <c r="K26" i="42"/>
  <c r="L26" i="42" s="1"/>
  <c r="K26" i="41"/>
  <c r="L26" i="41" s="1"/>
  <c r="K26" i="40"/>
  <c r="L26" i="40" s="1"/>
  <c r="K26" i="39"/>
  <c r="L26" i="39" s="1"/>
  <c r="K26" i="38"/>
  <c r="L26" i="38" s="1"/>
  <c r="K26" i="37"/>
  <c r="L26" i="37" s="1"/>
  <c r="K26" i="36"/>
  <c r="L26" i="36" s="1"/>
  <c r="K26" i="35"/>
  <c r="L26" i="35" s="1"/>
  <c r="K27" i="34"/>
  <c r="L27" i="34" s="1"/>
  <c r="K26" i="34"/>
  <c r="L26" i="34" s="1"/>
  <c r="K28" i="33"/>
  <c r="L28" i="33" s="1"/>
  <c r="K27" i="33"/>
  <c r="L27" i="33" s="1"/>
  <c r="K26" i="33"/>
  <c r="L26" i="33" s="1"/>
  <c r="K26" i="32"/>
  <c r="L26" i="32" s="1"/>
  <c r="F29" i="31" l="1"/>
  <c r="E29" i="31"/>
  <c r="E28" i="31"/>
  <c r="F27" i="31"/>
  <c r="E27" i="31"/>
  <c r="K27" i="31" s="1"/>
  <c r="L27" i="31" s="1"/>
  <c r="E26" i="31"/>
  <c r="K26" i="31" s="1"/>
  <c r="L26" i="31" s="1"/>
  <c r="F27" i="30"/>
  <c r="E31" i="30"/>
  <c r="E30" i="30"/>
  <c r="E29" i="30"/>
  <c r="K29" i="30" s="1"/>
  <c r="L29" i="30" s="1"/>
  <c r="E28" i="30"/>
  <c r="E33" i="29"/>
  <c r="E27" i="30"/>
  <c r="K27" i="30" s="1"/>
  <c r="L27" i="30" s="1"/>
  <c r="E26" i="30"/>
  <c r="H29" i="27"/>
  <c r="E35" i="27"/>
  <c r="K35" i="27" s="1"/>
  <c r="L35" i="27" s="1"/>
  <c r="E34" i="27"/>
  <c r="F33" i="27"/>
  <c r="E33" i="27"/>
  <c r="G29" i="27"/>
  <c r="K29" i="27" s="1"/>
  <c r="L29" i="27" s="1"/>
  <c r="F29" i="27"/>
  <c r="E32" i="27"/>
  <c r="E31" i="27"/>
  <c r="E30" i="27"/>
  <c r="E29" i="27"/>
  <c r="F28" i="27"/>
  <c r="E28" i="27"/>
  <c r="E27" i="27"/>
  <c r="E26" i="27"/>
  <c r="K26" i="27" s="1"/>
  <c r="L26" i="27" s="1"/>
  <c r="K32" i="29"/>
  <c r="L32" i="29"/>
  <c r="K34" i="29"/>
  <c r="L34" i="29"/>
  <c r="F26" i="29"/>
  <c r="E34" i="29"/>
  <c r="K33" i="29"/>
  <c r="L33" i="29" s="1"/>
  <c r="F29" i="29"/>
  <c r="F27" i="29"/>
  <c r="E32" i="29"/>
  <c r="E31" i="29"/>
  <c r="K31" i="29" s="1"/>
  <c r="L31" i="29" s="1"/>
  <c r="E30" i="29"/>
  <c r="K30" i="29" s="1"/>
  <c r="L30" i="29" s="1"/>
  <c r="F28" i="29"/>
  <c r="E29" i="29"/>
  <c r="K29" i="29" s="1"/>
  <c r="L29" i="29" s="1"/>
  <c r="E28" i="29"/>
  <c r="K28" i="29" s="1"/>
  <c r="L28" i="29" s="1"/>
  <c r="E27" i="29"/>
  <c r="K27" i="29" s="1"/>
  <c r="L27" i="29" s="1"/>
  <c r="E26" i="29"/>
  <c r="F27" i="28"/>
  <c r="E30" i="28"/>
  <c r="E29" i="28"/>
  <c r="E28" i="28"/>
  <c r="E27" i="28"/>
  <c r="E26" i="28"/>
  <c r="C4" i="31"/>
  <c r="C4" i="30"/>
  <c r="C4" i="27"/>
  <c r="C4" i="29"/>
  <c r="F9" i="31"/>
  <c r="F9" i="30"/>
  <c r="F9" i="27"/>
  <c r="F9" i="29"/>
  <c r="K29" i="31"/>
  <c r="L29" i="31" s="1"/>
  <c r="K28" i="31"/>
  <c r="L28" i="31" s="1"/>
  <c r="K31" i="30"/>
  <c r="L31" i="30" s="1"/>
  <c r="K30" i="30"/>
  <c r="L30" i="30" s="1"/>
  <c r="K28" i="30"/>
  <c r="L28" i="30" s="1"/>
  <c r="K26" i="30"/>
  <c r="L26" i="30" s="1"/>
  <c r="F9" i="28"/>
  <c r="K26" i="29"/>
  <c r="L26" i="29" s="1"/>
  <c r="K30" i="28"/>
  <c r="L30" i="28" s="1"/>
  <c r="K29" i="28"/>
  <c r="L29" i="28" s="1"/>
  <c r="K28" i="28"/>
  <c r="L28" i="28" s="1"/>
  <c r="K27" i="28"/>
  <c r="L27" i="28" s="1"/>
  <c r="K26" i="28"/>
  <c r="L26" i="28" s="1"/>
  <c r="K34" i="27"/>
  <c r="L34" i="27" s="1"/>
  <c r="K33" i="27"/>
  <c r="L33" i="27" s="1"/>
  <c r="K32" i="27"/>
  <c r="L32" i="27" s="1"/>
  <c r="K31" i="27"/>
  <c r="L31" i="27" s="1"/>
  <c r="K30" i="27"/>
  <c r="L30" i="27" s="1"/>
  <c r="K28" i="27"/>
  <c r="L28" i="27" s="1"/>
  <c r="K27" i="27"/>
  <c r="L27" i="27" s="1"/>
  <c r="E29" i="26"/>
  <c r="J26" i="26"/>
  <c r="I26" i="26"/>
  <c r="H26" i="26"/>
  <c r="E28" i="26"/>
  <c r="G26" i="26"/>
  <c r="F26" i="26"/>
  <c r="E27" i="26"/>
  <c r="E26" i="26"/>
  <c r="K33" i="25"/>
  <c r="L33" i="25" s="1"/>
  <c r="K34" i="25"/>
  <c r="L34" i="25"/>
  <c r="K35" i="25"/>
  <c r="L35" i="25" s="1"/>
  <c r="K36" i="25"/>
  <c r="L36" i="25"/>
  <c r="K27" i="25"/>
  <c r="L27" i="25" s="1"/>
  <c r="K28" i="25"/>
  <c r="L28" i="25"/>
  <c r="K29" i="25"/>
  <c r="L29" i="25"/>
  <c r="K30" i="25"/>
  <c r="L30" i="25"/>
  <c r="K31" i="25"/>
  <c r="L31" i="25"/>
  <c r="K32" i="25"/>
  <c r="L32" i="25"/>
  <c r="E36" i="25"/>
  <c r="E35" i="25"/>
  <c r="E34" i="25"/>
  <c r="F30" i="25"/>
  <c r="G26" i="25"/>
  <c r="F26" i="25"/>
  <c r="G32" i="25"/>
  <c r="E33" i="25"/>
  <c r="F32" i="25"/>
  <c r="F31" i="25"/>
  <c r="E32" i="25"/>
  <c r="E31" i="25"/>
  <c r="F28" i="25"/>
  <c r="E30" i="25"/>
  <c r="E29" i="25"/>
  <c r="E28" i="25"/>
  <c r="E27" i="25"/>
  <c r="E26" i="25"/>
  <c r="K33" i="24"/>
  <c r="L33" i="24" s="1"/>
  <c r="K34" i="24"/>
  <c r="L34" i="24"/>
  <c r="K27" i="24"/>
  <c r="L27" i="24" s="1"/>
  <c r="K28" i="24"/>
  <c r="L28" i="24"/>
  <c r="K29" i="24"/>
  <c r="L29" i="24"/>
  <c r="K30" i="24"/>
  <c r="L30" i="24"/>
  <c r="K31" i="24"/>
  <c r="L31" i="24"/>
  <c r="K32" i="24"/>
  <c r="L32" i="24"/>
  <c r="G30" i="24"/>
  <c r="E34" i="24"/>
  <c r="F33" i="24"/>
  <c r="F31" i="24"/>
  <c r="F29" i="24"/>
  <c r="E33" i="24"/>
  <c r="F30" i="24"/>
  <c r="G28" i="24"/>
  <c r="E32" i="24"/>
  <c r="E31" i="24"/>
  <c r="E30" i="24"/>
  <c r="E29" i="24"/>
  <c r="F28" i="24"/>
  <c r="E28" i="24"/>
  <c r="E27" i="24"/>
  <c r="E26" i="24"/>
  <c r="K27" i="23"/>
  <c r="L27" i="23"/>
  <c r="K28" i="23"/>
  <c r="L28" i="23" s="1"/>
  <c r="K29" i="23"/>
  <c r="L29" i="23"/>
  <c r="K30" i="23"/>
  <c r="L30" i="23" s="1"/>
  <c r="K31" i="23"/>
  <c r="L31" i="23"/>
  <c r="K32" i="23"/>
  <c r="L32" i="23" s="1"/>
  <c r="K33" i="23"/>
  <c r="L33" i="23"/>
  <c r="J29" i="23"/>
  <c r="I29" i="23"/>
  <c r="E33" i="23"/>
  <c r="E32" i="23"/>
  <c r="H29" i="23"/>
  <c r="G30" i="23"/>
  <c r="F30" i="23"/>
  <c r="E31" i="23"/>
  <c r="E30" i="23"/>
  <c r="G29" i="23"/>
  <c r="F29" i="23"/>
  <c r="E29" i="23"/>
  <c r="E28" i="23"/>
  <c r="E27" i="23"/>
  <c r="E26" i="23"/>
  <c r="K27" i="22" l="1"/>
  <c r="L27" i="22"/>
  <c r="K28" i="22"/>
  <c r="L28" i="22"/>
  <c r="K29" i="22"/>
  <c r="L29" i="22"/>
  <c r="K30" i="22"/>
  <c r="L30" i="22"/>
  <c r="K31" i="22"/>
  <c r="L31" i="22"/>
  <c r="K32" i="22"/>
  <c r="L32" i="22"/>
  <c r="K33" i="22"/>
  <c r="L33" i="22"/>
  <c r="K34" i="22"/>
  <c r="L34" i="22"/>
  <c r="I29" i="22"/>
  <c r="E34" i="22"/>
  <c r="H29" i="22"/>
  <c r="E33" i="22"/>
  <c r="G29" i="22"/>
  <c r="E32" i="22"/>
  <c r="E31" i="22"/>
  <c r="E30" i="22"/>
  <c r="F29" i="22"/>
  <c r="F26" i="22"/>
  <c r="E29" i="22"/>
  <c r="E28" i="22"/>
  <c r="E27" i="22"/>
  <c r="E26" i="22"/>
  <c r="E33" i="21"/>
  <c r="K33" i="21" s="1"/>
  <c r="L33" i="21" s="1"/>
  <c r="E32" i="21"/>
  <c r="K32" i="21" s="1"/>
  <c r="L32" i="21" s="1"/>
  <c r="E31" i="21"/>
  <c r="I26" i="21"/>
  <c r="H26" i="21"/>
  <c r="F28" i="21"/>
  <c r="F30" i="21"/>
  <c r="K30" i="21" s="1"/>
  <c r="L30" i="21" s="1"/>
  <c r="G26" i="21"/>
  <c r="F29" i="21"/>
  <c r="F27" i="21"/>
  <c r="E30" i="21"/>
  <c r="E29" i="21"/>
  <c r="F26" i="21"/>
  <c r="K26" i="21" s="1"/>
  <c r="L26" i="21" s="1"/>
  <c r="E28" i="21"/>
  <c r="K28" i="21" s="1"/>
  <c r="L28" i="21" s="1"/>
  <c r="E27" i="21"/>
  <c r="E26" i="21"/>
  <c r="F9" i="26"/>
  <c r="K29" i="26"/>
  <c r="L29" i="26" s="1"/>
  <c r="K28" i="26"/>
  <c r="L28" i="26" s="1"/>
  <c r="K27" i="26"/>
  <c r="L27" i="26" s="1"/>
  <c r="K26" i="26"/>
  <c r="L26" i="26" s="1"/>
  <c r="F9" i="25"/>
  <c r="K26" i="25"/>
  <c r="L26" i="25" s="1"/>
  <c r="F9" i="24"/>
  <c r="K26" i="24"/>
  <c r="L26" i="24" s="1"/>
  <c r="F9" i="23"/>
  <c r="F9" i="22"/>
  <c r="F9" i="21"/>
  <c r="F28" i="20"/>
  <c r="E32" i="20"/>
  <c r="E31" i="20"/>
  <c r="E30" i="20"/>
  <c r="E29" i="20"/>
  <c r="E28" i="20"/>
  <c r="E27" i="20"/>
  <c r="E26" i="20"/>
  <c r="K26" i="20" s="1"/>
  <c r="L26" i="20" s="1"/>
  <c r="F9" i="20"/>
  <c r="F31" i="19"/>
  <c r="F30" i="19"/>
  <c r="F28" i="19"/>
  <c r="E31" i="19"/>
  <c r="F26" i="19"/>
  <c r="E30" i="19"/>
  <c r="K30" i="19" s="1"/>
  <c r="L30" i="19" s="1"/>
  <c r="E29" i="19"/>
  <c r="E28" i="19"/>
  <c r="E27" i="19"/>
  <c r="E26" i="19"/>
  <c r="K27" i="18"/>
  <c r="L27" i="18"/>
  <c r="K28" i="18"/>
  <c r="L28" i="18"/>
  <c r="K29" i="18"/>
  <c r="L29" i="18"/>
  <c r="G27" i="18"/>
  <c r="G26" i="18"/>
  <c r="K26" i="18" s="1"/>
  <c r="L26" i="18" s="1"/>
  <c r="E29" i="18"/>
  <c r="F26" i="18"/>
  <c r="F28" i="18"/>
  <c r="F27" i="18"/>
  <c r="E28" i="18"/>
  <c r="E27" i="18"/>
  <c r="E26" i="18"/>
  <c r="F9" i="19"/>
  <c r="K26" i="23"/>
  <c r="L26" i="23" s="1"/>
  <c r="K26" i="22"/>
  <c r="L26" i="22" s="1"/>
  <c r="K31" i="21"/>
  <c r="L31" i="21" s="1"/>
  <c r="K29" i="21"/>
  <c r="L29" i="21" s="1"/>
  <c r="K27" i="21"/>
  <c r="L27" i="21" s="1"/>
  <c r="K32" i="20"/>
  <c r="L32" i="20" s="1"/>
  <c r="K31" i="20"/>
  <c r="L31" i="20" s="1"/>
  <c r="K30" i="20"/>
  <c r="L30" i="20" s="1"/>
  <c r="K29" i="20"/>
  <c r="L29" i="20" s="1"/>
  <c r="K28" i="20"/>
  <c r="L28" i="20" s="1"/>
  <c r="K27" i="20"/>
  <c r="L27" i="20" s="1"/>
  <c r="K31" i="19"/>
  <c r="L31" i="19" s="1"/>
  <c r="K29" i="19"/>
  <c r="L29" i="19" s="1"/>
  <c r="K28" i="19"/>
  <c r="L28" i="19" s="1"/>
  <c r="K27" i="19"/>
  <c r="L27" i="19" s="1"/>
  <c r="K26" i="19"/>
  <c r="L26" i="19" s="1"/>
  <c r="F9" i="18"/>
  <c r="K27" i="17" l="1"/>
  <c r="L27" i="17"/>
  <c r="K28" i="17"/>
  <c r="L28" i="17"/>
  <c r="K29" i="17"/>
  <c r="L29" i="17"/>
  <c r="F28" i="17"/>
  <c r="F27" i="17"/>
  <c r="E29" i="17"/>
  <c r="J26" i="17"/>
  <c r="I26" i="17"/>
  <c r="H26" i="17"/>
  <c r="G26" i="17"/>
  <c r="E28" i="17"/>
  <c r="E27" i="17"/>
  <c r="F26" i="17"/>
  <c r="E26" i="17"/>
  <c r="L27" i="16"/>
  <c r="K27" i="16"/>
  <c r="K28" i="16"/>
  <c r="L28" i="16"/>
  <c r="K29" i="16"/>
  <c r="L29" i="16" s="1"/>
  <c r="K30" i="16"/>
  <c r="L30" i="16"/>
  <c r="K31" i="16"/>
  <c r="L31" i="16" s="1"/>
  <c r="K32" i="16"/>
  <c r="L32" i="16"/>
  <c r="G31" i="16"/>
  <c r="F31" i="16"/>
  <c r="E32" i="16"/>
  <c r="F27" i="16"/>
  <c r="F26" i="16"/>
  <c r="K26" i="16" s="1"/>
  <c r="L26" i="16" s="1"/>
  <c r="E31" i="16"/>
  <c r="E30" i="16"/>
  <c r="E29" i="16"/>
  <c r="E28" i="16"/>
  <c r="E27" i="16"/>
  <c r="K27" i="15"/>
  <c r="L27" i="15"/>
  <c r="K28" i="15"/>
  <c r="L28" i="15"/>
  <c r="K29" i="15"/>
  <c r="L29" i="15"/>
  <c r="K27" i="13"/>
  <c r="L27" i="13" s="1"/>
  <c r="K28" i="13"/>
  <c r="L28" i="13"/>
  <c r="K29" i="13"/>
  <c r="L29" i="13"/>
  <c r="K30" i="13"/>
  <c r="L30" i="13"/>
  <c r="K31" i="13"/>
  <c r="L31" i="13"/>
  <c r="K27" i="10"/>
  <c r="L27" i="10"/>
  <c r="K28" i="10"/>
  <c r="L28" i="10"/>
  <c r="K29" i="10"/>
  <c r="L29" i="10"/>
  <c r="K30" i="10"/>
  <c r="L30" i="10"/>
  <c r="K31" i="10"/>
  <c r="L31" i="10"/>
  <c r="K26" i="15"/>
  <c r="E26" i="16"/>
  <c r="E26" i="15"/>
  <c r="F9" i="17"/>
  <c r="F9" i="16"/>
  <c r="F9" i="15"/>
  <c r="F9" i="14"/>
  <c r="F9" i="13"/>
  <c r="K26" i="17"/>
  <c r="L26" i="17" s="1"/>
  <c r="E29" i="15"/>
  <c r="E28" i="15"/>
  <c r="E27" i="15"/>
  <c r="F26" i="15"/>
  <c r="F26" i="14"/>
  <c r="E26" i="14"/>
  <c r="F32" i="14"/>
  <c r="L26" i="15" l="1"/>
  <c r="E33" i="14"/>
  <c r="K33" i="14" s="1"/>
  <c r="L33" i="14" s="1"/>
  <c r="H27" i="14"/>
  <c r="E32" i="14"/>
  <c r="K32" i="14" s="1"/>
  <c r="L32" i="14" s="1"/>
  <c r="E31" i="14"/>
  <c r="K31" i="14" s="1"/>
  <c r="L31" i="14" s="1"/>
  <c r="G27" i="14"/>
  <c r="E30" i="14"/>
  <c r="K30" i="14" s="1"/>
  <c r="L30" i="14" s="1"/>
  <c r="E29" i="14"/>
  <c r="K29" i="14" s="1"/>
  <c r="L29" i="14" s="1"/>
  <c r="F27" i="14"/>
  <c r="E28" i="14"/>
  <c r="K28" i="14" s="1"/>
  <c r="L28" i="14" s="1"/>
  <c r="E27" i="14"/>
  <c r="G31" i="13"/>
  <c r="F31" i="13"/>
  <c r="E31" i="13"/>
  <c r="G27" i="13"/>
  <c r="E30" i="13"/>
  <c r="E29" i="13"/>
  <c r="F27" i="13"/>
  <c r="E28" i="13"/>
  <c r="E27" i="13"/>
  <c r="E26" i="13"/>
  <c r="K26" i="13" s="1"/>
  <c r="L26" i="13" s="1"/>
  <c r="K27" i="14" l="1"/>
  <c r="L27" i="14" s="1"/>
  <c r="K26" i="14"/>
  <c r="L26" i="14" s="1"/>
  <c r="L26" i="10"/>
  <c r="K26" i="10" l="1"/>
  <c r="H28" i="10"/>
  <c r="E31" i="10"/>
  <c r="E30" i="10"/>
  <c r="G28" i="10"/>
  <c r="E29" i="10"/>
  <c r="F27" i="10"/>
  <c r="F28" i="10"/>
  <c r="E28" i="10"/>
  <c r="E27" i="10"/>
  <c r="E26" i="10"/>
</calcChain>
</file>

<file path=xl/sharedStrings.xml><?xml version="1.0" encoding="utf-8"?>
<sst xmlns="http://schemas.openxmlformats.org/spreadsheetml/2006/main" count="4915" uniqueCount="239">
  <si>
    <t>ESQUEMA</t>
  </si>
  <si>
    <t>Daño</t>
  </si>
  <si>
    <t>ZONA</t>
  </si>
  <si>
    <t>CÓDIGO VÍA</t>
  </si>
  <si>
    <t xml:space="preserve">INSPECCIONADA POR </t>
  </si>
  <si>
    <t>No.</t>
  </si>
  <si>
    <t>Piel de cocodrilo.</t>
  </si>
  <si>
    <t>Exudación.</t>
  </si>
  <si>
    <t>Agrietamiento en bloque.</t>
  </si>
  <si>
    <t>Abultamientos y hundimientos.</t>
  </si>
  <si>
    <t>Corrugación.</t>
  </si>
  <si>
    <t>Depresión.</t>
  </si>
  <si>
    <t>Grieta de borde.</t>
  </si>
  <si>
    <t>Grieta de reflexión de junta.</t>
  </si>
  <si>
    <t>Desnivel carril / berma.</t>
  </si>
  <si>
    <t>Grietas long y transversal.</t>
  </si>
  <si>
    <t>ABSCISA INICIAL</t>
  </si>
  <si>
    <t>ABSCISA FINAL</t>
  </si>
  <si>
    <t>Parcheo.</t>
  </si>
  <si>
    <t>Pulimento de agregados.</t>
  </si>
  <si>
    <t>Huecos.</t>
  </si>
  <si>
    <t>Cruce de vía férrea.</t>
  </si>
  <si>
    <t>Ahuellamiento.</t>
  </si>
  <si>
    <t>Desplazamiento.</t>
  </si>
  <si>
    <t>Grieta parabólica (slippage)</t>
  </si>
  <si>
    <t>Hinchamiento.</t>
  </si>
  <si>
    <t>Desprendimiento de agregados.</t>
  </si>
  <si>
    <t>UNIDAD DE MUESTREO</t>
  </si>
  <si>
    <t>FECHA</t>
  </si>
  <si>
    <t>Severidad</t>
  </si>
  <si>
    <t>Cantidades parciales</t>
  </si>
  <si>
    <t>Total</t>
  </si>
  <si>
    <t>Densidad (%)</t>
  </si>
  <si>
    <t>Valor deducido</t>
  </si>
  <si>
    <t>EXPLORACIÓN DE LA CONDICIÓN POR UNIDAD DE MUESTREO</t>
  </si>
  <si>
    <t>ÍNDICE DE CONDICIÓN DEL PAVIMENTO</t>
  </si>
  <si>
    <t>PCI-01. CARRETERAS ASFÁLTICA</t>
  </si>
  <si>
    <r>
      <t>ÁREA MUESTREO (m</t>
    </r>
    <r>
      <rPr>
        <b/>
        <vertAlign val="superscript"/>
        <sz val="8.5"/>
        <color theme="1"/>
        <rFont val="Calibri"/>
        <family val="2"/>
        <scheme val="minor"/>
      </rPr>
      <t>2</t>
    </r>
    <r>
      <rPr>
        <b/>
        <sz val="8.5"/>
        <color theme="1"/>
        <rFont val="Calibri"/>
        <family val="2"/>
        <scheme val="minor"/>
      </rPr>
      <t>)</t>
    </r>
  </si>
  <si>
    <t>VILLAVICENCIO</t>
  </si>
  <si>
    <t>65 MTE</t>
  </si>
  <si>
    <t>K0+000</t>
  </si>
  <si>
    <t>U1</t>
  </si>
  <si>
    <t>DANIELA ROJAS - ANDRÉS ESPINOSA</t>
  </si>
  <si>
    <t>A</t>
  </si>
  <si>
    <t>M</t>
  </si>
  <si>
    <t>B</t>
  </si>
  <si>
    <t>3. FISURA EN BLOQUE</t>
  </si>
  <si>
    <t>10. FISURA LONGITUDINAL Y TRANSVERSAL</t>
  </si>
  <si>
    <t>11. PARCHEO</t>
  </si>
  <si>
    <t>U2</t>
  </si>
  <si>
    <t>1. PIEL DE COCODRILO</t>
  </si>
  <si>
    <t>U3</t>
  </si>
  <si>
    <t>13. HUECOS</t>
  </si>
  <si>
    <t>17. GRIETA PARABÓLICA</t>
  </si>
  <si>
    <t>K0+144,61</t>
  </si>
  <si>
    <t>U5</t>
  </si>
  <si>
    <t>U4</t>
  </si>
  <si>
    <t>K0+180,76</t>
  </si>
  <si>
    <t>K0+216,92</t>
  </si>
  <si>
    <t>U6</t>
  </si>
  <si>
    <t>U7</t>
  </si>
  <si>
    <t>U8</t>
  </si>
  <si>
    <t>K0+289,21</t>
  </si>
  <si>
    <t>U9</t>
  </si>
  <si>
    <t>U10</t>
  </si>
  <si>
    <t>K0+361,52</t>
  </si>
  <si>
    <t>U11</t>
  </si>
  <si>
    <t>7. GRIETA DE BORDE</t>
  </si>
  <si>
    <t>4. ABULTAMIENTOS Y HUNDIMIENTOS</t>
  </si>
  <si>
    <t>U12</t>
  </si>
  <si>
    <t>U14</t>
  </si>
  <si>
    <t>U15</t>
  </si>
  <si>
    <t>U16</t>
  </si>
  <si>
    <t>U17</t>
  </si>
  <si>
    <t>U18</t>
  </si>
  <si>
    <t>U19</t>
  </si>
  <si>
    <t>U20</t>
  </si>
  <si>
    <t>K0+578,74</t>
  </si>
  <si>
    <t>K0+653,04</t>
  </si>
  <si>
    <t>K0+689,19</t>
  </si>
  <si>
    <t>K0+725,35</t>
  </si>
  <si>
    <t>16. DESPLAZAMIENTO</t>
  </si>
  <si>
    <t>8. GRIETAS DE REFLEXIÓN DE JUNTAS</t>
  </si>
  <si>
    <t>5. CORRUGACIÓN</t>
  </si>
  <si>
    <t>K0+761,51</t>
  </si>
  <si>
    <t>U21</t>
  </si>
  <si>
    <t>U22</t>
  </si>
  <si>
    <t>U23</t>
  </si>
  <si>
    <t>U24</t>
  </si>
  <si>
    <t>U25</t>
  </si>
  <si>
    <t>U26</t>
  </si>
  <si>
    <t>K0+869,97</t>
  </si>
  <si>
    <t>U27</t>
  </si>
  <si>
    <t>U28</t>
  </si>
  <si>
    <t>K0+906,12</t>
  </si>
  <si>
    <t>K0+942,28</t>
  </si>
  <si>
    <t>K0+978,43</t>
  </si>
  <si>
    <t>U29</t>
  </si>
  <si>
    <t>U30</t>
  </si>
  <si>
    <t>K1+014,58</t>
  </si>
  <si>
    <t>K1+050,74</t>
  </si>
  <si>
    <t>U31</t>
  </si>
  <si>
    <t>K1+086,91</t>
  </si>
  <si>
    <t>U32</t>
  </si>
  <si>
    <t>U33</t>
  </si>
  <si>
    <t>K1+122,68</t>
  </si>
  <si>
    <t>K1+158,83</t>
  </si>
  <si>
    <t>U34</t>
  </si>
  <si>
    <t>U35</t>
  </si>
  <si>
    <t>K1+194,99</t>
  </si>
  <si>
    <t>U37</t>
  </si>
  <si>
    <t>K1+231,14</t>
  </si>
  <si>
    <t>K1+267,29</t>
  </si>
  <si>
    <t>U38</t>
  </si>
  <si>
    <t>U39</t>
  </si>
  <si>
    <t>U40</t>
  </si>
  <si>
    <t>U36</t>
  </si>
  <si>
    <t>K1+303,42</t>
  </si>
  <si>
    <t>U41</t>
  </si>
  <si>
    <t>U42</t>
  </si>
  <si>
    <t>K1+339,57</t>
  </si>
  <si>
    <t>K1+375,73</t>
  </si>
  <si>
    <t>U43</t>
  </si>
  <si>
    <t>U44</t>
  </si>
  <si>
    <t>K1+411,88</t>
  </si>
  <si>
    <t>K1+448,03</t>
  </si>
  <si>
    <t>U45</t>
  </si>
  <si>
    <t>U46</t>
  </si>
  <si>
    <t>U47</t>
  </si>
  <si>
    <t>U48</t>
  </si>
  <si>
    <t>U49</t>
  </si>
  <si>
    <t>K1+484,19</t>
  </si>
  <si>
    <t>U50</t>
  </si>
  <si>
    <t>U52</t>
  </si>
  <si>
    <t>U53</t>
  </si>
  <si>
    <t>U54</t>
  </si>
  <si>
    <t>U55</t>
  </si>
  <si>
    <t>U56</t>
  </si>
  <si>
    <t>K1+520,34</t>
  </si>
  <si>
    <t>U57</t>
  </si>
  <si>
    <t>U58</t>
  </si>
  <si>
    <t>U59</t>
  </si>
  <si>
    <t>U60</t>
  </si>
  <si>
    <t>U61</t>
  </si>
  <si>
    <t>U62</t>
  </si>
  <si>
    <t>K1+556,50</t>
  </si>
  <si>
    <t>U63</t>
  </si>
  <si>
    <t>U64</t>
  </si>
  <si>
    <t>U65</t>
  </si>
  <si>
    <t>K1+592,71</t>
  </si>
  <si>
    <t>U66</t>
  </si>
  <si>
    <t>U67</t>
  </si>
  <si>
    <t>U68</t>
  </si>
  <si>
    <t>U69</t>
  </si>
  <si>
    <t>K1+628,86</t>
  </si>
  <si>
    <t>U70</t>
  </si>
  <si>
    <t>U71</t>
  </si>
  <si>
    <t>U72</t>
  </si>
  <si>
    <t>K1+665,02</t>
  </si>
  <si>
    <t>U73</t>
  </si>
  <si>
    <t>K1+701,18</t>
  </si>
  <si>
    <t>U74</t>
  </si>
  <si>
    <t>K1+737,35</t>
  </si>
  <si>
    <t>U75</t>
  </si>
  <si>
    <t>U76</t>
  </si>
  <si>
    <t>U77</t>
  </si>
  <si>
    <t>U78</t>
  </si>
  <si>
    <t>K1+809,67</t>
  </si>
  <si>
    <t>U51</t>
  </si>
  <si>
    <t>K1+845,11</t>
  </si>
  <si>
    <t>K1+881,31</t>
  </si>
  <si>
    <t>U79</t>
  </si>
  <si>
    <t>U80</t>
  </si>
  <si>
    <t>K1+917,47</t>
  </si>
  <si>
    <t>K1+953,62</t>
  </si>
  <si>
    <t>K1+989,78</t>
  </si>
  <si>
    <t>K2+025,93</t>
  </si>
  <si>
    <t>K2+062,08</t>
  </si>
  <si>
    <t>K2+098,24</t>
  </si>
  <si>
    <t>K2+134,41</t>
  </si>
  <si>
    <t>K2+170,56</t>
  </si>
  <si>
    <t>12. PULIMENTO DE AGREGADOS</t>
  </si>
  <si>
    <t>K0+036,15</t>
  </si>
  <si>
    <t>K0+072,30</t>
  </si>
  <si>
    <t>K0+108,46</t>
  </si>
  <si>
    <t>K0+253,06</t>
  </si>
  <si>
    <t>K0+325,37</t>
  </si>
  <si>
    <t>K0+397,68</t>
  </si>
  <si>
    <t>K0+433,83</t>
  </si>
  <si>
    <t>K0+469,98</t>
  </si>
  <si>
    <t>K0+506,47</t>
  </si>
  <si>
    <t>K0+542,62</t>
  </si>
  <si>
    <t>K0+616,39</t>
  </si>
  <si>
    <t>K0+797,65</t>
  </si>
  <si>
    <t>K0+833,81</t>
  </si>
  <si>
    <t>K2+206,72</t>
  </si>
  <si>
    <t>K2+242,87</t>
  </si>
  <si>
    <t>K2+279,02</t>
  </si>
  <si>
    <t>K2+315,18</t>
  </si>
  <si>
    <t>K2+351,33</t>
  </si>
  <si>
    <t>K2+387,48</t>
  </si>
  <si>
    <t>K2+423,64</t>
  </si>
  <si>
    <t>K2+459,79</t>
  </si>
  <si>
    <t>K2+495,95</t>
  </si>
  <si>
    <t>K2+532,10</t>
  </si>
  <si>
    <t>K2+568,25</t>
  </si>
  <si>
    <t>K2+604,41</t>
  </si>
  <si>
    <t>K2+640,59</t>
  </si>
  <si>
    <t>K2+676,75</t>
  </si>
  <si>
    <t>K2+712,91</t>
  </si>
  <si>
    <t>K2+749,06</t>
  </si>
  <si>
    <t>K2+785,21</t>
  </si>
  <si>
    <t>K2+826,91</t>
  </si>
  <si>
    <t>K2+863,06</t>
  </si>
  <si>
    <t>K2+899,17</t>
  </si>
  <si>
    <t>U81</t>
  </si>
  <si>
    <t>K2+935,37</t>
  </si>
  <si>
    <t>K2+971,54</t>
  </si>
  <si>
    <t>U83</t>
  </si>
  <si>
    <t>U82</t>
  </si>
  <si>
    <t>U84</t>
  </si>
  <si>
    <t>K3+007,68</t>
  </si>
  <si>
    <t>K3+043,83</t>
  </si>
  <si>
    <t>K3+079,99</t>
  </si>
  <si>
    <t>U85</t>
  </si>
  <si>
    <t>K3+116,14</t>
  </si>
  <si>
    <t>U86</t>
  </si>
  <si>
    <t>K3+152,30</t>
  </si>
  <si>
    <t>U87</t>
  </si>
  <si>
    <t>U88</t>
  </si>
  <si>
    <t>U89</t>
  </si>
  <si>
    <t>K3+188,46</t>
  </si>
  <si>
    <t>K3+207,85</t>
  </si>
  <si>
    <t>K3+227,13</t>
  </si>
  <si>
    <t>12. PULIMENTOS DE AGREGADOS</t>
  </si>
  <si>
    <t>8. GRIETA DE FLEXIÓN DE JUNTAS</t>
  </si>
  <si>
    <t>15. AHUELLAMIENTO</t>
  </si>
  <si>
    <t>8. GRIETA DE REFLEXIÓN DE JUNTA</t>
  </si>
  <si>
    <t>HDV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</si>
</sst>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vertAlign val="superscript"/>
      <sz val="8.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FF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/>
    <xf numFmtId="0" fontId="2" fillId="0" borderId="0" xfId="0" applyFont="1" applyBorder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2" fillId="0" borderId="7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2" fillId="6" borderId="4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2" fontId="2" fillId="0" borderId="4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wrapText="1"/>
    </xf>
    <xf numFmtId="0" fontId="2" fillId="13" borderId="4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4" fontId="5" fillId="0" borderId="4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66FF"/>
      <color rgb="FF99FF99"/>
      <color rgb="FF0066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4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1.png"/><Relationship Id="rId5" Type="http://schemas.openxmlformats.org/officeDocument/2006/relationships/image" Target="../media/image13.png"/><Relationship Id="rId4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7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6.png"/><Relationship Id="rId5" Type="http://schemas.openxmlformats.org/officeDocument/2006/relationships/image" Target="../media/image12.png"/><Relationship Id="rId4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13.png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EBF03474-916C-439C-AC3B-93111CFEA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2877670" y="259976"/>
          <a:ext cx="2620312" cy="40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5AFFE0-4FF7-45FD-A022-F7925A6F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1037" y="1993375"/>
          <a:ext cx="3305175" cy="2407278"/>
        </a:xfrm>
        <a:prstGeom prst="rect">
          <a:avLst/>
        </a:prstGeom>
      </xdr:spPr>
    </xdr:pic>
    <xdr:clientData/>
  </xdr:twoCellAnchor>
  <xdr:twoCellAnchor>
    <xdr:from>
      <xdr:col>14</xdr:col>
      <xdr:colOff>791496</xdr:colOff>
      <xdr:row>21</xdr:row>
      <xdr:rowOff>63910</xdr:rowOff>
    </xdr:from>
    <xdr:to>
      <xdr:col>15</xdr:col>
      <xdr:colOff>1559</xdr:colOff>
      <xdr:row>21</xdr:row>
      <xdr:rowOff>110492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1927B5F-EF18-4992-B09F-595887FA3050}"/>
            </a:ext>
          </a:extLst>
        </xdr:cNvPr>
        <xdr:cNvCxnSpPr/>
      </xdr:nvCxnSpPr>
      <xdr:spPr>
        <a:xfrm flipH="1" flipV="1">
          <a:off x="9082548" y="3883742"/>
          <a:ext cx="1559" cy="4658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444909</xdr:colOff>
      <xdr:row>21</xdr:row>
      <xdr:rowOff>68826</xdr:rowOff>
    </xdr:from>
    <xdr:to>
      <xdr:col>14</xdr:col>
      <xdr:colOff>790922</xdr:colOff>
      <xdr:row>21</xdr:row>
      <xdr:rowOff>69619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1E56B427-9DCC-4A3F-A8B9-B5297A167B72}"/>
            </a:ext>
          </a:extLst>
        </xdr:cNvPr>
        <xdr:cNvCxnSpPr/>
      </xdr:nvCxnSpPr>
      <xdr:spPr>
        <a:xfrm flipH="1" flipV="1">
          <a:off x="8735961" y="3888658"/>
          <a:ext cx="346013" cy="793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397056</xdr:colOff>
      <xdr:row>20</xdr:row>
      <xdr:rowOff>81643</xdr:rowOff>
    </xdr:from>
    <xdr:to>
      <xdr:col>16</xdr:col>
      <xdr:colOff>397328</xdr:colOff>
      <xdr:row>21</xdr:row>
      <xdr:rowOff>104776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333A1EF-70AB-48D5-B2FB-4DEB62A4EC1B}"/>
            </a:ext>
          </a:extLst>
        </xdr:cNvPr>
        <xdr:cNvCxnSpPr/>
      </xdr:nvCxnSpPr>
      <xdr:spPr>
        <a:xfrm flipV="1">
          <a:off x="10270399" y="3728357"/>
          <a:ext cx="272" cy="20546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440872</xdr:colOff>
      <xdr:row>20</xdr:row>
      <xdr:rowOff>87086</xdr:rowOff>
    </xdr:from>
    <xdr:to>
      <xdr:col>16</xdr:col>
      <xdr:colOff>397108</xdr:colOff>
      <xdr:row>20</xdr:row>
      <xdr:rowOff>87679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6F97A06-103F-4504-B67C-623EA46F4736}"/>
            </a:ext>
          </a:extLst>
        </xdr:cNvPr>
        <xdr:cNvCxnSpPr/>
      </xdr:nvCxnSpPr>
      <xdr:spPr>
        <a:xfrm>
          <a:off x="8730343" y="3733800"/>
          <a:ext cx="1540108" cy="59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136663</xdr:colOff>
      <xdr:row>40</xdr:row>
      <xdr:rowOff>65314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49D429D-4D24-4839-9369-28D12BFCD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2437" y="5044781"/>
          <a:ext cx="3268654" cy="2586104"/>
        </a:xfrm>
        <a:prstGeom prst="rect">
          <a:avLst/>
        </a:prstGeom>
      </xdr:spPr>
    </xdr:pic>
    <xdr:clientData/>
  </xdr:twoCellAnchor>
  <xdr:twoCellAnchor>
    <xdr:from>
      <xdr:col>15</xdr:col>
      <xdr:colOff>442822</xdr:colOff>
      <xdr:row>37</xdr:row>
      <xdr:rowOff>80514</xdr:rowOff>
    </xdr:from>
    <xdr:to>
      <xdr:col>15</xdr:col>
      <xdr:colOff>442823</xdr:colOff>
      <xdr:row>37</xdr:row>
      <xdr:rowOff>97766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9DB1BDF2-F49D-4FA1-9F3A-0EFFFE976CC1}"/>
            </a:ext>
          </a:extLst>
        </xdr:cNvPr>
        <xdr:cNvCxnSpPr/>
      </xdr:nvCxnSpPr>
      <xdr:spPr>
        <a:xfrm flipH="1" flipV="1">
          <a:off x="9529313" y="7056408"/>
          <a:ext cx="1" cy="1725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506083</xdr:colOff>
      <xdr:row>37</xdr:row>
      <xdr:rowOff>77491</xdr:rowOff>
    </xdr:from>
    <xdr:to>
      <xdr:col>15</xdr:col>
      <xdr:colOff>446868</xdr:colOff>
      <xdr:row>37</xdr:row>
      <xdr:rowOff>80514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39358385-4B09-482D-B536-61DF68D72800}"/>
            </a:ext>
          </a:extLst>
        </xdr:cNvPr>
        <xdr:cNvCxnSpPr/>
      </xdr:nvCxnSpPr>
      <xdr:spPr>
        <a:xfrm flipH="1">
          <a:off x="8798943" y="7053385"/>
          <a:ext cx="734416" cy="302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181154</xdr:colOff>
      <xdr:row>37</xdr:row>
      <xdr:rowOff>31631</xdr:rowOff>
    </xdr:from>
    <xdr:to>
      <xdr:col>15</xdr:col>
      <xdr:colOff>184030</xdr:colOff>
      <xdr:row>37</xdr:row>
      <xdr:rowOff>100643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289AF251-64BB-464B-BA1C-F830EDD20A0B}"/>
            </a:ext>
          </a:extLst>
        </xdr:cNvPr>
        <xdr:cNvCxnSpPr/>
      </xdr:nvCxnSpPr>
      <xdr:spPr>
        <a:xfrm flipH="1" flipV="1">
          <a:off x="9267645" y="7007525"/>
          <a:ext cx="2876" cy="6901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508959</xdr:colOff>
      <xdr:row>37</xdr:row>
      <xdr:rowOff>31631</xdr:rowOff>
    </xdr:from>
    <xdr:to>
      <xdr:col>15</xdr:col>
      <xdr:colOff>181154</xdr:colOff>
      <xdr:row>37</xdr:row>
      <xdr:rowOff>34506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D031F23B-993E-4D74-8E14-CE31575E83B8}"/>
            </a:ext>
          </a:extLst>
        </xdr:cNvPr>
        <xdr:cNvCxnSpPr/>
      </xdr:nvCxnSpPr>
      <xdr:spPr>
        <a:xfrm>
          <a:off x="8801819" y="7007525"/>
          <a:ext cx="465826" cy="287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26049B4-4A81-4588-9943-A1F4ED1D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33564" y="1981200"/>
          <a:ext cx="3060123" cy="2286000"/>
        </a:xfrm>
        <a:prstGeom prst="rect">
          <a:avLst/>
        </a:prstGeom>
      </xdr:spPr>
    </xdr:pic>
    <xdr:clientData/>
  </xdr:twoCellAnchor>
  <xdr:twoCellAnchor>
    <xdr:from>
      <xdr:col>19</xdr:col>
      <xdr:colOff>681487</xdr:colOff>
      <xdr:row>20</xdr:row>
      <xdr:rowOff>129396</xdr:rowOff>
    </xdr:from>
    <xdr:to>
      <xdr:col>19</xdr:col>
      <xdr:colOff>684363</xdr:colOff>
      <xdr:row>21</xdr:row>
      <xdr:rowOff>11502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C55AB2E5-F8DC-4754-8101-E6DFC678EC43}"/>
            </a:ext>
          </a:extLst>
        </xdr:cNvPr>
        <xdr:cNvCxnSpPr/>
      </xdr:nvCxnSpPr>
      <xdr:spPr>
        <a:xfrm flipV="1">
          <a:off x="12942498" y="3810000"/>
          <a:ext cx="2876" cy="6613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428446</xdr:colOff>
      <xdr:row>20</xdr:row>
      <xdr:rowOff>129396</xdr:rowOff>
    </xdr:from>
    <xdr:to>
      <xdr:col>19</xdr:col>
      <xdr:colOff>684363</xdr:colOff>
      <xdr:row>20</xdr:row>
      <xdr:rowOff>132271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E7730E51-E9B6-4F11-9743-445145749E82}"/>
            </a:ext>
          </a:extLst>
        </xdr:cNvPr>
        <xdr:cNvCxnSpPr/>
      </xdr:nvCxnSpPr>
      <xdr:spPr>
        <a:xfrm flipV="1">
          <a:off x="12689457" y="3810000"/>
          <a:ext cx="255917" cy="287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4033454-E589-40B5-A13C-CF1EB2B4D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431B9F-5B4B-4B53-926F-1E3A64FF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66E4DA6-1A9C-4500-83B4-10D9BEBF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9D30373-026B-40DA-9960-15A56DA28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752585</xdr:colOff>
      <xdr:row>18</xdr:row>
      <xdr:rowOff>137160</xdr:rowOff>
    </xdr:from>
    <xdr:to>
      <xdr:col>20</xdr:col>
      <xdr:colOff>752856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F0EA63B2-4AEB-4235-82EA-0598A39C6676}"/>
            </a:ext>
          </a:extLst>
        </xdr:cNvPr>
        <xdr:cNvCxnSpPr/>
      </xdr:nvCxnSpPr>
      <xdr:spPr>
        <a:xfrm flipV="1">
          <a:off x="13819361" y="3429000"/>
          <a:ext cx="271" cy="42367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18</xdr:row>
      <xdr:rowOff>136059</xdr:rowOff>
    </xdr:from>
    <xdr:to>
      <xdr:col>20</xdr:col>
      <xdr:colOff>755714</xdr:colOff>
      <xdr:row>18</xdr:row>
      <xdr:rowOff>137160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FDA3709-C327-42AF-BDE5-56BDD148BA52}"/>
            </a:ext>
          </a:extLst>
        </xdr:cNvPr>
        <xdr:cNvCxnSpPr/>
      </xdr:nvCxnSpPr>
      <xdr:spPr>
        <a:xfrm flipV="1">
          <a:off x="12701016" y="3427899"/>
          <a:ext cx="1121474" cy="110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FF5274D-B6A4-466F-B3E4-641F876D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277091</xdr:colOff>
      <xdr:row>19</xdr:row>
      <xdr:rowOff>155863</xdr:rowOff>
    </xdr:from>
    <xdr:to>
      <xdr:col>16</xdr:col>
      <xdr:colOff>286523</xdr:colOff>
      <xdr:row>21</xdr:row>
      <xdr:rowOff>100768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2A16DDAB-1DE9-496E-B8F6-1C51AFAC6B21}"/>
            </a:ext>
          </a:extLst>
        </xdr:cNvPr>
        <xdr:cNvCxnSpPr/>
      </xdr:nvCxnSpPr>
      <xdr:spPr>
        <a:xfrm flipH="1" flipV="1">
          <a:off x="10160231" y="3630583"/>
          <a:ext cx="9432" cy="310665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443345</xdr:colOff>
      <xdr:row>19</xdr:row>
      <xdr:rowOff>155475</xdr:rowOff>
    </xdr:from>
    <xdr:to>
      <xdr:col>16</xdr:col>
      <xdr:colOff>286573</xdr:colOff>
      <xdr:row>19</xdr:row>
      <xdr:rowOff>155863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5FBA42E-251D-40C9-A3A6-7F1E695E46B8}"/>
            </a:ext>
          </a:extLst>
        </xdr:cNvPr>
        <xdr:cNvCxnSpPr/>
      </xdr:nvCxnSpPr>
      <xdr:spPr>
        <a:xfrm flipV="1">
          <a:off x="8741525" y="3630195"/>
          <a:ext cx="1428188" cy="388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586903</xdr:colOff>
      <xdr:row>18</xdr:row>
      <xdr:rowOff>110246</xdr:rowOff>
    </xdr:from>
    <xdr:to>
      <xdr:col>24</xdr:col>
      <xdr:colOff>589775</xdr:colOff>
      <xdr:row>20</xdr:row>
      <xdr:rowOff>84379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C5021E1-3F65-48D1-8D07-3CE91CE31234}"/>
            </a:ext>
          </a:extLst>
        </xdr:cNvPr>
        <xdr:cNvCxnSpPr/>
      </xdr:nvCxnSpPr>
      <xdr:spPr>
        <a:xfrm flipH="1" flipV="1">
          <a:off x="16802912" y="3378740"/>
          <a:ext cx="2872" cy="33729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398834</xdr:colOff>
      <xdr:row>18</xdr:row>
      <xdr:rowOff>106055</xdr:rowOff>
    </xdr:from>
    <xdr:to>
      <xdr:col>24</xdr:col>
      <xdr:colOff>589826</xdr:colOff>
      <xdr:row>18</xdr:row>
      <xdr:rowOff>107004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D586237-0B2E-48D9-9243-038490E5F713}"/>
            </a:ext>
          </a:extLst>
        </xdr:cNvPr>
        <xdr:cNvCxnSpPr/>
      </xdr:nvCxnSpPr>
      <xdr:spPr>
        <a:xfrm flipV="1">
          <a:off x="16614843" y="3374549"/>
          <a:ext cx="190992" cy="94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25</xdr:row>
      <xdr:rowOff>185530</xdr:rowOff>
    </xdr:from>
    <xdr:to>
      <xdr:col>23</xdr:col>
      <xdr:colOff>24572</xdr:colOff>
      <xdr:row>39</xdr:row>
      <xdr:rowOff>369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7C660EF-7D63-47C3-BD74-838EF1DA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84765" y="4989443"/>
          <a:ext cx="3205094" cy="2411219"/>
        </a:xfrm>
        <a:prstGeom prst="rect">
          <a:avLst/>
        </a:prstGeom>
      </xdr:spPr>
    </xdr:pic>
    <xdr:clientData/>
  </xdr:twoCellAnchor>
  <xdr:twoCellAnchor>
    <xdr:from>
      <xdr:col>21</xdr:col>
      <xdr:colOff>376136</xdr:colOff>
      <xdr:row>31</xdr:row>
      <xdr:rowOff>35668</xdr:rowOff>
    </xdr:from>
    <xdr:to>
      <xdr:col>21</xdr:col>
      <xdr:colOff>378986</xdr:colOff>
      <xdr:row>36</xdr:row>
      <xdr:rowOff>82587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482D170D-AE26-44A0-8D84-C8B1461E06A3}"/>
            </a:ext>
          </a:extLst>
        </xdr:cNvPr>
        <xdr:cNvCxnSpPr/>
      </xdr:nvCxnSpPr>
      <xdr:spPr>
        <a:xfrm flipH="1" flipV="1">
          <a:off x="14218596" y="5833353"/>
          <a:ext cx="2850" cy="9548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389106</xdr:colOff>
      <xdr:row>31</xdr:row>
      <xdr:rowOff>41048</xdr:rowOff>
    </xdr:from>
    <xdr:to>
      <xdr:col>21</xdr:col>
      <xdr:colOff>377668</xdr:colOff>
      <xdr:row>31</xdr:row>
      <xdr:rowOff>45396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557E2478-36D0-47D8-BC3B-40C3DBA93D87}"/>
            </a:ext>
          </a:extLst>
        </xdr:cNvPr>
        <xdr:cNvCxnSpPr/>
      </xdr:nvCxnSpPr>
      <xdr:spPr>
        <a:xfrm flipV="1">
          <a:off x="12649200" y="5838733"/>
          <a:ext cx="1570928" cy="43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706865</xdr:colOff>
      <xdr:row>19</xdr:row>
      <xdr:rowOff>155448</xdr:rowOff>
    </xdr:from>
    <xdr:to>
      <xdr:col>20</xdr:col>
      <xdr:colOff>707136</xdr:colOff>
      <xdr:row>21</xdr:row>
      <xdr:rowOff>18290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1BA57AA1-9562-40F1-9B47-9D9505C49DC5}"/>
            </a:ext>
          </a:extLst>
        </xdr:cNvPr>
        <xdr:cNvCxnSpPr/>
      </xdr:nvCxnSpPr>
      <xdr:spPr>
        <a:xfrm flipV="1">
          <a:off x="13773641" y="3630168"/>
          <a:ext cx="271" cy="22860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19</xdr:row>
      <xdr:rowOff>155448</xdr:rowOff>
    </xdr:from>
    <xdr:to>
      <xdr:col>20</xdr:col>
      <xdr:colOff>709994</xdr:colOff>
      <xdr:row>19</xdr:row>
      <xdr:rowOff>157396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64A45369-E860-4915-ACA0-ACE211C4DFB1}"/>
            </a:ext>
          </a:extLst>
        </xdr:cNvPr>
        <xdr:cNvCxnSpPr/>
      </xdr:nvCxnSpPr>
      <xdr:spPr>
        <a:xfrm>
          <a:off x="12704064" y="3630168"/>
          <a:ext cx="1072706" cy="194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25</xdr:row>
      <xdr:rowOff>181707</xdr:rowOff>
    </xdr:from>
    <xdr:to>
      <xdr:col>27</xdr:col>
      <xdr:colOff>688416</xdr:colOff>
      <xdr:row>39</xdr:row>
      <xdr:rowOff>11723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DDAABFFC-5EA7-4AD8-B04E-D52C9304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07154" y="4894384"/>
          <a:ext cx="3062339" cy="237392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611EE5C-B693-4B8D-A805-0B449C632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D65B17-5135-4F83-9142-9EC58ECF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9171" y="2020013"/>
          <a:ext cx="3317283" cy="2438759"/>
        </a:xfrm>
        <a:prstGeom prst="rect">
          <a:avLst/>
        </a:prstGeom>
      </xdr:spPr>
    </xdr:pic>
    <xdr:clientData/>
  </xdr:twoCellAnchor>
  <xdr:twoCellAnchor>
    <xdr:from>
      <xdr:col>14</xdr:col>
      <xdr:colOff>444285</xdr:colOff>
      <xdr:row>21</xdr:row>
      <xdr:rowOff>82657</xdr:rowOff>
    </xdr:from>
    <xdr:to>
      <xdr:col>15</xdr:col>
      <xdr:colOff>248302</xdr:colOff>
      <xdr:row>21</xdr:row>
      <xdr:rowOff>90791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F88E91E-C7F9-466E-B0C9-82860CC49F30}"/>
            </a:ext>
          </a:extLst>
        </xdr:cNvPr>
        <xdr:cNvCxnSpPr/>
      </xdr:nvCxnSpPr>
      <xdr:spPr>
        <a:xfrm>
          <a:off x="8735878" y="3933986"/>
          <a:ext cx="597014" cy="813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D384B6D-3439-4FF2-9382-03A34CEA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9001543-C1CE-4F06-A241-43E2143B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323088</xdr:colOff>
      <xdr:row>18</xdr:row>
      <xdr:rowOff>173736</xdr:rowOff>
    </xdr:from>
    <xdr:to>
      <xdr:col>21</xdr:col>
      <xdr:colOff>325268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E31537A4-BE25-4750-9C77-E84BCCCDF017}"/>
            </a:ext>
          </a:extLst>
        </xdr:cNvPr>
        <xdr:cNvCxnSpPr/>
      </xdr:nvCxnSpPr>
      <xdr:spPr>
        <a:xfrm flipH="1" flipV="1">
          <a:off x="14182344" y="3465576"/>
          <a:ext cx="2180" cy="38709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18</xdr:row>
      <xdr:rowOff>164592</xdr:rowOff>
    </xdr:from>
    <xdr:to>
      <xdr:col>21</xdr:col>
      <xdr:colOff>325349</xdr:colOff>
      <xdr:row>18</xdr:row>
      <xdr:rowOff>175014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66F49EFF-FA70-417F-ADEE-C2B78A51FCB0}"/>
            </a:ext>
          </a:extLst>
        </xdr:cNvPr>
        <xdr:cNvCxnSpPr/>
      </xdr:nvCxnSpPr>
      <xdr:spPr>
        <a:xfrm>
          <a:off x="12701016" y="3456432"/>
          <a:ext cx="1483589" cy="10422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F155FC4-36D1-4AA3-B5D8-F6BD462C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55123</xdr:colOff>
      <xdr:row>20</xdr:row>
      <xdr:rowOff>58366</xdr:rowOff>
    </xdr:from>
    <xdr:to>
      <xdr:col>16</xdr:col>
      <xdr:colOff>62783</xdr:colOff>
      <xdr:row>21</xdr:row>
      <xdr:rowOff>100769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8790B128-EDD3-45D6-ADFE-48A7F361EE4A}"/>
            </a:ext>
          </a:extLst>
        </xdr:cNvPr>
        <xdr:cNvCxnSpPr/>
      </xdr:nvCxnSpPr>
      <xdr:spPr>
        <a:xfrm flipH="1" flipV="1">
          <a:off x="9941668" y="3690026"/>
          <a:ext cx="7660" cy="223986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444230</xdr:colOff>
      <xdr:row>20</xdr:row>
      <xdr:rowOff>61608</xdr:rowOff>
    </xdr:from>
    <xdr:to>
      <xdr:col>16</xdr:col>
      <xdr:colOff>56346</xdr:colOff>
      <xdr:row>20</xdr:row>
      <xdr:rowOff>64687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B5DF0BC-DB05-4C67-B913-CEE64CC55F83}"/>
            </a:ext>
          </a:extLst>
        </xdr:cNvPr>
        <xdr:cNvCxnSpPr/>
      </xdr:nvCxnSpPr>
      <xdr:spPr>
        <a:xfrm>
          <a:off x="8748409" y="3693268"/>
          <a:ext cx="1194482" cy="307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24572</xdr:colOff>
      <xdr:row>38</xdr:row>
      <xdr:rowOff>180599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127771B-DC79-47C8-A78D-20758A8FA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194492" cy="2375159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36</xdr:row>
      <xdr:rowOff>44116</xdr:rowOff>
    </xdr:from>
    <xdr:to>
      <xdr:col>25</xdr:col>
      <xdr:colOff>116305</xdr:colOff>
      <xdr:row>36</xdr:row>
      <xdr:rowOff>48126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5168BDFC-E6E1-453F-AAA3-3CABDE5092BD}"/>
            </a:ext>
          </a:extLst>
        </xdr:cNvPr>
        <xdr:cNvCxnSpPr/>
      </xdr:nvCxnSpPr>
      <xdr:spPr>
        <a:xfrm flipV="1">
          <a:off x="16631653" y="6849979"/>
          <a:ext cx="529389" cy="401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724556</xdr:colOff>
      <xdr:row>20</xdr:row>
      <xdr:rowOff>118872</xdr:rowOff>
    </xdr:from>
    <xdr:to>
      <xdr:col>20</xdr:col>
      <xdr:colOff>725424</xdr:colOff>
      <xdr:row>21</xdr:row>
      <xdr:rowOff>15242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8F26EB4E-E9DD-43C4-900F-B3611B1D8BFC}"/>
            </a:ext>
          </a:extLst>
        </xdr:cNvPr>
        <xdr:cNvCxnSpPr/>
      </xdr:nvCxnSpPr>
      <xdr:spPr>
        <a:xfrm flipV="1">
          <a:off x="13791332" y="3776472"/>
          <a:ext cx="868" cy="7925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20</xdr:row>
      <xdr:rowOff>126246</xdr:rowOff>
    </xdr:from>
    <xdr:to>
      <xdr:col>20</xdr:col>
      <xdr:colOff>724637</xdr:colOff>
      <xdr:row>20</xdr:row>
      <xdr:rowOff>131064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9C4EDFE4-0835-4F55-9FDF-C39645E36A15}"/>
            </a:ext>
          </a:extLst>
        </xdr:cNvPr>
        <xdr:cNvCxnSpPr/>
      </xdr:nvCxnSpPr>
      <xdr:spPr>
        <a:xfrm flipV="1">
          <a:off x="12704064" y="3783846"/>
          <a:ext cx="1087349" cy="481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387532</xdr:colOff>
      <xdr:row>31</xdr:row>
      <xdr:rowOff>13063</xdr:rowOff>
    </xdr:from>
    <xdr:to>
      <xdr:col>21</xdr:col>
      <xdr:colOff>391561</xdr:colOff>
      <xdr:row>36</xdr:row>
      <xdr:rowOff>89374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CA062132-CE5D-45E2-B12B-268E22E90936}"/>
            </a:ext>
          </a:extLst>
        </xdr:cNvPr>
        <xdr:cNvCxnSpPr/>
      </xdr:nvCxnSpPr>
      <xdr:spPr>
        <a:xfrm flipH="1" flipV="1">
          <a:off x="14242869" y="5852160"/>
          <a:ext cx="4029" cy="99071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401681</xdr:colOff>
      <xdr:row>31</xdr:row>
      <xdr:rowOff>21710</xdr:rowOff>
    </xdr:from>
    <xdr:to>
      <xdr:col>21</xdr:col>
      <xdr:colOff>390243</xdr:colOff>
      <xdr:row>31</xdr:row>
      <xdr:rowOff>26058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C7E0BF73-C51F-4818-9D4C-209956777749}"/>
            </a:ext>
          </a:extLst>
        </xdr:cNvPr>
        <xdr:cNvCxnSpPr/>
      </xdr:nvCxnSpPr>
      <xdr:spPr>
        <a:xfrm flipV="1">
          <a:off x="12672058" y="5860807"/>
          <a:ext cx="1573522" cy="43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0</xdr:colOff>
      <xdr:row>11</xdr:row>
      <xdr:rowOff>21774</xdr:rowOff>
    </xdr:from>
    <xdr:to>
      <xdr:col>32</xdr:col>
      <xdr:colOff>446314</xdr:colOff>
      <xdr:row>22</xdr:row>
      <xdr:rowOff>111986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09ED0DB-D020-4674-A1A5-81B3695A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25657" y="2057403"/>
          <a:ext cx="2830286" cy="21258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DE2A2A5C-964B-4404-9814-98252D989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9901CC-7DED-4381-B94F-7335265F9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14</xdr:col>
      <xdr:colOff>441512</xdr:colOff>
      <xdr:row>21</xdr:row>
      <xdr:rowOff>85165</xdr:rowOff>
    </xdr:from>
    <xdr:to>
      <xdr:col>15</xdr:col>
      <xdr:colOff>251046</xdr:colOff>
      <xdr:row>21</xdr:row>
      <xdr:rowOff>90770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FF0ED1-AA21-4CED-A70C-27838E1BA325}"/>
            </a:ext>
          </a:extLst>
        </xdr:cNvPr>
        <xdr:cNvCxnSpPr/>
      </xdr:nvCxnSpPr>
      <xdr:spPr>
        <a:xfrm flipH="1" flipV="1">
          <a:off x="8738347" y="3944471"/>
          <a:ext cx="602911" cy="560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EEBFF37-9D5D-455E-BF73-7C527DBD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625782</xdr:colOff>
      <xdr:row>37</xdr:row>
      <xdr:rowOff>45028</xdr:rowOff>
    </xdr:from>
    <xdr:to>
      <xdr:col>15</xdr:col>
      <xdr:colOff>630382</xdr:colOff>
      <xdr:row>37</xdr:row>
      <xdr:rowOff>97984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66788C94-B9AC-45E0-8B1F-4691D38F3ECF}"/>
            </a:ext>
          </a:extLst>
        </xdr:cNvPr>
        <xdr:cNvCxnSpPr/>
      </xdr:nvCxnSpPr>
      <xdr:spPr>
        <a:xfrm flipV="1">
          <a:off x="9728218" y="7003473"/>
          <a:ext cx="4600" cy="52956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505691</xdr:colOff>
      <xdr:row>37</xdr:row>
      <xdr:rowOff>52222</xdr:rowOff>
    </xdr:from>
    <xdr:to>
      <xdr:col>15</xdr:col>
      <xdr:colOff>622906</xdr:colOff>
      <xdr:row>37</xdr:row>
      <xdr:rowOff>55419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BBACA84-213D-4312-BA51-16AF074CF916}"/>
            </a:ext>
          </a:extLst>
        </xdr:cNvPr>
        <xdr:cNvCxnSpPr/>
      </xdr:nvCxnSpPr>
      <xdr:spPr>
        <a:xfrm flipV="1">
          <a:off x="8814955" y="7010667"/>
          <a:ext cx="910387" cy="3197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5543680-5020-4639-A501-613820D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618425</xdr:colOff>
      <xdr:row>17</xdr:row>
      <xdr:rowOff>180109</xdr:rowOff>
    </xdr:from>
    <xdr:to>
      <xdr:col>21</xdr:col>
      <xdr:colOff>619991</xdr:colOff>
      <xdr:row>21</xdr:row>
      <xdr:rowOff>12195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5E4541D7-DA8D-455D-99B3-52D02566EA14}"/>
            </a:ext>
          </a:extLst>
        </xdr:cNvPr>
        <xdr:cNvCxnSpPr/>
      </xdr:nvCxnSpPr>
      <xdr:spPr>
        <a:xfrm flipV="1">
          <a:off x="14479898" y="3300845"/>
          <a:ext cx="1566" cy="56637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426028</xdr:colOff>
      <xdr:row>17</xdr:row>
      <xdr:rowOff>180109</xdr:rowOff>
    </xdr:from>
    <xdr:to>
      <xdr:col>21</xdr:col>
      <xdr:colOff>618506</xdr:colOff>
      <xdr:row>18</xdr:row>
      <xdr:rowOff>4598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37E9AD95-6DE8-4E48-9FFC-2D55D1E0C699}"/>
            </a:ext>
          </a:extLst>
        </xdr:cNvPr>
        <xdr:cNvCxnSpPr/>
      </xdr:nvCxnSpPr>
      <xdr:spPr>
        <a:xfrm>
          <a:off x="12701155" y="3300845"/>
          <a:ext cx="1778824" cy="8062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19907</xdr:colOff>
      <xdr:row>26</xdr:row>
      <xdr:rowOff>43353</xdr:rowOff>
    </xdr:from>
    <xdr:to>
      <xdr:col>23</xdr:col>
      <xdr:colOff>2132</xdr:colOff>
      <xdr:row>39</xdr:row>
      <xdr:rowOff>45123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810A8C-9009-4F88-A246-C2306993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0001" y="4933123"/>
          <a:ext cx="3146957" cy="23623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20</xdr:col>
      <xdr:colOff>48616</xdr:colOff>
      <xdr:row>36</xdr:row>
      <xdr:rowOff>3243</xdr:rowOff>
    </xdr:from>
    <xdr:to>
      <xdr:col>20</xdr:col>
      <xdr:colOff>48638</xdr:colOff>
      <xdr:row>36</xdr:row>
      <xdr:rowOff>93862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72FB52F-121A-462F-BC0C-21583E909795}"/>
            </a:ext>
          </a:extLst>
        </xdr:cNvPr>
        <xdr:cNvCxnSpPr/>
      </xdr:nvCxnSpPr>
      <xdr:spPr>
        <a:xfrm flipV="1">
          <a:off x="13099893" y="6708843"/>
          <a:ext cx="22" cy="9061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405319</xdr:colOff>
      <xdr:row>36</xdr:row>
      <xdr:rowOff>9567</xdr:rowOff>
    </xdr:from>
    <xdr:to>
      <xdr:col>20</xdr:col>
      <xdr:colOff>48667</xdr:colOff>
      <xdr:row>36</xdr:row>
      <xdr:rowOff>12970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2B94A8F-8D09-4349-A604-B1A2311E99D6}"/>
            </a:ext>
          </a:extLst>
        </xdr:cNvPr>
        <xdr:cNvCxnSpPr/>
      </xdr:nvCxnSpPr>
      <xdr:spPr>
        <a:xfrm flipV="1">
          <a:off x="12665413" y="6715167"/>
          <a:ext cx="434531" cy="340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486812</xdr:colOff>
      <xdr:row>19</xdr:row>
      <xdr:rowOff>45027</xdr:rowOff>
    </xdr:from>
    <xdr:to>
      <xdr:col>20</xdr:col>
      <xdr:colOff>488373</xdr:colOff>
      <xdr:row>21</xdr:row>
      <xdr:rowOff>8731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5B6293D-11B9-48C8-B1C1-2297FD99CC65}"/>
            </a:ext>
          </a:extLst>
        </xdr:cNvPr>
        <xdr:cNvCxnSpPr/>
      </xdr:nvCxnSpPr>
      <xdr:spPr>
        <a:xfrm flipV="1">
          <a:off x="13555112" y="3532909"/>
          <a:ext cx="1561" cy="33084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429491</xdr:colOff>
      <xdr:row>19</xdr:row>
      <xdr:rowOff>48491</xdr:rowOff>
    </xdr:from>
    <xdr:to>
      <xdr:col>20</xdr:col>
      <xdr:colOff>486893</xdr:colOff>
      <xdr:row>19</xdr:row>
      <xdr:rowOff>53083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90BEC2E-FD08-4A53-82C4-36033EAE9C5A}"/>
            </a:ext>
          </a:extLst>
        </xdr:cNvPr>
        <xdr:cNvCxnSpPr/>
      </xdr:nvCxnSpPr>
      <xdr:spPr>
        <a:xfrm>
          <a:off x="12704618" y="3536373"/>
          <a:ext cx="850575" cy="45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49517</xdr:colOff>
      <xdr:row>24</xdr:row>
      <xdr:rowOff>76141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55532415-567D-4D08-AA44-FE09A341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72329" y="1972235"/>
          <a:ext cx="3205094" cy="2406965"/>
        </a:xfrm>
        <a:prstGeom prst="rect">
          <a:avLst/>
        </a:prstGeom>
      </xdr:spPr>
    </xdr:pic>
    <xdr:clientData/>
  </xdr:twoCellAnchor>
  <xdr:twoCellAnchor>
    <xdr:from>
      <xdr:col>26</xdr:col>
      <xdr:colOff>712851</xdr:colOff>
      <xdr:row>15</xdr:row>
      <xdr:rowOff>56148</xdr:rowOff>
    </xdr:from>
    <xdr:to>
      <xdr:col>26</xdr:col>
      <xdr:colOff>717884</xdr:colOff>
      <xdr:row>21</xdr:row>
      <xdr:rowOff>151738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61BFC70E-EEA6-4040-B26E-0D6DAB019A4B}"/>
            </a:ext>
          </a:extLst>
        </xdr:cNvPr>
        <xdr:cNvCxnSpPr/>
      </xdr:nvCxnSpPr>
      <xdr:spPr>
        <a:xfrm flipV="1">
          <a:off x="18551672" y="2823411"/>
          <a:ext cx="5033" cy="120249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393031</xdr:colOff>
      <xdr:row>15</xdr:row>
      <xdr:rowOff>60902</xdr:rowOff>
    </xdr:from>
    <xdr:to>
      <xdr:col>26</xdr:col>
      <xdr:colOff>715543</xdr:colOff>
      <xdr:row>15</xdr:row>
      <xdr:rowOff>68179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BCA701FC-B748-40A4-8AAB-93778DA57829}"/>
            </a:ext>
          </a:extLst>
        </xdr:cNvPr>
        <xdr:cNvCxnSpPr/>
      </xdr:nvCxnSpPr>
      <xdr:spPr>
        <a:xfrm flipV="1">
          <a:off x="16643684" y="2828165"/>
          <a:ext cx="1910680" cy="72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452158</xdr:colOff>
      <xdr:row>19</xdr:row>
      <xdr:rowOff>132347</xdr:rowOff>
    </xdr:from>
    <xdr:to>
      <xdr:col>25</xdr:col>
      <xdr:colOff>453189</xdr:colOff>
      <xdr:row>21</xdr:row>
      <xdr:rowOff>155739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B40037EE-D6A0-43D3-8F24-00D7503647F6}"/>
            </a:ext>
          </a:extLst>
        </xdr:cNvPr>
        <xdr:cNvCxnSpPr/>
      </xdr:nvCxnSpPr>
      <xdr:spPr>
        <a:xfrm flipV="1">
          <a:off x="17496895" y="3637547"/>
          <a:ext cx="1031" cy="39236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397042</xdr:colOff>
      <xdr:row>19</xdr:row>
      <xdr:rowOff>136358</xdr:rowOff>
    </xdr:from>
    <xdr:to>
      <xdr:col>25</xdr:col>
      <xdr:colOff>454850</xdr:colOff>
      <xdr:row>19</xdr:row>
      <xdr:rowOff>137105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0E22DF60-739D-401C-984A-7A16BBC6DD25}"/>
            </a:ext>
          </a:extLst>
        </xdr:cNvPr>
        <xdr:cNvCxnSpPr/>
      </xdr:nvCxnSpPr>
      <xdr:spPr>
        <a:xfrm>
          <a:off x="16647695" y="3641558"/>
          <a:ext cx="851892" cy="74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5D7ECFF-AAA0-4FF9-8716-09539B044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286037-3CDB-43C6-B343-F7AC023D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745365</xdr:colOff>
      <xdr:row>21</xdr:row>
      <xdr:rowOff>4689</xdr:rowOff>
    </xdr:from>
    <xdr:to>
      <xdr:col>15</xdr:col>
      <xdr:colOff>745588</xdr:colOff>
      <xdr:row>21</xdr:row>
      <xdr:rowOff>100769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126B330-5BC2-41A6-8ACC-5B3DE72C3CAB}"/>
            </a:ext>
          </a:extLst>
        </xdr:cNvPr>
        <xdr:cNvCxnSpPr/>
      </xdr:nvCxnSpPr>
      <xdr:spPr>
        <a:xfrm flipV="1">
          <a:off x="9835439" y="3845169"/>
          <a:ext cx="223" cy="960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440788</xdr:colOff>
      <xdr:row>20</xdr:row>
      <xdr:rowOff>180535</xdr:rowOff>
    </xdr:from>
    <xdr:to>
      <xdr:col>15</xdr:col>
      <xdr:colOff>745415</xdr:colOff>
      <xdr:row>21</xdr:row>
      <xdr:rowOff>10182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30E7CA2-AB94-47FF-B0E3-DB02DB24E2A8}"/>
            </a:ext>
          </a:extLst>
        </xdr:cNvPr>
        <xdr:cNvCxnSpPr/>
      </xdr:nvCxnSpPr>
      <xdr:spPr>
        <a:xfrm>
          <a:off x="8738382" y="3838135"/>
          <a:ext cx="1097107" cy="1252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448591-990D-4074-A2F8-1A2A45E8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767957</xdr:colOff>
      <xdr:row>37</xdr:row>
      <xdr:rowOff>25830</xdr:rowOff>
    </xdr:from>
    <xdr:to>
      <xdr:col>15</xdr:col>
      <xdr:colOff>769165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D4AD552-0803-41C1-82E7-D57C25E9C821}"/>
            </a:ext>
          </a:extLst>
        </xdr:cNvPr>
        <xdr:cNvCxnSpPr/>
      </xdr:nvCxnSpPr>
      <xdr:spPr>
        <a:xfrm flipV="1">
          <a:off x="9854448" y="7001724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500332</xdr:colOff>
      <xdr:row>37</xdr:row>
      <xdr:rowOff>30262</xdr:rowOff>
    </xdr:from>
    <xdr:to>
      <xdr:col>15</xdr:col>
      <xdr:colOff>765081</xdr:colOff>
      <xdr:row>37</xdr:row>
      <xdr:rowOff>37381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A1B37E9-BD5F-4219-AB19-F57116CD198A}"/>
            </a:ext>
          </a:extLst>
        </xdr:cNvPr>
        <xdr:cNvCxnSpPr/>
      </xdr:nvCxnSpPr>
      <xdr:spPr>
        <a:xfrm flipV="1">
          <a:off x="8793192" y="7006156"/>
          <a:ext cx="1058380" cy="711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F81ABCC-9B0C-4160-A60F-4A81934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717428</xdr:colOff>
      <xdr:row>20</xdr:row>
      <xdr:rowOff>117894</xdr:rowOff>
    </xdr:from>
    <xdr:to>
      <xdr:col>20</xdr:col>
      <xdr:colOff>718867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6A8B513-45E5-4173-9712-4D5476758887}"/>
            </a:ext>
          </a:extLst>
        </xdr:cNvPr>
        <xdr:cNvCxnSpPr/>
      </xdr:nvCxnSpPr>
      <xdr:spPr>
        <a:xfrm flipV="1">
          <a:off x="13772070" y="3798498"/>
          <a:ext cx="1439" cy="7833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425570</xdr:colOff>
      <xdr:row>20</xdr:row>
      <xdr:rowOff>123276</xdr:rowOff>
    </xdr:from>
    <xdr:to>
      <xdr:col>20</xdr:col>
      <xdr:colOff>717509</xdr:colOff>
      <xdr:row>20</xdr:row>
      <xdr:rowOff>129396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B4DA00F5-FF21-454B-9599-54AC133B4B38}"/>
            </a:ext>
          </a:extLst>
        </xdr:cNvPr>
        <xdr:cNvCxnSpPr/>
      </xdr:nvCxnSpPr>
      <xdr:spPr>
        <a:xfrm flipV="1">
          <a:off x="12686581" y="3803880"/>
          <a:ext cx="1085570" cy="612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C0A9C00-6748-4B2F-90E8-74F5E8EC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15</xdr:col>
      <xdr:colOff>764583</xdr:colOff>
      <xdr:row>21</xdr:row>
      <xdr:rowOff>72325</xdr:rowOff>
    </xdr:from>
    <xdr:to>
      <xdr:col>15</xdr:col>
      <xdr:colOff>764649</xdr:colOff>
      <xdr:row>21</xdr:row>
      <xdr:rowOff>100772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E6DB4219-79FD-4876-B767-7D0B0B150E3A}"/>
            </a:ext>
          </a:extLst>
        </xdr:cNvPr>
        <xdr:cNvCxnSpPr/>
      </xdr:nvCxnSpPr>
      <xdr:spPr>
        <a:xfrm flipH="1" flipV="1">
          <a:off x="9849173" y="3923654"/>
          <a:ext cx="66" cy="28447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452034</xdr:colOff>
      <xdr:row>21</xdr:row>
      <xdr:rowOff>61993</xdr:rowOff>
    </xdr:from>
    <xdr:to>
      <xdr:col>15</xdr:col>
      <xdr:colOff>764698</xdr:colOff>
      <xdr:row>21</xdr:row>
      <xdr:rowOff>71636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AAA1B234-2CAE-43CB-A94B-654273C2AB47}"/>
            </a:ext>
          </a:extLst>
        </xdr:cNvPr>
        <xdr:cNvCxnSpPr/>
      </xdr:nvCxnSpPr>
      <xdr:spPr>
        <a:xfrm>
          <a:off x="8743627" y="3913322"/>
          <a:ext cx="1105661" cy="9643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6CAA9FD-49AF-4255-B8AA-03F2C336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620653</xdr:colOff>
      <xdr:row>36</xdr:row>
      <xdr:rowOff>129396</xdr:rowOff>
    </xdr:from>
    <xdr:to>
      <xdr:col>15</xdr:col>
      <xdr:colOff>621101</xdr:colOff>
      <xdr:row>37</xdr:row>
      <xdr:rowOff>92712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59804117-6000-468F-8F4A-B9FBE9035541}"/>
            </a:ext>
          </a:extLst>
        </xdr:cNvPr>
        <xdr:cNvCxnSpPr/>
      </xdr:nvCxnSpPr>
      <xdr:spPr>
        <a:xfrm flipV="1">
          <a:off x="9707144" y="6921260"/>
          <a:ext cx="448" cy="1473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36</xdr:row>
      <xdr:rowOff>136413</xdr:rowOff>
    </xdr:from>
    <xdr:to>
      <xdr:col>15</xdr:col>
      <xdr:colOff>618968</xdr:colOff>
      <xdr:row>36</xdr:row>
      <xdr:rowOff>138023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BB813AD-2FDC-4AC6-9BEA-0F21635CC787}"/>
            </a:ext>
          </a:extLst>
        </xdr:cNvPr>
        <xdr:cNvCxnSpPr/>
      </xdr:nvCxnSpPr>
      <xdr:spPr>
        <a:xfrm flipV="1">
          <a:off x="8796068" y="6928277"/>
          <a:ext cx="909391" cy="161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516082</xdr:colOff>
      <xdr:row>30</xdr:row>
      <xdr:rowOff>180109</xdr:rowOff>
    </xdr:from>
    <xdr:to>
      <xdr:col>21</xdr:col>
      <xdr:colOff>517828</xdr:colOff>
      <xdr:row>36</xdr:row>
      <xdr:rowOff>148673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9C4FDC7-7861-4379-BDDB-F96C1E331BF8}"/>
            </a:ext>
          </a:extLst>
        </xdr:cNvPr>
        <xdr:cNvCxnSpPr/>
      </xdr:nvCxnSpPr>
      <xdr:spPr>
        <a:xfrm flipH="1" flipV="1">
          <a:off x="14377555" y="5853545"/>
          <a:ext cx="1746" cy="107000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394855</xdr:colOff>
      <xdr:row>30</xdr:row>
      <xdr:rowOff>175606</xdr:rowOff>
    </xdr:from>
    <xdr:to>
      <xdr:col>21</xdr:col>
      <xdr:colOff>520147</xdr:colOff>
      <xdr:row>30</xdr:row>
      <xdr:rowOff>180109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126BEEE-A360-41BE-84F6-9C14E348CA41}"/>
            </a:ext>
          </a:extLst>
        </xdr:cNvPr>
        <xdr:cNvCxnSpPr/>
      </xdr:nvCxnSpPr>
      <xdr:spPr>
        <a:xfrm flipV="1">
          <a:off x="12669982" y="5849042"/>
          <a:ext cx="1711638" cy="450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447</xdr:colOff>
      <xdr:row>39</xdr:row>
      <xdr:rowOff>60991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8BB65DF-5037-4A5D-A595-8361C737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06788" y="4876800"/>
          <a:ext cx="3162747" cy="24136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24</xdr:col>
      <xdr:colOff>681614</xdr:colOff>
      <xdr:row>36</xdr:row>
      <xdr:rowOff>80075</xdr:rowOff>
    </xdr:from>
    <xdr:to>
      <xdr:col>24</xdr:col>
      <xdr:colOff>681926</xdr:colOff>
      <xdr:row>36</xdr:row>
      <xdr:rowOff>96065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D305294-CAE1-4E3E-ABB7-C837DC49936D}"/>
            </a:ext>
          </a:extLst>
        </xdr:cNvPr>
        <xdr:cNvCxnSpPr/>
      </xdr:nvCxnSpPr>
      <xdr:spPr>
        <a:xfrm flipV="1">
          <a:off x="16903173" y="6850251"/>
          <a:ext cx="312" cy="1599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384875</xdr:colOff>
      <xdr:row>36</xdr:row>
      <xdr:rowOff>78928</xdr:rowOff>
    </xdr:from>
    <xdr:to>
      <xdr:col>24</xdr:col>
      <xdr:colOff>681665</xdr:colOff>
      <xdr:row>36</xdr:row>
      <xdr:rowOff>82658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260832F1-F5EE-44B1-AA10-EFBEC6CCA0C7}"/>
            </a:ext>
          </a:extLst>
        </xdr:cNvPr>
        <xdr:cNvCxnSpPr/>
      </xdr:nvCxnSpPr>
      <xdr:spPr>
        <a:xfrm flipV="1">
          <a:off x="16606434" y="6849104"/>
          <a:ext cx="296790" cy="373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0450007E-1678-4362-B13C-D1CD27E76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603A43-1B76-4F1E-9F85-93EEFCE8A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552374</xdr:colOff>
      <xdr:row>21</xdr:row>
      <xdr:rowOff>43346</xdr:rowOff>
    </xdr:from>
    <xdr:to>
      <xdr:col>15</xdr:col>
      <xdr:colOff>552681</xdr:colOff>
      <xdr:row>21</xdr:row>
      <xdr:rowOff>103226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BAE43FCB-6F50-4B65-9CAE-6631C7A814D6}"/>
            </a:ext>
          </a:extLst>
        </xdr:cNvPr>
        <xdr:cNvCxnSpPr/>
      </xdr:nvCxnSpPr>
      <xdr:spPr>
        <a:xfrm flipH="1" flipV="1">
          <a:off x="9634922" y="3863178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439993</xdr:colOff>
      <xdr:row>21</xdr:row>
      <xdr:rowOff>49161</xdr:rowOff>
    </xdr:from>
    <xdr:to>
      <xdr:col>15</xdr:col>
      <xdr:colOff>552733</xdr:colOff>
      <xdr:row>21</xdr:row>
      <xdr:rowOff>51010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1F062ED-0D28-43DE-9595-4C00111CB1F8}"/>
            </a:ext>
          </a:extLst>
        </xdr:cNvPr>
        <xdr:cNvCxnSpPr/>
      </xdr:nvCxnSpPr>
      <xdr:spPr>
        <a:xfrm>
          <a:off x="8731045" y="3868993"/>
          <a:ext cx="904236" cy="184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0E572E-0676-4D8C-81AC-594468E2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218735</xdr:colOff>
      <xdr:row>37</xdr:row>
      <xdr:rowOff>25830</xdr:rowOff>
    </xdr:from>
    <xdr:to>
      <xdr:col>15</xdr:col>
      <xdr:colOff>219943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14B559E-F0EA-4003-AFA8-7A72A2180C71}"/>
            </a:ext>
          </a:extLst>
        </xdr:cNvPr>
        <xdr:cNvCxnSpPr/>
      </xdr:nvCxnSpPr>
      <xdr:spPr>
        <a:xfrm flipV="1">
          <a:off x="9305226" y="7001724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37</xdr:row>
      <xdr:rowOff>30262</xdr:rowOff>
    </xdr:from>
    <xdr:to>
      <xdr:col>15</xdr:col>
      <xdr:colOff>215859</xdr:colOff>
      <xdr:row>37</xdr:row>
      <xdr:rowOff>31631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155A43B-2EC8-4B48-8D5B-FC20E8BB185A}"/>
            </a:ext>
          </a:extLst>
        </xdr:cNvPr>
        <xdr:cNvCxnSpPr/>
      </xdr:nvCxnSpPr>
      <xdr:spPr>
        <a:xfrm flipV="1">
          <a:off x="8796068" y="7006156"/>
          <a:ext cx="506282" cy="136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7B0C10B-C68D-448F-99D8-C33646C33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5D89432-5CB2-47D4-8EDE-D15DEE81DF93}"/>
            </a:ext>
          </a:extLst>
        </xdr:cNvPr>
        <xdr:cNvCxnSpPr/>
      </xdr:nvCxnSpPr>
      <xdr:spPr>
        <a:xfrm flipV="1">
          <a:off x="14601463" y="2776780"/>
          <a:ext cx="3106" cy="10867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4E10EE2-5AB1-468B-AD14-E227E1D41745}"/>
            </a:ext>
          </a:extLst>
        </xdr:cNvPr>
        <xdr:cNvCxnSpPr/>
      </xdr:nvCxnSpPr>
      <xdr:spPr>
        <a:xfrm>
          <a:off x="12687946" y="2771614"/>
          <a:ext cx="1913598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20594C3-DB96-45EE-B797-6E0408CD3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14</xdr:col>
      <xdr:colOff>439993</xdr:colOff>
      <xdr:row>21</xdr:row>
      <xdr:rowOff>93406</xdr:rowOff>
    </xdr:from>
    <xdr:to>
      <xdr:col>15</xdr:col>
      <xdr:colOff>349836</xdr:colOff>
      <xdr:row>21</xdr:row>
      <xdr:rowOff>96549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2D80AF3F-8ADC-4FA0-B05A-259A17D4193E}"/>
            </a:ext>
          </a:extLst>
        </xdr:cNvPr>
        <xdr:cNvCxnSpPr/>
      </xdr:nvCxnSpPr>
      <xdr:spPr>
        <a:xfrm>
          <a:off x="8731045" y="3913238"/>
          <a:ext cx="701339" cy="3143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25B95D5-4FA5-4C95-9BDF-B1E57624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483762</xdr:colOff>
      <xdr:row>36</xdr:row>
      <xdr:rowOff>100519</xdr:rowOff>
    </xdr:from>
    <xdr:to>
      <xdr:col>15</xdr:col>
      <xdr:colOff>486310</xdr:colOff>
      <xdr:row>37</xdr:row>
      <xdr:rowOff>89836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7AA0EEA9-FFB5-46E6-B0D8-4D1FE201E77F}"/>
            </a:ext>
          </a:extLst>
        </xdr:cNvPr>
        <xdr:cNvCxnSpPr/>
      </xdr:nvCxnSpPr>
      <xdr:spPr>
        <a:xfrm flipH="1" flipV="1">
          <a:off x="9573974" y="6882319"/>
          <a:ext cx="2548" cy="17309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504265</xdr:colOff>
      <xdr:row>36</xdr:row>
      <xdr:rowOff>107663</xdr:rowOff>
    </xdr:from>
    <xdr:to>
      <xdr:col>15</xdr:col>
      <xdr:colOff>481750</xdr:colOff>
      <xdr:row>36</xdr:row>
      <xdr:rowOff>109818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2150B36-AFF6-4BBD-8313-4DB0747D629F}"/>
            </a:ext>
          </a:extLst>
        </xdr:cNvPr>
        <xdr:cNvCxnSpPr/>
      </xdr:nvCxnSpPr>
      <xdr:spPr>
        <a:xfrm flipV="1">
          <a:off x="8801100" y="6889463"/>
          <a:ext cx="770862" cy="215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66A08D0-ADF2-49E1-B4A9-EDEDCAE605FF}"/>
            </a:ext>
          </a:extLst>
        </xdr:cNvPr>
        <xdr:cNvCxnSpPr/>
      </xdr:nvCxnSpPr>
      <xdr:spPr>
        <a:xfrm flipV="1">
          <a:off x="14128851" y="5974597"/>
          <a:ext cx="437" cy="94425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132A583-B208-4ADC-8036-7F21FD214192}"/>
            </a:ext>
          </a:extLst>
        </xdr:cNvPr>
        <xdr:cNvCxnSpPr/>
      </xdr:nvCxnSpPr>
      <xdr:spPr>
        <a:xfrm>
          <a:off x="12656949" y="5974597"/>
          <a:ext cx="1474221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621890</xdr:colOff>
      <xdr:row>18</xdr:row>
      <xdr:rowOff>159774</xdr:rowOff>
    </xdr:from>
    <xdr:to>
      <xdr:col>16</xdr:col>
      <xdr:colOff>622377</xdr:colOff>
      <xdr:row>21</xdr:row>
      <xdr:rowOff>96839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1466ED0B-972B-4E74-B73C-CD65A467BE68}"/>
            </a:ext>
          </a:extLst>
        </xdr:cNvPr>
        <xdr:cNvCxnSpPr/>
      </xdr:nvCxnSpPr>
      <xdr:spPr>
        <a:xfrm flipH="1" flipV="1">
          <a:off x="10495935" y="3433916"/>
          <a:ext cx="487" cy="482755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432619</xdr:colOff>
      <xdr:row>18</xdr:row>
      <xdr:rowOff>163911</xdr:rowOff>
    </xdr:from>
    <xdr:to>
      <xdr:col>16</xdr:col>
      <xdr:colOff>622427</xdr:colOff>
      <xdr:row>18</xdr:row>
      <xdr:rowOff>164690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22AE7C6-C6D4-439B-B366-C665A4C12154}"/>
            </a:ext>
          </a:extLst>
        </xdr:cNvPr>
        <xdr:cNvCxnSpPr/>
      </xdr:nvCxnSpPr>
      <xdr:spPr>
        <a:xfrm flipV="1">
          <a:off x="8723671" y="3438053"/>
          <a:ext cx="1772801" cy="77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F23A1BE1-B070-4547-8CFA-33B114C24F3C}"/>
            </a:ext>
          </a:extLst>
        </xdr:cNvPr>
        <xdr:cNvCxnSpPr/>
      </xdr:nvCxnSpPr>
      <xdr:spPr>
        <a:xfrm flipV="1">
          <a:off x="16808707" y="3365770"/>
          <a:ext cx="689" cy="35550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73402AAA-FA5B-4129-BABE-B855FCF2C8D3}"/>
            </a:ext>
          </a:extLst>
        </xdr:cNvPr>
        <xdr:cNvCxnSpPr/>
      </xdr:nvCxnSpPr>
      <xdr:spPr>
        <a:xfrm>
          <a:off x="16611600" y="3369013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B46D247F-41D7-4881-9B74-ACB82892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11</xdr:row>
      <xdr:rowOff>0</xdr:rowOff>
    </xdr:from>
    <xdr:to>
      <xdr:col>32</xdr:col>
      <xdr:colOff>454265</xdr:colOff>
      <xdr:row>22</xdr:row>
      <xdr:rowOff>119367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21088EAD-7259-45EB-AC0E-02DA2A5D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85380" y="2011680"/>
          <a:ext cx="2831705" cy="2131047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1FBC6633-ECC2-4EE5-8EFB-2CC1F4A78752}"/>
            </a:ext>
          </a:extLst>
        </xdr:cNvPr>
        <xdr:cNvCxnSpPr/>
      </xdr:nvCxnSpPr>
      <xdr:spPr>
        <a:xfrm flipH="1" flipV="1">
          <a:off x="17448362" y="6771736"/>
          <a:ext cx="2878" cy="11789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B928AEA-405D-45B8-A336-1C1F3FAF8F7E}"/>
            </a:ext>
          </a:extLst>
        </xdr:cNvPr>
        <xdr:cNvCxnSpPr/>
      </xdr:nvCxnSpPr>
      <xdr:spPr>
        <a:xfrm>
          <a:off x="16620226" y="6768860"/>
          <a:ext cx="82669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367990</xdr:colOff>
      <xdr:row>19</xdr:row>
      <xdr:rowOff>52039</xdr:rowOff>
    </xdr:from>
    <xdr:to>
      <xdr:col>30</xdr:col>
      <xdr:colOff>368082</xdr:colOff>
      <xdr:row>20</xdr:row>
      <xdr:rowOff>64782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BC311742-FA1A-4634-83C9-E663B64F716C}"/>
            </a:ext>
          </a:extLst>
        </xdr:cNvPr>
        <xdr:cNvCxnSpPr/>
      </xdr:nvCxnSpPr>
      <xdr:spPr>
        <a:xfrm flipH="1" flipV="1">
          <a:off x="21343434" y="3512634"/>
          <a:ext cx="92" cy="1948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356559</xdr:colOff>
      <xdr:row>19</xdr:row>
      <xdr:rowOff>54634</xdr:rowOff>
    </xdr:from>
    <xdr:to>
      <xdr:col>30</xdr:col>
      <xdr:colOff>374649</xdr:colOff>
      <xdr:row>19</xdr:row>
      <xdr:rowOff>57222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DBDFF73D-FC22-4E55-896C-231958229912}"/>
            </a:ext>
          </a:extLst>
        </xdr:cNvPr>
        <xdr:cNvCxnSpPr/>
      </xdr:nvCxnSpPr>
      <xdr:spPr>
        <a:xfrm>
          <a:off x="20553872" y="3551208"/>
          <a:ext cx="811720" cy="25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336431</xdr:colOff>
      <xdr:row>17</xdr:row>
      <xdr:rowOff>89140</xdr:rowOff>
    </xdr:from>
    <xdr:to>
      <xdr:col>30</xdr:col>
      <xdr:colOff>339324</xdr:colOff>
      <xdr:row>20</xdr:row>
      <xdr:rowOff>60439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FD3B49DF-C840-452B-8CFD-334C76084D65}"/>
            </a:ext>
          </a:extLst>
        </xdr:cNvPr>
        <xdr:cNvCxnSpPr/>
      </xdr:nvCxnSpPr>
      <xdr:spPr>
        <a:xfrm flipH="1" flipV="1">
          <a:off x="21327374" y="3217653"/>
          <a:ext cx="2893" cy="52339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353683</xdr:colOff>
      <xdr:row>17</xdr:row>
      <xdr:rowOff>92015</xdr:rowOff>
    </xdr:from>
    <xdr:to>
      <xdr:col>30</xdr:col>
      <xdr:colOff>345891</xdr:colOff>
      <xdr:row>17</xdr:row>
      <xdr:rowOff>93144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A87CBCEB-0067-49D6-8DEC-F511A765AA72}"/>
            </a:ext>
          </a:extLst>
        </xdr:cNvPr>
        <xdr:cNvCxnSpPr/>
      </xdr:nvCxnSpPr>
      <xdr:spPr>
        <a:xfrm>
          <a:off x="20550996" y="3220528"/>
          <a:ext cx="785838" cy="112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B06124A9-7D08-44F5-8FC4-65DDE5571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292BFA7-4BC2-4CB3-9577-66A95340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39151AD-FB50-4AAE-B044-5F25EDA0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456343</xdr:colOff>
      <xdr:row>22</xdr:row>
      <xdr:rowOff>126987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9C6E559-5718-4461-9535-1E7F8A164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8180" y="2011680"/>
          <a:ext cx="2833783" cy="2138667"/>
        </a:xfrm>
        <a:prstGeom prst="rect">
          <a:avLst/>
        </a:prstGeom>
      </xdr:spPr>
    </xdr:pic>
    <xdr:clientData/>
  </xdr:twoCellAnchor>
  <xdr:twoCellAnchor>
    <xdr:from>
      <xdr:col>15</xdr:col>
      <xdr:colOff>465826</xdr:colOff>
      <xdr:row>20</xdr:row>
      <xdr:rowOff>0</xdr:rowOff>
    </xdr:from>
    <xdr:to>
      <xdr:col>15</xdr:col>
      <xdr:colOff>466531</xdr:colOff>
      <xdr:row>20</xdr:row>
      <xdr:rowOff>65268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13CDCC9A-098D-4929-BC0C-118DC682ED45}"/>
            </a:ext>
          </a:extLst>
        </xdr:cNvPr>
        <xdr:cNvCxnSpPr/>
      </xdr:nvCxnSpPr>
      <xdr:spPr>
        <a:xfrm flipH="1" flipV="1">
          <a:off x="9552317" y="3680604"/>
          <a:ext cx="705" cy="6526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19</xdr:row>
      <xdr:rowOff>183190</xdr:rowOff>
    </xdr:from>
    <xdr:to>
      <xdr:col>15</xdr:col>
      <xdr:colOff>464473</xdr:colOff>
      <xdr:row>20</xdr:row>
      <xdr:rowOff>3168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DC5A062B-5CA1-45C1-BB8A-845B347507A2}"/>
            </a:ext>
          </a:extLst>
        </xdr:cNvPr>
        <xdr:cNvCxnSpPr/>
      </xdr:nvCxnSpPr>
      <xdr:spPr>
        <a:xfrm flipV="1">
          <a:off x="8642401" y="3667726"/>
          <a:ext cx="906662" cy="337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612842</xdr:colOff>
      <xdr:row>18</xdr:row>
      <xdr:rowOff>142672</xdr:rowOff>
    </xdr:from>
    <xdr:to>
      <xdr:col>15</xdr:col>
      <xdr:colOff>615643</xdr:colOff>
      <xdr:row>20</xdr:row>
      <xdr:rowOff>66675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B1B18B6-A472-4A24-88A7-36435DC042F2}"/>
            </a:ext>
          </a:extLst>
        </xdr:cNvPr>
        <xdr:cNvCxnSpPr/>
      </xdr:nvCxnSpPr>
      <xdr:spPr>
        <a:xfrm flipH="1" flipV="1">
          <a:off x="9708204" y="3411166"/>
          <a:ext cx="2801" cy="28716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18</xdr:row>
      <xdr:rowOff>145915</xdr:rowOff>
    </xdr:from>
    <xdr:to>
      <xdr:col>15</xdr:col>
      <xdr:colOff>615722</xdr:colOff>
      <xdr:row>18</xdr:row>
      <xdr:rowOff>149185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E75311E4-762A-4895-918C-5B049F983C2E}"/>
            </a:ext>
          </a:extLst>
        </xdr:cNvPr>
        <xdr:cNvCxnSpPr/>
      </xdr:nvCxnSpPr>
      <xdr:spPr>
        <a:xfrm>
          <a:off x="8660860" y="3414409"/>
          <a:ext cx="1050224" cy="327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BF8BE81-FE56-4DF6-843E-88F86ACF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22</xdr:col>
      <xdr:colOff>131995</xdr:colOff>
      <xdr:row>14</xdr:row>
      <xdr:rowOff>120769</xdr:rowOff>
    </xdr:from>
    <xdr:to>
      <xdr:col>22</xdr:col>
      <xdr:colOff>132272</xdr:colOff>
      <xdr:row>21</xdr:row>
      <xdr:rowOff>148673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C18647FD-9AF1-4075-AA5C-DE931616E48E}"/>
            </a:ext>
          </a:extLst>
        </xdr:cNvPr>
        <xdr:cNvCxnSpPr/>
      </xdr:nvCxnSpPr>
      <xdr:spPr>
        <a:xfrm flipV="1">
          <a:off x="14773897" y="2697192"/>
          <a:ext cx="277" cy="131611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402566</xdr:colOff>
      <xdr:row>14</xdr:row>
      <xdr:rowOff>117535</xdr:rowOff>
    </xdr:from>
    <xdr:to>
      <xdr:col>22</xdr:col>
      <xdr:colOff>134314</xdr:colOff>
      <xdr:row>14</xdr:row>
      <xdr:rowOff>117894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D6E52BE2-7BFB-4511-A47D-F205BEC38AD2}"/>
            </a:ext>
          </a:extLst>
        </xdr:cNvPr>
        <xdr:cNvCxnSpPr/>
      </xdr:nvCxnSpPr>
      <xdr:spPr>
        <a:xfrm flipV="1">
          <a:off x="12663577" y="2693958"/>
          <a:ext cx="2112639" cy="35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019A30D-7A51-48E3-998A-7F00F7877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6C58A5-B09A-4D1F-A566-EFB6E0C1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342781</xdr:colOff>
      <xdr:row>21</xdr:row>
      <xdr:rowOff>74908</xdr:rowOff>
    </xdr:from>
    <xdr:to>
      <xdr:col>15</xdr:col>
      <xdr:colOff>343546</xdr:colOff>
      <xdr:row>21</xdr:row>
      <xdr:rowOff>103226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6F62461-5D07-4EB3-BA54-795E8533D699}"/>
            </a:ext>
          </a:extLst>
        </xdr:cNvPr>
        <xdr:cNvCxnSpPr/>
      </xdr:nvCxnSpPr>
      <xdr:spPr>
        <a:xfrm flipV="1">
          <a:off x="9427371" y="3926237"/>
          <a:ext cx="765" cy="2831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449451</xdr:colOff>
      <xdr:row>21</xdr:row>
      <xdr:rowOff>69742</xdr:rowOff>
    </xdr:from>
    <xdr:to>
      <xdr:col>15</xdr:col>
      <xdr:colOff>342832</xdr:colOff>
      <xdr:row>21</xdr:row>
      <xdr:rowOff>76889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656C654-9F7A-4AA7-B2C1-01ECC39B942A}"/>
            </a:ext>
          </a:extLst>
        </xdr:cNvPr>
        <xdr:cNvCxnSpPr/>
      </xdr:nvCxnSpPr>
      <xdr:spPr>
        <a:xfrm>
          <a:off x="8741044" y="3921071"/>
          <a:ext cx="686378" cy="714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C8FD6FC-3D0D-4222-8299-D66A6C0B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FBCEBDC-B322-496E-9034-0A7DEEB5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726564</xdr:colOff>
      <xdr:row>36</xdr:row>
      <xdr:rowOff>100519</xdr:rowOff>
    </xdr:from>
    <xdr:to>
      <xdr:col>15</xdr:col>
      <xdr:colOff>729112</xdr:colOff>
      <xdr:row>37</xdr:row>
      <xdr:rowOff>89836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26343640-2EC4-4CB9-80CC-6A2524F727D7}"/>
            </a:ext>
          </a:extLst>
        </xdr:cNvPr>
        <xdr:cNvCxnSpPr/>
      </xdr:nvCxnSpPr>
      <xdr:spPr>
        <a:xfrm flipH="1" flipV="1">
          <a:off x="9811154" y="6870695"/>
          <a:ext cx="2548" cy="17271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495946</xdr:colOff>
      <xdr:row>36</xdr:row>
      <xdr:rowOff>105081</xdr:rowOff>
    </xdr:from>
    <xdr:to>
      <xdr:col>15</xdr:col>
      <xdr:colOff>724552</xdr:colOff>
      <xdr:row>36</xdr:row>
      <xdr:rowOff>105905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661462A-09A4-4DFF-ACF3-7C95254946BF}"/>
            </a:ext>
          </a:extLst>
        </xdr:cNvPr>
        <xdr:cNvCxnSpPr/>
      </xdr:nvCxnSpPr>
      <xdr:spPr>
        <a:xfrm flipV="1">
          <a:off x="8787539" y="6875257"/>
          <a:ext cx="1021603" cy="82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301557</xdr:colOff>
      <xdr:row>34</xdr:row>
      <xdr:rowOff>68094</xdr:rowOff>
    </xdr:from>
    <xdr:to>
      <xdr:col>20</xdr:col>
      <xdr:colOff>302482</xdr:colOff>
      <xdr:row>36</xdr:row>
      <xdr:rowOff>148675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CD68BFB-B059-454F-B2ED-0E8ED6A2B690}"/>
            </a:ext>
          </a:extLst>
        </xdr:cNvPr>
        <xdr:cNvCxnSpPr/>
      </xdr:nvCxnSpPr>
      <xdr:spPr>
        <a:xfrm flipH="1" flipV="1">
          <a:off x="13352834" y="6410528"/>
          <a:ext cx="925" cy="44374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398834</xdr:colOff>
      <xdr:row>34</xdr:row>
      <xdr:rowOff>73783</xdr:rowOff>
    </xdr:from>
    <xdr:to>
      <xdr:col>20</xdr:col>
      <xdr:colOff>304801</xdr:colOff>
      <xdr:row>34</xdr:row>
      <xdr:rowOff>74579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48842E6-6563-42FF-B0DE-E2B0A29978A8}"/>
            </a:ext>
          </a:extLst>
        </xdr:cNvPr>
        <xdr:cNvCxnSpPr/>
      </xdr:nvCxnSpPr>
      <xdr:spPr>
        <a:xfrm flipV="1">
          <a:off x="12658928" y="6416217"/>
          <a:ext cx="697150" cy="79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314214</xdr:colOff>
      <xdr:row>18</xdr:row>
      <xdr:rowOff>165524</xdr:rowOff>
    </xdr:from>
    <xdr:to>
      <xdr:col>16</xdr:col>
      <xdr:colOff>314701</xdr:colOff>
      <xdr:row>21</xdr:row>
      <xdr:rowOff>102589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5D168BC2-6957-41DF-BE16-29A6AEAFD00E}"/>
            </a:ext>
          </a:extLst>
        </xdr:cNvPr>
        <xdr:cNvCxnSpPr/>
      </xdr:nvCxnSpPr>
      <xdr:spPr>
        <a:xfrm flipH="1" flipV="1">
          <a:off x="10194335" y="3478067"/>
          <a:ext cx="487" cy="48915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445698</xdr:colOff>
      <xdr:row>18</xdr:row>
      <xdr:rowOff>166778</xdr:rowOff>
    </xdr:from>
    <xdr:to>
      <xdr:col>16</xdr:col>
      <xdr:colOff>314751</xdr:colOff>
      <xdr:row>18</xdr:row>
      <xdr:rowOff>169662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CB4C16D-2606-40F0-B62D-9574FFC98E2F}"/>
            </a:ext>
          </a:extLst>
        </xdr:cNvPr>
        <xdr:cNvCxnSpPr/>
      </xdr:nvCxnSpPr>
      <xdr:spPr>
        <a:xfrm>
          <a:off x="8738558" y="3479321"/>
          <a:ext cx="1456314" cy="28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10</xdr:row>
      <xdr:rowOff>184484</xdr:rowOff>
    </xdr:from>
    <xdr:to>
      <xdr:col>22</xdr:col>
      <xdr:colOff>454265</xdr:colOff>
      <xdr:row>22</xdr:row>
      <xdr:rowOff>119367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EBB0BFA4-61D4-4AEC-9567-DDFCA5ECF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0232" y="2029326"/>
          <a:ext cx="2836517" cy="2148694"/>
        </a:xfrm>
        <a:prstGeom prst="rect">
          <a:avLst/>
        </a:prstGeom>
      </xdr:spPr>
    </xdr:pic>
    <xdr:clientData/>
  </xdr:twoCellAnchor>
  <xdr:twoCellAnchor>
    <xdr:from>
      <xdr:col>20</xdr:col>
      <xdr:colOff>471318</xdr:colOff>
      <xdr:row>19</xdr:row>
      <xdr:rowOff>176980</xdr:rowOff>
    </xdr:from>
    <xdr:to>
      <xdr:col>20</xdr:col>
      <xdr:colOff>474407</xdr:colOff>
      <xdr:row>20</xdr:row>
      <xdr:rowOff>64783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D1EF0C7C-1079-408C-A4A4-9F76EBB0D098}"/>
            </a:ext>
          </a:extLst>
        </xdr:cNvPr>
        <xdr:cNvCxnSpPr/>
      </xdr:nvCxnSpPr>
      <xdr:spPr>
        <a:xfrm flipV="1">
          <a:off x="13511350" y="3633019"/>
          <a:ext cx="3089" cy="6969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346588</xdr:colOff>
      <xdr:row>19</xdr:row>
      <xdr:rowOff>179438</xdr:rowOff>
    </xdr:from>
    <xdr:to>
      <xdr:col>20</xdr:col>
      <xdr:colOff>477885</xdr:colOff>
      <xdr:row>19</xdr:row>
      <xdr:rowOff>180122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EC8BB8DC-326E-4E68-A7F6-3F193CFDF01C}"/>
            </a:ext>
          </a:extLst>
        </xdr:cNvPr>
        <xdr:cNvCxnSpPr/>
      </xdr:nvCxnSpPr>
      <xdr:spPr>
        <a:xfrm>
          <a:off x="12595123" y="3635477"/>
          <a:ext cx="922794" cy="68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25</xdr:row>
      <xdr:rowOff>185530</xdr:rowOff>
    </xdr:from>
    <xdr:to>
      <xdr:col>28</xdr:col>
      <xdr:colOff>394994</xdr:colOff>
      <xdr:row>39</xdr:row>
      <xdr:rowOff>76199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B42F5A0-6A5A-4C57-A0BF-077ADFE9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0417" y="4989443"/>
          <a:ext cx="3277342" cy="248809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CE3AC1C2-DC55-4975-A795-100CD89FB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9EA613-8B02-4E22-A0CA-07F8CFA7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649458</xdr:colOff>
      <xdr:row>21</xdr:row>
      <xdr:rowOff>28135</xdr:rowOff>
    </xdr:from>
    <xdr:to>
      <xdr:col>15</xdr:col>
      <xdr:colOff>650218</xdr:colOff>
      <xdr:row>21</xdr:row>
      <xdr:rowOff>100178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22BFDE03-2A6A-4881-9F7F-1A01EB1B51B4}"/>
            </a:ext>
          </a:extLst>
        </xdr:cNvPr>
        <xdr:cNvCxnSpPr/>
      </xdr:nvCxnSpPr>
      <xdr:spPr>
        <a:xfrm flipH="1" flipV="1">
          <a:off x="9739532" y="3868615"/>
          <a:ext cx="760" cy="7204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438443</xdr:colOff>
      <xdr:row>21</xdr:row>
      <xdr:rowOff>30480</xdr:rowOff>
    </xdr:from>
    <xdr:to>
      <xdr:col>15</xdr:col>
      <xdr:colOff>650269</xdr:colOff>
      <xdr:row>21</xdr:row>
      <xdr:rowOff>32722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9E54B32-D333-464B-978C-72975B003039}"/>
            </a:ext>
          </a:extLst>
        </xdr:cNvPr>
        <xdr:cNvCxnSpPr/>
      </xdr:nvCxnSpPr>
      <xdr:spPr>
        <a:xfrm>
          <a:off x="8736037" y="3870960"/>
          <a:ext cx="1004306" cy="224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F7D06B-8E1B-4994-9193-D29BFA86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487341</xdr:colOff>
      <xdr:row>37</xdr:row>
      <xdr:rowOff>62865</xdr:rowOff>
    </xdr:from>
    <xdr:to>
      <xdr:col>15</xdr:col>
      <xdr:colOff>489585</xdr:colOff>
      <xdr:row>37</xdr:row>
      <xdr:rowOff>97987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8D9F625-BDBC-4B68-BF37-AF3D663E19B0}"/>
            </a:ext>
          </a:extLst>
        </xdr:cNvPr>
        <xdr:cNvCxnSpPr/>
      </xdr:nvCxnSpPr>
      <xdr:spPr>
        <a:xfrm flipV="1">
          <a:off x="9578001" y="6997065"/>
          <a:ext cx="2244" cy="3512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70268</xdr:rowOff>
    </xdr:from>
    <xdr:to>
      <xdr:col>15</xdr:col>
      <xdr:colOff>484464</xdr:colOff>
      <xdr:row>37</xdr:row>
      <xdr:rowOff>70485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BC0464E-945F-41B8-883D-3979AB484D36}"/>
            </a:ext>
          </a:extLst>
        </xdr:cNvPr>
        <xdr:cNvCxnSpPr/>
      </xdr:nvCxnSpPr>
      <xdr:spPr>
        <a:xfrm flipV="1">
          <a:off x="8801100" y="7004468"/>
          <a:ext cx="774024" cy="217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83A1460-801B-4EC3-8A69-E7362253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554301</xdr:colOff>
      <xdr:row>36</xdr:row>
      <xdr:rowOff>147711</xdr:rowOff>
    </xdr:from>
    <xdr:to>
      <xdr:col>15</xdr:col>
      <xdr:colOff>555674</xdr:colOff>
      <xdr:row>37</xdr:row>
      <xdr:rowOff>94527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1E060CC-7565-47AB-BA6D-B6B8F36174D6}"/>
            </a:ext>
          </a:extLst>
        </xdr:cNvPr>
        <xdr:cNvCxnSpPr/>
      </xdr:nvCxnSpPr>
      <xdr:spPr>
        <a:xfrm flipV="1">
          <a:off x="9644375" y="6900203"/>
          <a:ext cx="1373" cy="12969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501748</xdr:colOff>
      <xdr:row>36</xdr:row>
      <xdr:rowOff>149870</xdr:rowOff>
    </xdr:from>
    <xdr:to>
      <xdr:col>15</xdr:col>
      <xdr:colOff>554431</xdr:colOff>
      <xdr:row>36</xdr:row>
      <xdr:rowOff>150056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57FCA25D-A9B1-46D2-BCC9-A06BAD98BC74}"/>
            </a:ext>
          </a:extLst>
        </xdr:cNvPr>
        <xdr:cNvCxnSpPr/>
      </xdr:nvCxnSpPr>
      <xdr:spPr>
        <a:xfrm flipV="1">
          <a:off x="8799342" y="6902362"/>
          <a:ext cx="845163" cy="18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457724</xdr:colOff>
      <xdr:row>31</xdr:row>
      <xdr:rowOff>16328</xdr:rowOff>
    </xdr:from>
    <xdr:to>
      <xdr:col>21</xdr:col>
      <xdr:colOff>459922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7C31B41-5E48-4F18-8FBB-0049E2A87939}"/>
            </a:ext>
          </a:extLst>
        </xdr:cNvPr>
        <xdr:cNvCxnSpPr/>
      </xdr:nvCxnSpPr>
      <xdr:spPr>
        <a:xfrm flipV="1">
          <a:off x="14290745" y="5837464"/>
          <a:ext cx="2198" cy="104402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394607</xdr:colOff>
      <xdr:row>31</xdr:row>
      <xdr:rowOff>21771</xdr:rowOff>
    </xdr:from>
    <xdr:to>
      <xdr:col>21</xdr:col>
      <xdr:colOff>460043</xdr:colOff>
      <xdr:row>31</xdr:row>
      <xdr:rowOff>24973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184186D-A3DA-463B-B3DE-3B98CF0D5B8E}"/>
            </a:ext>
          </a:extLst>
        </xdr:cNvPr>
        <xdr:cNvCxnSpPr/>
      </xdr:nvCxnSpPr>
      <xdr:spPr>
        <a:xfrm>
          <a:off x="12643757" y="5842907"/>
          <a:ext cx="1649307" cy="320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402566</xdr:colOff>
      <xdr:row>21</xdr:row>
      <xdr:rowOff>2875</xdr:rowOff>
    </xdr:from>
    <xdr:to>
      <xdr:col>15</xdr:col>
      <xdr:colOff>403849</xdr:colOff>
      <xdr:row>21</xdr:row>
      <xdr:rowOff>96839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B8C1A69-A0E4-465B-98B6-716D87B8B0A1}"/>
            </a:ext>
          </a:extLst>
        </xdr:cNvPr>
        <xdr:cNvCxnSpPr/>
      </xdr:nvCxnSpPr>
      <xdr:spPr>
        <a:xfrm flipH="1" flipV="1">
          <a:off x="9489057" y="3867509"/>
          <a:ext cx="1283" cy="9396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441512</xdr:colOff>
      <xdr:row>21</xdr:row>
      <xdr:rowOff>8631</xdr:rowOff>
    </xdr:from>
    <xdr:to>
      <xdr:col>15</xdr:col>
      <xdr:colOff>403898</xdr:colOff>
      <xdr:row>21</xdr:row>
      <xdr:rowOff>8965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B41D429-A8B9-4C4E-997D-7E8C120093AF}"/>
            </a:ext>
          </a:extLst>
        </xdr:cNvPr>
        <xdr:cNvCxnSpPr/>
      </xdr:nvCxnSpPr>
      <xdr:spPr>
        <a:xfrm flipV="1">
          <a:off x="8738347" y="3867937"/>
          <a:ext cx="755763" cy="33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145473</xdr:colOff>
      <xdr:row>33</xdr:row>
      <xdr:rowOff>169718</xdr:rowOff>
    </xdr:from>
    <xdr:to>
      <xdr:col>26</xdr:col>
      <xdr:colOff>147897</xdr:colOff>
      <xdr:row>36</xdr:row>
      <xdr:rowOff>122016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AC0A57C0-A709-4F5F-9F92-882613A7BE39}"/>
            </a:ext>
          </a:extLst>
        </xdr:cNvPr>
        <xdr:cNvCxnSpPr/>
      </xdr:nvCxnSpPr>
      <xdr:spPr>
        <a:xfrm flipH="1" flipV="1">
          <a:off x="17972809" y="6393873"/>
          <a:ext cx="2424" cy="50301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422564</xdr:colOff>
      <xdr:row>33</xdr:row>
      <xdr:rowOff>169718</xdr:rowOff>
    </xdr:from>
    <xdr:to>
      <xdr:col>26</xdr:col>
      <xdr:colOff>143578</xdr:colOff>
      <xdr:row>33</xdr:row>
      <xdr:rowOff>170112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E2F604A4-ECE2-4EE7-8AA9-389836C5033A}"/>
            </a:ext>
          </a:extLst>
        </xdr:cNvPr>
        <xdr:cNvCxnSpPr/>
      </xdr:nvCxnSpPr>
      <xdr:spPr>
        <a:xfrm>
          <a:off x="16663555" y="6393873"/>
          <a:ext cx="1307359" cy="39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484910</xdr:colOff>
      <xdr:row>23</xdr:row>
      <xdr:rowOff>1770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8C67BF52-34AB-4566-8330-6B7C3596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1972235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10</xdr:row>
      <xdr:rowOff>183931</xdr:rowOff>
    </xdr:from>
    <xdr:to>
      <xdr:col>27</xdr:col>
      <xdr:colOff>454265</xdr:colOff>
      <xdr:row>22</xdr:row>
      <xdr:rowOff>119367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2A84F628-AFEB-4EEC-96B3-8D721F47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38483" y="2023241"/>
          <a:ext cx="2834858" cy="2142609"/>
        </a:xfrm>
        <a:prstGeom prst="rect">
          <a:avLst/>
        </a:prstGeom>
      </xdr:spPr>
    </xdr:pic>
    <xdr:clientData/>
  </xdr:twoCellAnchor>
  <xdr:twoCellAnchor>
    <xdr:from>
      <xdr:col>25</xdr:col>
      <xdr:colOff>295304</xdr:colOff>
      <xdr:row>19</xdr:row>
      <xdr:rowOff>52039</xdr:rowOff>
    </xdr:from>
    <xdr:to>
      <xdr:col>25</xdr:col>
      <xdr:colOff>295396</xdr:colOff>
      <xdr:row>20</xdr:row>
      <xdr:rowOff>64782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2F62597B-0BC3-4B14-BD83-C9423AA203E2}"/>
            </a:ext>
          </a:extLst>
        </xdr:cNvPr>
        <xdr:cNvCxnSpPr/>
      </xdr:nvCxnSpPr>
      <xdr:spPr>
        <a:xfrm flipH="1" flipV="1">
          <a:off x="17310178" y="3526759"/>
          <a:ext cx="92" cy="19562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354037</xdr:colOff>
      <xdr:row>19</xdr:row>
      <xdr:rowOff>56271</xdr:rowOff>
    </xdr:from>
    <xdr:to>
      <xdr:col>25</xdr:col>
      <xdr:colOff>301963</xdr:colOff>
      <xdr:row>19</xdr:row>
      <xdr:rowOff>57222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FBE55447-C5C5-4211-8554-C7A4E07732EA}"/>
            </a:ext>
          </a:extLst>
        </xdr:cNvPr>
        <xdr:cNvCxnSpPr/>
      </xdr:nvCxnSpPr>
      <xdr:spPr>
        <a:xfrm>
          <a:off x="16576431" y="3530991"/>
          <a:ext cx="740406" cy="95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5735499B-76A8-4239-B422-7CB4975B0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34AA0-984F-45F9-AAC2-BD4B0899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C11F3A8-6635-4F35-B447-88AFAD2E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37689" y="4968933"/>
          <a:ext cx="3256012" cy="2541858"/>
        </a:xfrm>
        <a:prstGeom prst="rect">
          <a:avLst/>
        </a:prstGeom>
      </xdr:spPr>
    </xdr:pic>
    <xdr:clientData/>
  </xdr:twoCellAnchor>
  <xdr:twoCellAnchor>
    <xdr:from>
      <xdr:col>15</xdr:col>
      <xdr:colOff>454742</xdr:colOff>
      <xdr:row>37</xdr:row>
      <xdr:rowOff>81116</xdr:rowOff>
    </xdr:from>
    <xdr:to>
      <xdr:col>15</xdr:col>
      <xdr:colOff>457161</xdr:colOff>
      <xdr:row>37</xdr:row>
      <xdr:rowOff>97986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2072DD5-676A-43C6-A448-68D768B54DE9}"/>
            </a:ext>
          </a:extLst>
        </xdr:cNvPr>
        <xdr:cNvCxnSpPr/>
      </xdr:nvCxnSpPr>
      <xdr:spPr>
        <a:xfrm flipH="1" flipV="1">
          <a:off x="9537290" y="6980903"/>
          <a:ext cx="2419" cy="16870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496529</xdr:colOff>
      <xdr:row>37</xdr:row>
      <xdr:rowOff>76965</xdr:rowOff>
    </xdr:from>
    <xdr:to>
      <xdr:col>15</xdr:col>
      <xdr:colOff>456743</xdr:colOff>
      <xdr:row>37</xdr:row>
      <xdr:rowOff>78658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739C261-7981-471E-AEC9-8EDD5AD40C20}"/>
            </a:ext>
          </a:extLst>
        </xdr:cNvPr>
        <xdr:cNvCxnSpPr/>
      </xdr:nvCxnSpPr>
      <xdr:spPr>
        <a:xfrm flipV="1">
          <a:off x="8787581" y="6976752"/>
          <a:ext cx="751710" cy="1693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046CA3D-1110-4BD7-802D-6513D23B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7A4250A0-DA17-46C3-B33D-3B070544BC82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F4644AE6-2D10-4DF2-814B-295F84B1DE2B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7B38A18-C849-4CFC-B37D-8059F4EF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D270B3-E479-4503-856E-2F3BD38A5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16</xdr:col>
      <xdr:colOff>373626</xdr:colOff>
      <xdr:row>35</xdr:row>
      <xdr:rowOff>95864</xdr:rowOff>
    </xdr:from>
    <xdr:to>
      <xdr:col>16</xdr:col>
      <xdr:colOff>375684</xdr:colOff>
      <xdr:row>37</xdr:row>
      <xdr:rowOff>104585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3EA0051C-F195-49AA-909E-78C3CEFE1C71}"/>
            </a:ext>
          </a:extLst>
        </xdr:cNvPr>
        <xdr:cNvCxnSpPr/>
      </xdr:nvCxnSpPr>
      <xdr:spPr>
        <a:xfrm flipH="1" flipV="1">
          <a:off x="10247671" y="6631858"/>
          <a:ext cx="2058" cy="37251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35</xdr:row>
      <xdr:rowOff>98322</xdr:rowOff>
    </xdr:from>
    <xdr:to>
      <xdr:col>16</xdr:col>
      <xdr:colOff>371123</xdr:colOff>
      <xdr:row>35</xdr:row>
      <xdr:rowOff>100294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E779AFE6-085C-4917-B0B5-E6EEE27E470A}"/>
            </a:ext>
          </a:extLst>
        </xdr:cNvPr>
        <xdr:cNvCxnSpPr/>
      </xdr:nvCxnSpPr>
      <xdr:spPr>
        <a:xfrm>
          <a:off x="8792497" y="6634316"/>
          <a:ext cx="1452671" cy="197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9C9C6D8-171B-4314-BB2B-B84CC1A7A775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6D2EB66-484E-4063-B388-7851C2A4616B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178103</xdr:colOff>
      <xdr:row>21</xdr:row>
      <xdr:rowOff>38746</xdr:rowOff>
    </xdr:from>
    <xdr:to>
      <xdr:col>15</xdr:col>
      <xdr:colOff>178230</xdr:colOff>
      <xdr:row>21</xdr:row>
      <xdr:rowOff>96840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5D368EE-0266-4B48-9ED0-37E54B27975D}"/>
            </a:ext>
          </a:extLst>
        </xdr:cNvPr>
        <xdr:cNvCxnSpPr/>
      </xdr:nvCxnSpPr>
      <xdr:spPr>
        <a:xfrm flipV="1">
          <a:off x="9262693" y="3890075"/>
          <a:ext cx="127" cy="5809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441702</xdr:colOff>
      <xdr:row>21</xdr:row>
      <xdr:rowOff>43912</xdr:rowOff>
    </xdr:from>
    <xdr:to>
      <xdr:col>15</xdr:col>
      <xdr:colOff>178152</xdr:colOff>
      <xdr:row>21</xdr:row>
      <xdr:rowOff>45084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8883C67-282F-488A-AA68-1A6833B7EA54}"/>
            </a:ext>
          </a:extLst>
        </xdr:cNvPr>
        <xdr:cNvCxnSpPr/>
      </xdr:nvCxnSpPr>
      <xdr:spPr>
        <a:xfrm>
          <a:off x="8733295" y="3895241"/>
          <a:ext cx="529447" cy="117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418527</xdr:colOff>
      <xdr:row>18</xdr:row>
      <xdr:rowOff>149678</xdr:rowOff>
    </xdr:from>
    <xdr:to>
      <xdr:col>24</xdr:col>
      <xdr:colOff>419100</xdr:colOff>
      <xdr:row>20</xdr:row>
      <xdr:rowOff>89615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99A79F95-ECF9-4B7A-8246-A1E6A395B8E0}"/>
            </a:ext>
          </a:extLst>
        </xdr:cNvPr>
        <xdr:cNvCxnSpPr/>
      </xdr:nvCxnSpPr>
      <xdr:spPr>
        <a:xfrm flipV="1">
          <a:off x="16627356" y="3431721"/>
          <a:ext cx="573" cy="30460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397328</xdr:colOff>
      <xdr:row>18</xdr:row>
      <xdr:rowOff>152400</xdr:rowOff>
    </xdr:from>
    <xdr:to>
      <xdr:col>24</xdr:col>
      <xdr:colOff>425094</xdr:colOff>
      <xdr:row>18</xdr:row>
      <xdr:rowOff>155069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A7E38C4B-89E2-401C-9323-9B63B07198BF}"/>
            </a:ext>
          </a:extLst>
        </xdr:cNvPr>
        <xdr:cNvCxnSpPr/>
      </xdr:nvCxnSpPr>
      <xdr:spPr>
        <a:xfrm>
          <a:off x="16606157" y="3434443"/>
          <a:ext cx="27766" cy="266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791496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23D310E-7F8C-4930-8B1C-8B40F56B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06019" y="4898923"/>
          <a:ext cx="3072088" cy="2414660"/>
        </a:xfrm>
        <a:prstGeom prst="rect">
          <a:avLst/>
        </a:prstGeom>
      </xdr:spPr>
    </xdr:pic>
    <xdr:clientData/>
  </xdr:twoCellAnchor>
  <xdr:twoCellAnchor>
    <xdr:from>
      <xdr:col>25</xdr:col>
      <xdr:colOff>428028</xdr:colOff>
      <xdr:row>35</xdr:row>
      <xdr:rowOff>163902</xdr:rowOff>
    </xdr:from>
    <xdr:to>
      <xdr:col>25</xdr:col>
      <xdr:colOff>430906</xdr:colOff>
      <xdr:row>36</xdr:row>
      <xdr:rowOff>97767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E080396A-7A0B-4E83-9A9E-93D238F2415F}"/>
            </a:ext>
          </a:extLst>
        </xdr:cNvPr>
        <xdr:cNvCxnSpPr/>
      </xdr:nvCxnSpPr>
      <xdr:spPr>
        <a:xfrm flipH="1" flipV="1">
          <a:off x="17425544" y="6699896"/>
          <a:ext cx="2878" cy="115761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393522</xdr:colOff>
      <xdr:row>35</xdr:row>
      <xdr:rowOff>161026</xdr:rowOff>
    </xdr:from>
    <xdr:to>
      <xdr:col>25</xdr:col>
      <xdr:colOff>426588</xdr:colOff>
      <xdr:row>35</xdr:row>
      <xdr:rowOff>170116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5DDB59E1-0FD7-464F-A656-14921442D71C}"/>
            </a:ext>
          </a:extLst>
        </xdr:cNvPr>
        <xdr:cNvCxnSpPr/>
      </xdr:nvCxnSpPr>
      <xdr:spPr>
        <a:xfrm>
          <a:off x="16599541" y="6697020"/>
          <a:ext cx="824563" cy="9090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469488</xdr:colOff>
      <xdr:row>35</xdr:row>
      <xdr:rowOff>103238</xdr:rowOff>
    </xdr:from>
    <xdr:to>
      <xdr:col>25</xdr:col>
      <xdr:colOff>469490</xdr:colOff>
      <xdr:row>36</xdr:row>
      <xdr:rowOff>92140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B0ABD6BC-29D4-40F4-95AA-275F6402C49B}"/>
            </a:ext>
          </a:extLst>
        </xdr:cNvPr>
        <xdr:cNvCxnSpPr/>
      </xdr:nvCxnSpPr>
      <xdr:spPr>
        <a:xfrm flipV="1">
          <a:off x="17467004" y="6639232"/>
          <a:ext cx="2" cy="1707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388375</xdr:colOff>
      <xdr:row>35</xdr:row>
      <xdr:rowOff>108154</xdr:rowOff>
    </xdr:from>
    <xdr:to>
      <xdr:col>25</xdr:col>
      <xdr:colOff>475995</xdr:colOff>
      <xdr:row>35</xdr:row>
      <xdr:rowOff>110358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D9A0B663-A799-4157-80E7-2F60CC86A4A8}"/>
            </a:ext>
          </a:extLst>
        </xdr:cNvPr>
        <xdr:cNvCxnSpPr/>
      </xdr:nvCxnSpPr>
      <xdr:spPr>
        <a:xfrm>
          <a:off x="16594394" y="6644148"/>
          <a:ext cx="879117" cy="220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1</xdr:rowOff>
    </xdr:from>
    <xdr:to>
      <xdr:col>28</xdr:col>
      <xdr:colOff>37695</xdr:colOff>
      <xdr:row>22</xdr:row>
      <xdr:rowOff>152401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71E4A0D7-E3FE-4E3D-B702-EEF5FC83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39457" y="2035630"/>
          <a:ext cx="2922409" cy="218802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1</xdr:rowOff>
    </xdr:from>
    <xdr:to>
      <xdr:col>22</xdr:col>
      <xdr:colOff>346364</xdr:colOff>
      <xdr:row>22</xdr:row>
      <xdr:rowOff>147871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7803542-1601-49A1-81C1-A411E4D20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6691" y="1981201"/>
          <a:ext cx="2715491" cy="212907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311418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C645A04-68EE-4AAD-80BE-D745ED30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712E32-2DBC-40F8-AE62-46CAC685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229619</xdr:colOff>
      <xdr:row>37</xdr:row>
      <xdr:rowOff>25830</xdr:rowOff>
    </xdr:from>
    <xdr:to>
      <xdr:col>15</xdr:col>
      <xdr:colOff>230827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B331937-3642-4DD8-BCCA-BC094A3CE405}"/>
            </a:ext>
          </a:extLst>
        </xdr:cNvPr>
        <xdr:cNvCxnSpPr/>
      </xdr:nvCxnSpPr>
      <xdr:spPr>
        <a:xfrm flipV="1">
          <a:off x="9395390" y="6940980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514092</xdr:colOff>
      <xdr:row>37</xdr:row>
      <xdr:rowOff>30262</xdr:rowOff>
    </xdr:from>
    <xdr:to>
      <xdr:col>15</xdr:col>
      <xdr:colOff>226743</xdr:colOff>
      <xdr:row>37</xdr:row>
      <xdr:rowOff>31631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D1A1F08-4550-495F-B60B-211A5959D745}"/>
            </a:ext>
          </a:extLst>
        </xdr:cNvPr>
        <xdr:cNvCxnSpPr/>
      </xdr:nvCxnSpPr>
      <xdr:spPr>
        <a:xfrm flipV="1">
          <a:off x="8887928" y="6945412"/>
          <a:ext cx="504586" cy="136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16861</xdr:colOff>
      <xdr:row>16</xdr:row>
      <xdr:rowOff>78059</xdr:rowOff>
    </xdr:from>
    <xdr:to>
      <xdr:col>26</xdr:col>
      <xdr:colOff>17740</xdr:colOff>
      <xdr:row>20</xdr:row>
      <xdr:rowOff>70003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D71F187-B8E3-4C63-B1A3-F1494F08C095}"/>
            </a:ext>
          </a:extLst>
        </xdr:cNvPr>
        <xdr:cNvCxnSpPr/>
      </xdr:nvCxnSpPr>
      <xdr:spPr>
        <a:xfrm flipH="1" flipV="1">
          <a:off x="17893925" y="2995430"/>
          <a:ext cx="879" cy="72128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386576</xdr:colOff>
      <xdr:row>16</xdr:row>
      <xdr:rowOff>77829</xdr:rowOff>
    </xdr:from>
    <xdr:to>
      <xdr:col>26</xdr:col>
      <xdr:colOff>23263</xdr:colOff>
      <xdr:row>16</xdr:row>
      <xdr:rowOff>79056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6E470DF-DDA9-4856-BF34-E351F48BD9CB}"/>
            </a:ext>
          </a:extLst>
        </xdr:cNvPr>
        <xdr:cNvCxnSpPr/>
      </xdr:nvCxnSpPr>
      <xdr:spPr>
        <a:xfrm flipV="1">
          <a:off x="16679769" y="2995200"/>
          <a:ext cx="1220558" cy="12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546176</xdr:colOff>
      <xdr:row>37</xdr:row>
      <xdr:rowOff>68036</xdr:rowOff>
    </xdr:from>
    <xdr:to>
      <xdr:col>15</xdr:col>
      <xdr:colOff>547008</xdr:colOff>
      <xdr:row>37</xdr:row>
      <xdr:rowOff>98000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7E224730-D633-41E0-A2D1-B34916229054}"/>
            </a:ext>
          </a:extLst>
        </xdr:cNvPr>
        <xdr:cNvCxnSpPr/>
      </xdr:nvCxnSpPr>
      <xdr:spPr>
        <a:xfrm flipV="1">
          <a:off x="9711947" y="6983186"/>
          <a:ext cx="832" cy="2996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500743</xdr:colOff>
      <xdr:row>37</xdr:row>
      <xdr:rowOff>66837</xdr:rowOff>
    </xdr:from>
    <xdr:to>
      <xdr:col>15</xdr:col>
      <xdr:colOff>541616</xdr:colOff>
      <xdr:row>37</xdr:row>
      <xdr:rowOff>68036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78263DD-3259-40EC-92EC-E7F899C44D2D}"/>
            </a:ext>
          </a:extLst>
        </xdr:cNvPr>
        <xdr:cNvCxnSpPr/>
      </xdr:nvCxnSpPr>
      <xdr:spPr>
        <a:xfrm flipV="1">
          <a:off x="8874579" y="6981987"/>
          <a:ext cx="832808" cy="11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705549</xdr:colOff>
      <xdr:row>20</xdr:row>
      <xdr:rowOff>51707</xdr:rowOff>
    </xdr:from>
    <xdr:to>
      <xdr:col>20</xdr:col>
      <xdr:colOff>707571</xdr:colOff>
      <xdr:row>20</xdr:row>
      <xdr:rowOff>88818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C48413EE-63D0-4900-8AB1-9131A25BF2AC}"/>
            </a:ext>
          </a:extLst>
        </xdr:cNvPr>
        <xdr:cNvCxnSpPr/>
      </xdr:nvCxnSpPr>
      <xdr:spPr>
        <a:xfrm flipV="1">
          <a:off x="13830999" y="3698421"/>
          <a:ext cx="2022" cy="3711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353786</xdr:colOff>
      <xdr:row>20</xdr:row>
      <xdr:rowOff>55633</xdr:rowOff>
    </xdr:from>
    <xdr:to>
      <xdr:col>20</xdr:col>
      <xdr:colOff>705598</xdr:colOff>
      <xdr:row>20</xdr:row>
      <xdr:rowOff>62593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012DE0F-1735-4550-BA8F-051C87A1A926}"/>
            </a:ext>
          </a:extLst>
        </xdr:cNvPr>
        <xdr:cNvCxnSpPr/>
      </xdr:nvCxnSpPr>
      <xdr:spPr>
        <a:xfrm flipV="1">
          <a:off x="12687300" y="3702347"/>
          <a:ext cx="1143748" cy="696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292FF71-53E7-4998-9EB8-FB30725F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0" y="2011680"/>
          <a:ext cx="2831705" cy="2131047"/>
        </a:xfrm>
        <a:prstGeom prst="rect">
          <a:avLst/>
        </a:prstGeom>
      </xdr:spPr>
    </xdr:pic>
    <xdr:clientData/>
  </xdr:twoCellAnchor>
  <xdr:twoCellAnchor>
    <xdr:from>
      <xdr:col>15</xdr:col>
      <xdr:colOff>336361</xdr:colOff>
      <xdr:row>19</xdr:row>
      <xdr:rowOff>52039</xdr:rowOff>
    </xdr:from>
    <xdr:to>
      <xdr:col>15</xdr:col>
      <xdr:colOff>336453</xdr:colOff>
      <xdr:row>20</xdr:row>
      <xdr:rowOff>64782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79AC5A3D-B61F-4145-94F9-AED179FC29F4}"/>
            </a:ext>
          </a:extLst>
        </xdr:cNvPr>
        <xdr:cNvCxnSpPr/>
      </xdr:nvCxnSpPr>
      <xdr:spPr>
        <a:xfrm flipH="1" flipV="1">
          <a:off x="9509116" y="3548613"/>
          <a:ext cx="92" cy="1967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359433</xdr:colOff>
      <xdr:row>19</xdr:row>
      <xdr:rowOff>54634</xdr:rowOff>
    </xdr:from>
    <xdr:to>
      <xdr:col>15</xdr:col>
      <xdr:colOff>343020</xdr:colOff>
      <xdr:row>19</xdr:row>
      <xdr:rowOff>57222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5DE8B495-FEB4-4CFE-86A2-4968ACD7FBD9}"/>
            </a:ext>
          </a:extLst>
        </xdr:cNvPr>
        <xdr:cNvCxnSpPr/>
      </xdr:nvCxnSpPr>
      <xdr:spPr>
        <a:xfrm>
          <a:off x="8738558" y="3551208"/>
          <a:ext cx="777217" cy="25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115042</xdr:colOff>
      <xdr:row>39</xdr:row>
      <xdr:rowOff>135420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B95B88A-0840-467F-A658-34ABAF8F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5" y="4876800"/>
          <a:ext cx="3277342" cy="2488095"/>
        </a:xfrm>
        <a:prstGeom prst="rect">
          <a:avLst/>
        </a:prstGeom>
      </xdr:spPr>
    </xdr:pic>
    <xdr:clientData/>
  </xdr:twoCellAnchor>
  <xdr:twoCellAnchor>
    <xdr:from>
      <xdr:col>21</xdr:col>
      <xdr:colOff>395288</xdr:colOff>
      <xdr:row>33</xdr:row>
      <xdr:rowOff>38100</xdr:rowOff>
    </xdr:from>
    <xdr:to>
      <xdr:col>21</xdr:col>
      <xdr:colOff>399903</xdr:colOff>
      <xdr:row>36</xdr:row>
      <xdr:rowOff>167572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9460FD13-B100-4529-BEB5-23DCA7212F71}"/>
            </a:ext>
          </a:extLst>
        </xdr:cNvPr>
        <xdr:cNvCxnSpPr/>
      </xdr:nvCxnSpPr>
      <xdr:spPr>
        <a:xfrm flipH="1" flipV="1">
          <a:off x="14311313" y="6181725"/>
          <a:ext cx="4615" cy="67239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33</xdr:row>
      <xdr:rowOff>44832</xdr:rowOff>
    </xdr:from>
    <xdr:to>
      <xdr:col>21</xdr:col>
      <xdr:colOff>395584</xdr:colOff>
      <xdr:row>33</xdr:row>
      <xdr:rowOff>47625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1CF5E337-A3C2-49B7-8099-B792FAE55CF7}"/>
            </a:ext>
          </a:extLst>
        </xdr:cNvPr>
        <xdr:cNvCxnSpPr/>
      </xdr:nvCxnSpPr>
      <xdr:spPr>
        <a:xfrm flipV="1">
          <a:off x="12773025" y="6188457"/>
          <a:ext cx="1538584" cy="279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888CA77D-5788-41A1-B39D-BD0EAD834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4C721C-FDC9-4308-9199-FD01E805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457200</xdr:colOff>
      <xdr:row>20</xdr:row>
      <xdr:rowOff>72736</xdr:rowOff>
    </xdr:from>
    <xdr:to>
      <xdr:col>16</xdr:col>
      <xdr:colOff>465687</xdr:colOff>
      <xdr:row>21</xdr:row>
      <xdr:rowOff>110492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090ECF2-A999-4DB9-984E-36BA84B021EF}"/>
            </a:ext>
          </a:extLst>
        </xdr:cNvPr>
        <xdr:cNvCxnSpPr/>
      </xdr:nvCxnSpPr>
      <xdr:spPr>
        <a:xfrm flipH="1" flipV="1">
          <a:off x="10352809" y="3744191"/>
          <a:ext cx="8487" cy="22132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450272</xdr:colOff>
      <xdr:row>20</xdr:row>
      <xdr:rowOff>69619</xdr:rowOff>
    </xdr:from>
    <xdr:to>
      <xdr:col>16</xdr:col>
      <xdr:colOff>461879</xdr:colOff>
      <xdr:row>20</xdr:row>
      <xdr:rowOff>76200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BCC1B54-1FBA-43BF-AC0C-089AA3EF9DFA}"/>
            </a:ext>
          </a:extLst>
        </xdr:cNvPr>
        <xdr:cNvCxnSpPr/>
      </xdr:nvCxnSpPr>
      <xdr:spPr>
        <a:xfrm flipH="1">
          <a:off x="8759536" y="3741074"/>
          <a:ext cx="1597952" cy="658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609600</xdr:colOff>
      <xdr:row>20</xdr:row>
      <xdr:rowOff>148936</xdr:rowOff>
    </xdr:from>
    <xdr:to>
      <xdr:col>16</xdr:col>
      <xdr:colOff>613624</xdr:colOff>
      <xdr:row>21</xdr:row>
      <xdr:rowOff>100767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A125089-09E4-4820-8349-3746381802C8}"/>
            </a:ext>
          </a:extLst>
        </xdr:cNvPr>
        <xdr:cNvCxnSpPr/>
      </xdr:nvCxnSpPr>
      <xdr:spPr>
        <a:xfrm flipH="1" flipV="1">
          <a:off x="10505209" y="3820391"/>
          <a:ext cx="4024" cy="13540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436418</xdr:colOff>
      <xdr:row>20</xdr:row>
      <xdr:rowOff>152400</xdr:rowOff>
    </xdr:from>
    <xdr:to>
      <xdr:col>16</xdr:col>
      <xdr:colOff>613676</xdr:colOff>
      <xdr:row>20</xdr:row>
      <xdr:rowOff>156408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29E0156-2A9C-47A2-A596-FF67CBD46769}"/>
            </a:ext>
          </a:extLst>
        </xdr:cNvPr>
        <xdr:cNvCxnSpPr/>
      </xdr:nvCxnSpPr>
      <xdr:spPr>
        <a:xfrm>
          <a:off x="8745682" y="3823855"/>
          <a:ext cx="1763603" cy="400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136663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62F69F7-7A43-4427-9ABD-4673A842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619894</xdr:colOff>
      <xdr:row>36</xdr:row>
      <xdr:rowOff>140208</xdr:rowOff>
    </xdr:from>
    <xdr:to>
      <xdr:col>15</xdr:col>
      <xdr:colOff>621792</xdr:colOff>
      <xdr:row>37</xdr:row>
      <xdr:rowOff>103691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46F9E5A-34B6-45EA-8813-85387575A5CF}"/>
            </a:ext>
          </a:extLst>
        </xdr:cNvPr>
        <xdr:cNvCxnSpPr/>
      </xdr:nvCxnSpPr>
      <xdr:spPr>
        <a:xfrm flipV="1">
          <a:off x="9724270" y="6891528"/>
          <a:ext cx="1898" cy="146363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493776</xdr:colOff>
      <xdr:row>36</xdr:row>
      <xdr:rowOff>137160</xdr:rowOff>
    </xdr:from>
    <xdr:to>
      <xdr:col>15</xdr:col>
      <xdr:colOff>617018</xdr:colOff>
      <xdr:row>36</xdr:row>
      <xdr:rowOff>138138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9B73A3D4-DF91-4354-A73A-E1EA69FCD7A4}"/>
            </a:ext>
          </a:extLst>
        </xdr:cNvPr>
        <xdr:cNvCxnSpPr/>
      </xdr:nvCxnSpPr>
      <xdr:spPr>
        <a:xfrm>
          <a:off x="8805672" y="6888480"/>
          <a:ext cx="915722" cy="978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AFAB5F2-E919-44B6-992A-B8179838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22</xdr:col>
      <xdr:colOff>185928</xdr:colOff>
      <xdr:row>18</xdr:row>
      <xdr:rowOff>94488</xdr:rowOff>
    </xdr:from>
    <xdr:to>
      <xdr:col>22</xdr:col>
      <xdr:colOff>185928</xdr:colOff>
      <xdr:row>21</xdr:row>
      <xdr:rowOff>12192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FFC607D4-1D92-4874-A97D-762F407BFABE}"/>
            </a:ext>
          </a:extLst>
        </xdr:cNvPr>
        <xdr:cNvCxnSpPr/>
      </xdr:nvCxnSpPr>
      <xdr:spPr>
        <a:xfrm flipV="1">
          <a:off x="14837664" y="3386328"/>
          <a:ext cx="0" cy="4663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18</xdr:row>
      <xdr:rowOff>91440</xdr:rowOff>
    </xdr:from>
    <xdr:to>
      <xdr:col>22</xdr:col>
      <xdr:colOff>187539</xdr:colOff>
      <xdr:row>18</xdr:row>
      <xdr:rowOff>92821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D5E7D0-185D-49CB-B76E-76579045B3E6}"/>
            </a:ext>
          </a:extLst>
        </xdr:cNvPr>
        <xdr:cNvCxnSpPr/>
      </xdr:nvCxnSpPr>
      <xdr:spPr>
        <a:xfrm>
          <a:off x="12704064" y="3383280"/>
          <a:ext cx="2135211" cy="138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8964</xdr:colOff>
      <xdr:row>38</xdr:row>
      <xdr:rowOff>133657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E4813E7-D42C-4428-A9C7-587FE498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27859" y="4831977"/>
          <a:ext cx="3164541" cy="2285186"/>
        </a:xfrm>
        <a:prstGeom prst="rect">
          <a:avLst/>
        </a:prstGeom>
      </xdr:spPr>
    </xdr:pic>
    <xdr:clientData/>
  </xdr:twoCellAnchor>
  <xdr:twoCellAnchor>
    <xdr:from>
      <xdr:col>21</xdr:col>
      <xdr:colOff>685800</xdr:colOff>
      <xdr:row>30</xdr:row>
      <xdr:rowOff>20054</xdr:rowOff>
    </xdr:from>
    <xdr:to>
      <xdr:col>21</xdr:col>
      <xdr:colOff>689811</xdr:colOff>
      <xdr:row>36</xdr:row>
      <xdr:rowOff>40105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31737AA5-47DF-4389-B508-3C40DBBEBAF3}"/>
            </a:ext>
          </a:extLst>
        </xdr:cNvPr>
        <xdr:cNvCxnSpPr/>
      </xdr:nvCxnSpPr>
      <xdr:spPr>
        <a:xfrm flipH="1" flipV="1">
          <a:off x="14554200" y="5719012"/>
          <a:ext cx="4011" cy="112695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397042</xdr:colOff>
      <xdr:row>30</xdr:row>
      <xdr:rowOff>28074</xdr:rowOff>
    </xdr:from>
    <xdr:to>
      <xdr:col>21</xdr:col>
      <xdr:colOff>681790</xdr:colOff>
      <xdr:row>30</xdr:row>
      <xdr:rowOff>28074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716E87DE-F8DF-4852-BA10-BCF271DC501F}"/>
            </a:ext>
          </a:extLst>
        </xdr:cNvPr>
        <xdr:cNvCxnSpPr/>
      </xdr:nvCxnSpPr>
      <xdr:spPr>
        <a:xfrm>
          <a:off x="12677274" y="5727032"/>
          <a:ext cx="1872916" cy="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FE67A1-BD6B-4C97-B7E0-F8098B55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2035629"/>
          <a:ext cx="2838236" cy="215499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54432BBA-1C1F-400E-B24F-F550485EE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BEC831B-B2ED-47A8-A657-1F109DA5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2E863F4-D701-4893-AE4A-CAD14530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8D99AF81-248D-4BE0-80A8-040D05C8A9CC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47B7B97-6D23-4FB7-82BF-485748C64731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EE5B2F1-3EBA-4889-8561-0FBEC721D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6D055D2-CF96-40B7-B67E-F75E65D2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A7F0329-D304-478B-BBA4-BAA43448E6ED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E279308-C22E-4C09-BDB8-B5535DC02B4F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F70FC80C-1EE4-44F3-A7F8-52D881A859BE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EB57A89B-0D2D-480B-9FAE-CFE7B955DEF0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227B5DB-0670-4CB8-8046-9F063A28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07F1B5A1-28C5-413D-BF40-A420B0EF2A0C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A50055A1-C499-4713-89D3-2EC6762C7B68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632603</xdr:colOff>
      <xdr:row>19</xdr:row>
      <xdr:rowOff>149524</xdr:rowOff>
    </xdr:from>
    <xdr:to>
      <xdr:col>15</xdr:col>
      <xdr:colOff>632626</xdr:colOff>
      <xdr:row>20</xdr:row>
      <xdr:rowOff>58013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D8198F25-EADE-4CBF-A035-5CBD0E43CF23}"/>
            </a:ext>
          </a:extLst>
        </xdr:cNvPr>
        <xdr:cNvCxnSpPr/>
      </xdr:nvCxnSpPr>
      <xdr:spPr>
        <a:xfrm flipH="1" flipV="1">
          <a:off x="9719094" y="3646098"/>
          <a:ext cx="23" cy="925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19</xdr:row>
      <xdr:rowOff>148211</xdr:rowOff>
    </xdr:from>
    <xdr:to>
      <xdr:col>15</xdr:col>
      <xdr:colOff>633443</xdr:colOff>
      <xdr:row>19</xdr:row>
      <xdr:rowOff>149524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18C1944-9FFD-4C82-BC4D-C5CD01098376}"/>
            </a:ext>
          </a:extLst>
        </xdr:cNvPr>
        <xdr:cNvCxnSpPr/>
      </xdr:nvCxnSpPr>
      <xdr:spPr>
        <a:xfrm flipV="1">
          <a:off x="8643668" y="3644785"/>
          <a:ext cx="1076266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294314</xdr:colOff>
      <xdr:row>17</xdr:row>
      <xdr:rowOff>34506</xdr:rowOff>
    </xdr:from>
    <xdr:to>
      <xdr:col>16</xdr:col>
      <xdr:colOff>296173</xdr:colOff>
      <xdr:row>20</xdr:row>
      <xdr:rowOff>56807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37949D71-6000-4E25-AB7B-0DE68DA3AD97}"/>
            </a:ext>
          </a:extLst>
        </xdr:cNvPr>
        <xdr:cNvCxnSpPr/>
      </xdr:nvCxnSpPr>
      <xdr:spPr>
        <a:xfrm flipV="1">
          <a:off x="10174435" y="3163019"/>
          <a:ext cx="1859" cy="57439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359432</xdr:colOff>
      <xdr:row>17</xdr:row>
      <xdr:rowOff>31630</xdr:rowOff>
    </xdr:from>
    <xdr:to>
      <xdr:col>16</xdr:col>
      <xdr:colOff>300880</xdr:colOff>
      <xdr:row>17</xdr:row>
      <xdr:rowOff>32005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EBC2FD73-DC95-495A-93C9-F8361C0B3082}"/>
            </a:ext>
          </a:extLst>
        </xdr:cNvPr>
        <xdr:cNvCxnSpPr/>
      </xdr:nvCxnSpPr>
      <xdr:spPr>
        <a:xfrm>
          <a:off x="8652292" y="3160143"/>
          <a:ext cx="1528709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26</xdr:row>
      <xdr:rowOff>0</xdr:rowOff>
    </xdr:from>
    <xdr:to>
      <xdr:col>17</xdr:col>
      <xdr:colOff>694157</xdr:colOff>
      <xdr:row>38</xdr:row>
      <xdr:rowOff>124690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FFC657F-CC9E-4726-A5AE-B9BE7E64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4974771"/>
          <a:ext cx="3078128" cy="23453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16E47D-4198-46E3-A980-FD86E37B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6903749-D861-4006-AE34-B133140DC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87035</xdr:colOff>
      <xdr:row>19</xdr:row>
      <xdr:rowOff>94488</xdr:rowOff>
    </xdr:from>
    <xdr:to>
      <xdr:col>16</xdr:col>
      <xdr:colOff>88392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B6E582A-539A-4D85-B392-2CCFFB982134}"/>
            </a:ext>
          </a:extLst>
        </xdr:cNvPr>
        <xdr:cNvCxnSpPr/>
      </xdr:nvCxnSpPr>
      <xdr:spPr>
        <a:xfrm flipV="1">
          <a:off x="9983891" y="3569208"/>
          <a:ext cx="1357" cy="1464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353568</xdr:colOff>
      <xdr:row>19</xdr:row>
      <xdr:rowOff>99444</xdr:rowOff>
    </xdr:from>
    <xdr:to>
      <xdr:col>16</xdr:col>
      <xdr:colOff>87851</xdr:colOff>
      <xdr:row>19</xdr:row>
      <xdr:rowOff>100584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2951D20-0D5F-4730-8BBD-98F117C7D6F1}"/>
            </a:ext>
          </a:extLst>
        </xdr:cNvPr>
        <xdr:cNvCxnSpPr/>
      </xdr:nvCxnSpPr>
      <xdr:spPr>
        <a:xfrm flipV="1">
          <a:off x="8665464" y="3574164"/>
          <a:ext cx="1319243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375557</xdr:colOff>
      <xdr:row>14</xdr:row>
      <xdr:rowOff>13607</xdr:rowOff>
    </xdr:from>
    <xdr:to>
      <xdr:col>16</xdr:col>
      <xdr:colOff>375950</xdr:colOff>
      <xdr:row>20</xdr:row>
      <xdr:rowOff>56807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3723AFE-9799-49FC-A902-FEB6D367B423}"/>
            </a:ext>
          </a:extLst>
        </xdr:cNvPr>
        <xdr:cNvCxnSpPr/>
      </xdr:nvCxnSpPr>
      <xdr:spPr>
        <a:xfrm flipH="1" flipV="1">
          <a:off x="10248900" y="2566307"/>
          <a:ext cx="393" cy="113721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353786</xdr:colOff>
      <xdr:row>14</xdr:row>
      <xdr:rowOff>15686</xdr:rowOff>
    </xdr:from>
    <xdr:to>
      <xdr:col>16</xdr:col>
      <xdr:colOff>382516</xdr:colOff>
      <xdr:row>14</xdr:row>
      <xdr:rowOff>16329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0DB310C-F613-4D99-8BC8-E51B2DEB4C06}"/>
            </a:ext>
          </a:extLst>
        </xdr:cNvPr>
        <xdr:cNvCxnSpPr/>
      </xdr:nvCxnSpPr>
      <xdr:spPr>
        <a:xfrm flipV="1">
          <a:off x="8643257" y="2568386"/>
          <a:ext cx="1612602" cy="64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744681</xdr:colOff>
      <xdr:row>35</xdr:row>
      <xdr:rowOff>41071</xdr:rowOff>
    </xdr:from>
    <xdr:to>
      <xdr:col>14</xdr:col>
      <xdr:colOff>745427</xdr:colOff>
      <xdr:row>36</xdr:row>
      <xdr:rowOff>6927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9EC4D5CF-3365-4D8D-BBF8-37D105586C83}"/>
            </a:ext>
          </a:extLst>
        </xdr:cNvPr>
        <xdr:cNvCxnSpPr/>
      </xdr:nvCxnSpPr>
      <xdr:spPr>
        <a:xfrm flipV="1">
          <a:off x="9053945" y="6632371"/>
          <a:ext cx="746" cy="14942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427020</xdr:colOff>
      <xdr:row>35</xdr:row>
      <xdr:rowOff>46513</xdr:rowOff>
    </xdr:from>
    <xdr:to>
      <xdr:col>14</xdr:col>
      <xdr:colOff>745572</xdr:colOff>
      <xdr:row>35</xdr:row>
      <xdr:rowOff>46979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76447056-0EF1-4570-908A-2ADE957BEAC8}"/>
            </a:ext>
          </a:extLst>
        </xdr:cNvPr>
        <xdr:cNvCxnSpPr/>
      </xdr:nvCxnSpPr>
      <xdr:spPr>
        <a:xfrm>
          <a:off x="8736284" y="6637813"/>
          <a:ext cx="318552" cy="46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28F24C-FEFB-43E5-9CE2-D2C7F89D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E6EF94C-953B-456A-9ACA-01F64A46D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72AB5A-D466-4DED-8A72-67BCAE1C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473412</xdr:colOff>
      <xdr:row>19</xdr:row>
      <xdr:rowOff>178340</xdr:rowOff>
    </xdr:from>
    <xdr:to>
      <xdr:col>15</xdr:col>
      <xdr:colOff>473736</xdr:colOff>
      <xdr:row>20</xdr:row>
      <xdr:rowOff>58013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2F1F6AB-74BA-41B3-8DD8-359ED2A21A4F}"/>
            </a:ext>
          </a:extLst>
        </xdr:cNvPr>
        <xdr:cNvCxnSpPr/>
      </xdr:nvCxnSpPr>
      <xdr:spPr>
        <a:xfrm flipH="1" flipV="1">
          <a:off x="9568774" y="3628417"/>
          <a:ext cx="324" cy="6125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353438</xdr:colOff>
      <xdr:row>19</xdr:row>
      <xdr:rowOff>180650</xdr:rowOff>
    </xdr:from>
    <xdr:to>
      <xdr:col>15</xdr:col>
      <xdr:colOff>474552</xdr:colOff>
      <xdr:row>20</xdr:row>
      <xdr:rowOff>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ABF904C-1F17-4FFB-955B-C0D635B1860B}"/>
            </a:ext>
          </a:extLst>
        </xdr:cNvPr>
        <xdr:cNvCxnSpPr/>
      </xdr:nvCxnSpPr>
      <xdr:spPr>
        <a:xfrm flipV="1">
          <a:off x="8642909" y="3645029"/>
          <a:ext cx="913050" cy="169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95164</xdr:colOff>
      <xdr:row>24</xdr:row>
      <xdr:rowOff>70816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6E3E345-892C-41F9-9687-AE6A7260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87250" y="2095500"/>
          <a:ext cx="3295564" cy="2547316"/>
        </a:xfrm>
        <a:prstGeom prst="rect">
          <a:avLst/>
        </a:prstGeom>
      </xdr:spPr>
    </xdr:pic>
    <xdr:clientData/>
  </xdr:twoCellAnchor>
  <xdr:twoCellAnchor>
    <xdr:from>
      <xdr:col>21</xdr:col>
      <xdr:colOff>84306</xdr:colOff>
      <xdr:row>19</xdr:row>
      <xdr:rowOff>12970</xdr:rowOff>
    </xdr:from>
    <xdr:to>
      <xdr:col>21</xdr:col>
      <xdr:colOff>85157</xdr:colOff>
      <xdr:row>21</xdr:row>
      <xdr:rowOff>108149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81BA235D-1CF0-4DDC-83B5-B0753EA34692}"/>
            </a:ext>
          </a:extLst>
        </xdr:cNvPr>
        <xdr:cNvCxnSpPr/>
      </xdr:nvCxnSpPr>
      <xdr:spPr>
        <a:xfrm flipH="1" flipV="1">
          <a:off x="13926766" y="3463047"/>
          <a:ext cx="851" cy="45834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440987</xdr:colOff>
      <xdr:row>19</xdr:row>
      <xdr:rowOff>16209</xdr:rowOff>
    </xdr:from>
    <xdr:to>
      <xdr:col>21</xdr:col>
      <xdr:colOff>87322</xdr:colOff>
      <xdr:row>19</xdr:row>
      <xdr:rowOff>16538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D2DAE3D1-AFE6-43D2-AB7C-3D07F8E03692}"/>
            </a:ext>
          </a:extLst>
        </xdr:cNvPr>
        <xdr:cNvCxnSpPr/>
      </xdr:nvCxnSpPr>
      <xdr:spPr>
        <a:xfrm>
          <a:off x="12701081" y="3466286"/>
          <a:ext cx="1228701" cy="32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AAE36D0-44BF-4E43-89BC-376C5DA0A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54B510-8854-4355-A7DC-021659B5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49518</xdr:colOff>
      <xdr:row>24</xdr:row>
      <xdr:rowOff>80395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AA441D0-8DF5-4062-8C3F-08193D0D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4077" y="1998785"/>
          <a:ext cx="3214749" cy="2442595"/>
        </a:xfrm>
        <a:prstGeom prst="rect">
          <a:avLst/>
        </a:prstGeom>
      </xdr:spPr>
    </xdr:pic>
    <xdr:clientData/>
  </xdr:twoCellAnchor>
  <xdr:twoCellAnchor>
    <xdr:from>
      <xdr:col>15</xdr:col>
      <xdr:colOff>312175</xdr:colOff>
      <xdr:row>19</xdr:row>
      <xdr:rowOff>68826</xdr:rowOff>
    </xdr:from>
    <xdr:to>
      <xdr:col>15</xdr:col>
      <xdr:colOff>313309</xdr:colOff>
      <xdr:row>21</xdr:row>
      <xdr:rowOff>148674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8C6F31CB-7FAD-42CC-853C-EB056248A67F}"/>
            </a:ext>
          </a:extLst>
        </xdr:cNvPr>
        <xdr:cNvCxnSpPr/>
      </xdr:nvCxnSpPr>
      <xdr:spPr>
        <a:xfrm flipH="1" flipV="1">
          <a:off x="9394723" y="3524865"/>
          <a:ext cx="1134" cy="44364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398206</xdr:colOff>
      <xdr:row>19</xdr:row>
      <xdr:rowOff>69114</xdr:rowOff>
    </xdr:from>
    <xdr:to>
      <xdr:col>15</xdr:col>
      <xdr:colOff>315628</xdr:colOff>
      <xdr:row>19</xdr:row>
      <xdr:rowOff>73742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7173BDA-A49C-49FB-8906-EF602E2E8617}"/>
            </a:ext>
          </a:extLst>
        </xdr:cNvPr>
        <xdr:cNvCxnSpPr/>
      </xdr:nvCxnSpPr>
      <xdr:spPr>
        <a:xfrm flipV="1">
          <a:off x="8689258" y="3525153"/>
          <a:ext cx="708918" cy="462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354316</xdr:colOff>
      <xdr:row>22</xdr:row>
      <xdr:rowOff>177025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D22EFB4-B8C4-42EC-8F9C-1F2E4B09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731756" cy="218870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DD26AA8-4A8B-4F4A-9F35-848462CC8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96AD0A-793D-4660-B26F-A73CC6DE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78A53C-1C8C-436C-9FB8-5A344A1A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662252</xdr:colOff>
      <xdr:row>15</xdr:row>
      <xdr:rowOff>122663</xdr:rowOff>
    </xdr:from>
    <xdr:to>
      <xdr:col>21</xdr:col>
      <xdr:colOff>665356</xdr:colOff>
      <xdr:row>21</xdr:row>
      <xdr:rowOff>12196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A5B69B9-141D-42E9-9485-04F46E784D9B}"/>
            </a:ext>
          </a:extLst>
        </xdr:cNvPr>
        <xdr:cNvCxnSpPr/>
      </xdr:nvCxnSpPr>
      <xdr:spPr>
        <a:xfrm flipV="1">
          <a:off x="14512067" y="2854712"/>
          <a:ext cx="3104" cy="98235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427464</xdr:colOff>
      <xdr:row>15</xdr:row>
      <xdr:rowOff>118946</xdr:rowOff>
    </xdr:from>
    <xdr:to>
      <xdr:col>21</xdr:col>
      <xdr:colOff>662333</xdr:colOff>
      <xdr:row>15</xdr:row>
      <xdr:rowOff>123100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479B756-A082-41F6-9B57-D4C25D763006}"/>
            </a:ext>
          </a:extLst>
        </xdr:cNvPr>
        <xdr:cNvCxnSpPr/>
      </xdr:nvCxnSpPr>
      <xdr:spPr>
        <a:xfrm>
          <a:off x="12693805" y="2850995"/>
          <a:ext cx="1818343" cy="415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98DF6CA-8DFA-45A6-9F40-95F5EE17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399D38E-5D63-4D25-81B2-719CD6A3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609600</xdr:colOff>
      <xdr:row>33</xdr:row>
      <xdr:rowOff>64168</xdr:rowOff>
    </xdr:from>
    <xdr:to>
      <xdr:col>20</xdr:col>
      <xdr:colOff>611125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A07DB50-522F-4060-85CD-F32F5E220F7A}"/>
            </a:ext>
          </a:extLst>
        </xdr:cNvPr>
        <xdr:cNvCxnSpPr/>
      </xdr:nvCxnSpPr>
      <xdr:spPr>
        <a:xfrm flipH="1" flipV="1">
          <a:off x="13683916" y="6316579"/>
          <a:ext cx="1525" cy="63795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393031</xdr:colOff>
      <xdr:row>33</xdr:row>
      <xdr:rowOff>63621</xdr:rowOff>
    </xdr:from>
    <xdr:to>
      <xdr:col>20</xdr:col>
      <xdr:colOff>613444</xdr:colOff>
      <xdr:row>33</xdr:row>
      <xdr:rowOff>72986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E48FB6A0-0409-41BD-A2E7-368DCA726BF6}"/>
            </a:ext>
          </a:extLst>
        </xdr:cNvPr>
        <xdr:cNvCxnSpPr/>
      </xdr:nvCxnSpPr>
      <xdr:spPr>
        <a:xfrm>
          <a:off x="12668158" y="6287776"/>
          <a:ext cx="1013586" cy="936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436584</xdr:colOff>
      <xdr:row>18</xdr:row>
      <xdr:rowOff>144965</xdr:rowOff>
    </xdr:from>
    <xdr:to>
      <xdr:col>24</xdr:col>
      <xdr:colOff>438615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3354B199-80F3-4EDF-A722-1F9D87CBBDBE}"/>
            </a:ext>
          </a:extLst>
        </xdr:cNvPr>
        <xdr:cNvCxnSpPr/>
      </xdr:nvCxnSpPr>
      <xdr:spPr>
        <a:xfrm flipV="1">
          <a:off x="16661608" y="3423424"/>
          <a:ext cx="2031" cy="30892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397727</xdr:colOff>
      <xdr:row>18</xdr:row>
      <xdr:rowOff>152400</xdr:rowOff>
    </xdr:from>
    <xdr:to>
      <xdr:col>24</xdr:col>
      <xdr:colOff>443151</xdr:colOff>
      <xdr:row>18</xdr:row>
      <xdr:rowOff>152681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ADEA35F-5FCA-41C3-B316-57B36C03FFDC}"/>
            </a:ext>
          </a:extLst>
        </xdr:cNvPr>
        <xdr:cNvCxnSpPr/>
      </xdr:nvCxnSpPr>
      <xdr:spPr>
        <a:xfrm>
          <a:off x="16622751" y="3430859"/>
          <a:ext cx="45424" cy="28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307169</xdr:colOff>
      <xdr:row>20</xdr:row>
      <xdr:rowOff>82658</xdr:rowOff>
    </xdr:from>
    <xdr:to>
      <xdr:col>15</xdr:col>
      <xdr:colOff>309966</xdr:colOff>
      <xdr:row>20</xdr:row>
      <xdr:rowOff>125172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734D888-CC34-414A-AD0C-33DCAFF14416}"/>
            </a:ext>
          </a:extLst>
        </xdr:cNvPr>
        <xdr:cNvCxnSpPr/>
      </xdr:nvCxnSpPr>
      <xdr:spPr>
        <a:xfrm flipV="1">
          <a:off x="9391759" y="3750590"/>
          <a:ext cx="2797" cy="4251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359044</xdr:colOff>
      <xdr:row>20</xdr:row>
      <xdr:rowOff>77492</xdr:rowOff>
    </xdr:from>
    <xdr:to>
      <xdr:col>15</xdr:col>
      <xdr:colOff>317715</xdr:colOff>
      <xdr:row>20</xdr:row>
      <xdr:rowOff>80075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FC309FE-E744-4A1D-AE02-B2128DF4485C}"/>
            </a:ext>
          </a:extLst>
        </xdr:cNvPr>
        <xdr:cNvCxnSpPr/>
      </xdr:nvCxnSpPr>
      <xdr:spPr>
        <a:xfrm>
          <a:off x="8650637" y="3745424"/>
          <a:ext cx="751668" cy="25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429986</xdr:colOff>
      <xdr:row>21</xdr:row>
      <xdr:rowOff>2060</xdr:rowOff>
    </xdr:from>
    <xdr:to>
      <xdr:col>20</xdr:col>
      <xdr:colOff>205401</xdr:colOff>
      <xdr:row>21</xdr:row>
      <xdr:rowOff>2721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F933059-F892-47AB-813E-2CF78D1A5340}"/>
            </a:ext>
          </a:extLst>
        </xdr:cNvPr>
        <xdr:cNvCxnSpPr/>
      </xdr:nvCxnSpPr>
      <xdr:spPr>
        <a:xfrm flipV="1">
          <a:off x="12679136" y="3831110"/>
          <a:ext cx="567351" cy="66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373811</xdr:colOff>
      <xdr:row>37</xdr:row>
      <xdr:rowOff>5751</xdr:rowOff>
    </xdr:from>
    <xdr:to>
      <xdr:col>15</xdr:col>
      <xdr:colOff>374487</xdr:colOff>
      <xdr:row>37</xdr:row>
      <xdr:rowOff>101627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D7E21F7A-C159-4BF1-9783-55A032EE4FD7}"/>
            </a:ext>
          </a:extLst>
        </xdr:cNvPr>
        <xdr:cNvCxnSpPr/>
      </xdr:nvCxnSpPr>
      <xdr:spPr>
        <a:xfrm flipH="1" flipV="1">
          <a:off x="9460302" y="6981645"/>
          <a:ext cx="676" cy="9587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506083</xdr:colOff>
      <xdr:row>37</xdr:row>
      <xdr:rowOff>2876</xdr:rowOff>
    </xdr:from>
    <xdr:to>
      <xdr:col>15</xdr:col>
      <xdr:colOff>379681</xdr:colOff>
      <xdr:row>37</xdr:row>
      <xdr:rowOff>3842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163CABA9-3939-4B65-B6CC-E72C7346558C}"/>
            </a:ext>
          </a:extLst>
        </xdr:cNvPr>
        <xdr:cNvCxnSpPr/>
      </xdr:nvCxnSpPr>
      <xdr:spPr>
        <a:xfrm>
          <a:off x="8798943" y="6978770"/>
          <a:ext cx="667229" cy="96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438006</xdr:colOff>
      <xdr:row>24</xdr:row>
      <xdr:rowOff>47156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9FBABAC3-F4D2-42A8-91B7-72B6D5D9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52371" y="2035629"/>
          <a:ext cx="3322721" cy="24528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371604</xdr:colOff>
      <xdr:row>23</xdr:row>
      <xdr:rowOff>61123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E430358-4414-49C5-A0C3-DC0DBC43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38287" cy="221265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1B8863C-8580-4B76-98FB-9F52FB885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D7B41F-D68F-41BD-8470-9051BEDF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DC02B7F-7454-43C5-B139-96B7099B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113489</xdr:colOff>
      <xdr:row>14</xdr:row>
      <xdr:rowOff>87549</xdr:rowOff>
    </xdr:from>
    <xdr:to>
      <xdr:col>22</xdr:col>
      <xdr:colOff>113492</xdr:colOff>
      <xdr:row>21</xdr:row>
      <xdr:rowOff>12970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AB683CC-6901-4F30-B070-460B32850822}"/>
            </a:ext>
          </a:extLst>
        </xdr:cNvPr>
        <xdr:cNvCxnSpPr/>
      </xdr:nvCxnSpPr>
      <xdr:spPr>
        <a:xfrm flipH="1" flipV="1">
          <a:off x="14747132" y="2629711"/>
          <a:ext cx="3" cy="1196502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431259</xdr:colOff>
      <xdr:row>14</xdr:row>
      <xdr:rowOff>84309</xdr:rowOff>
    </xdr:from>
    <xdr:to>
      <xdr:col>22</xdr:col>
      <xdr:colOff>116960</xdr:colOff>
      <xdr:row>14</xdr:row>
      <xdr:rowOff>88060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50A67F1-0BCC-4CB8-835D-1A30DD4EED48}"/>
            </a:ext>
          </a:extLst>
        </xdr:cNvPr>
        <xdr:cNvCxnSpPr/>
      </xdr:nvCxnSpPr>
      <xdr:spPr>
        <a:xfrm>
          <a:off x="12691353" y="2626471"/>
          <a:ext cx="2059250" cy="3751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0011EF-D4B7-4BC0-B604-BCFB2C75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171981</xdr:colOff>
      <xdr:row>32</xdr:row>
      <xdr:rowOff>17318</xdr:rowOff>
    </xdr:from>
    <xdr:to>
      <xdr:col>21</xdr:col>
      <xdr:colOff>173182</xdr:colOff>
      <xdr:row>36</xdr:row>
      <xdr:rowOff>145211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437B526-01F8-427B-99EE-CE01F6E08948}"/>
            </a:ext>
          </a:extLst>
        </xdr:cNvPr>
        <xdr:cNvCxnSpPr/>
      </xdr:nvCxnSpPr>
      <xdr:spPr>
        <a:xfrm flipV="1">
          <a:off x="14033454" y="6057900"/>
          <a:ext cx="1201" cy="86218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398318</xdr:colOff>
      <xdr:row>32</xdr:row>
      <xdr:rowOff>21754</xdr:rowOff>
    </xdr:from>
    <xdr:to>
      <xdr:col>21</xdr:col>
      <xdr:colOff>174300</xdr:colOff>
      <xdr:row>32</xdr:row>
      <xdr:rowOff>24245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C41BEBD-8F7C-45CB-AC04-F75A99628C19}"/>
            </a:ext>
          </a:extLst>
        </xdr:cNvPr>
        <xdr:cNvCxnSpPr/>
      </xdr:nvCxnSpPr>
      <xdr:spPr>
        <a:xfrm flipV="1">
          <a:off x="12673445" y="6062336"/>
          <a:ext cx="1362328" cy="249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655627</xdr:colOff>
      <xdr:row>19</xdr:row>
      <xdr:rowOff>140109</xdr:rowOff>
    </xdr:from>
    <xdr:to>
      <xdr:col>15</xdr:col>
      <xdr:colOff>656304</xdr:colOff>
      <xdr:row>20</xdr:row>
      <xdr:rowOff>181649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80B0F3B-D129-4683-BF42-56A6102E9312}"/>
            </a:ext>
          </a:extLst>
        </xdr:cNvPr>
        <xdr:cNvCxnSpPr/>
      </xdr:nvCxnSpPr>
      <xdr:spPr>
        <a:xfrm flipV="1">
          <a:off x="9738175" y="3596148"/>
          <a:ext cx="677" cy="2234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359434</xdr:colOff>
      <xdr:row>19</xdr:row>
      <xdr:rowOff>133524</xdr:rowOff>
    </xdr:from>
    <xdr:to>
      <xdr:col>15</xdr:col>
      <xdr:colOff>662193</xdr:colOff>
      <xdr:row>19</xdr:row>
      <xdr:rowOff>140830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8214362-D6EF-45E9-AF15-024027F605B9}"/>
            </a:ext>
          </a:extLst>
        </xdr:cNvPr>
        <xdr:cNvCxnSpPr/>
      </xdr:nvCxnSpPr>
      <xdr:spPr>
        <a:xfrm>
          <a:off x="8650486" y="3589563"/>
          <a:ext cx="1094255" cy="73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517343</xdr:colOff>
      <xdr:row>36</xdr:row>
      <xdr:rowOff>160565</xdr:rowOff>
    </xdr:from>
    <xdr:to>
      <xdr:col>15</xdr:col>
      <xdr:colOff>519793</xdr:colOff>
      <xdr:row>37</xdr:row>
      <xdr:rowOff>108859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FEB2F1F-12E9-4434-863B-BB98BC895AF5}"/>
            </a:ext>
          </a:extLst>
        </xdr:cNvPr>
        <xdr:cNvCxnSpPr/>
      </xdr:nvCxnSpPr>
      <xdr:spPr>
        <a:xfrm flipV="1">
          <a:off x="9598750" y="6893379"/>
          <a:ext cx="2450" cy="1306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36</xdr:row>
      <xdr:rowOff>157839</xdr:rowOff>
    </xdr:from>
    <xdr:to>
      <xdr:col>15</xdr:col>
      <xdr:colOff>523909</xdr:colOff>
      <xdr:row>36</xdr:row>
      <xdr:rowOff>162841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2F858E4-5A1F-4342-836D-12AB0AEF71D7}"/>
            </a:ext>
          </a:extLst>
        </xdr:cNvPr>
        <xdr:cNvCxnSpPr/>
      </xdr:nvCxnSpPr>
      <xdr:spPr>
        <a:xfrm>
          <a:off x="8792936" y="6890653"/>
          <a:ext cx="812380" cy="500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324255</xdr:colOff>
      <xdr:row>20</xdr:row>
      <xdr:rowOff>22697</xdr:rowOff>
    </xdr:from>
    <xdr:to>
      <xdr:col>21</xdr:col>
      <xdr:colOff>324255</xdr:colOff>
      <xdr:row>21</xdr:row>
      <xdr:rowOff>19448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74D1013E-7DA9-4FE3-A61F-AD5FC6BCC3F0}"/>
            </a:ext>
          </a:extLst>
        </xdr:cNvPr>
        <xdr:cNvCxnSpPr/>
      </xdr:nvCxnSpPr>
      <xdr:spPr>
        <a:xfrm flipV="1">
          <a:off x="14166715" y="3654357"/>
          <a:ext cx="0" cy="1783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428017</xdr:colOff>
      <xdr:row>20</xdr:row>
      <xdr:rowOff>16212</xdr:rowOff>
    </xdr:from>
    <xdr:to>
      <xdr:col>21</xdr:col>
      <xdr:colOff>327722</xdr:colOff>
      <xdr:row>20</xdr:row>
      <xdr:rowOff>23214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36A4950C-EC60-4ACD-9ADD-BA735CA5BF5D}"/>
            </a:ext>
          </a:extLst>
        </xdr:cNvPr>
        <xdr:cNvCxnSpPr/>
      </xdr:nvCxnSpPr>
      <xdr:spPr>
        <a:xfrm>
          <a:off x="12688111" y="3647872"/>
          <a:ext cx="1482071" cy="700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476990</xdr:colOff>
      <xdr:row>18</xdr:row>
      <xdr:rowOff>91440</xdr:rowOff>
    </xdr:from>
    <xdr:to>
      <xdr:col>21</xdr:col>
      <xdr:colOff>478536</xdr:colOff>
      <xdr:row>21</xdr:row>
      <xdr:rowOff>16955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E1269679-E0E4-42C5-BBFB-DDD4CCDE82EE}"/>
            </a:ext>
          </a:extLst>
        </xdr:cNvPr>
        <xdr:cNvCxnSpPr/>
      </xdr:nvCxnSpPr>
      <xdr:spPr>
        <a:xfrm flipV="1">
          <a:off x="14336246" y="3383280"/>
          <a:ext cx="1546" cy="47415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423672</xdr:colOff>
      <xdr:row>18</xdr:row>
      <xdr:rowOff>88392</xdr:rowOff>
    </xdr:from>
    <xdr:to>
      <xdr:col>21</xdr:col>
      <xdr:colOff>480457</xdr:colOff>
      <xdr:row>18</xdr:row>
      <xdr:rowOff>90824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4619F9F5-EC39-42BB-B0E3-85437ADCF14A}"/>
            </a:ext>
          </a:extLst>
        </xdr:cNvPr>
        <xdr:cNvCxnSpPr/>
      </xdr:nvCxnSpPr>
      <xdr:spPr>
        <a:xfrm>
          <a:off x="12697968" y="3380232"/>
          <a:ext cx="1641745" cy="243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404037</xdr:colOff>
      <xdr:row>34</xdr:row>
      <xdr:rowOff>155864</xdr:rowOff>
    </xdr:from>
    <xdr:to>
      <xdr:col>20</xdr:col>
      <xdr:colOff>405245</xdr:colOff>
      <xdr:row>36</xdr:row>
      <xdr:rowOff>155602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E0C83E42-1446-4AC8-9EF1-F1950C6B5C4F}"/>
            </a:ext>
          </a:extLst>
        </xdr:cNvPr>
        <xdr:cNvCxnSpPr/>
      </xdr:nvCxnSpPr>
      <xdr:spPr>
        <a:xfrm flipV="1">
          <a:off x="13472337" y="6563591"/>
          <a:ext cx="1208" cy="3668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401782</xdr:colOff>
      <xdr:row>34</xdr:row>
      <xdr:rowOff>155864</xdr:rowOff>
    </xdr:from>
    <xdr:to>
      <xdr:col>20</xdr:col>
      <xdr:colOff>406356</xdr:colOff>
      <xdr:row>34</xdr:row>
      <xdr:rowOff>160306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1597BFBA-3D20-49FC-95C6-8D076A3BED44}"/>
            </a:ext>
          </a:extLst>
        </xdr:cNvPr>
        <xdr:cNvCxnSpPr/>
      </xdr:nvCxnSpPr>
      <xdr:spPr>
        <a:xfrm>
          <a:off x="12676909" y="6563591"/>
          <a:ext cx="797747" cy="444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455696</xdr:colOff>
      <xdr:row>24</xdr:row>
      <xdr:rowOff>100223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B0508BA1-6C11-44E3-AF05-DCBD98FD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06788" y="1990725"/>
          <a:ext cx="3322721" cy="24528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388892</xdr:colOff>
      <xdr:row>23</xdr:row>
      <xdr:rowOff>130278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BDBBD81-4D6E-4DA5-A77A-DC70D55F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55575" cy="22818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50477B39-3D59-45AE-9635-95FCDFD77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2287CF-4D69-4FD7-B5F3-3671A688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4640EB-32A0-4FD8-9818-25908705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17</xdr:row>
      <xdr:rowOff>76200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CB07DF-78FB-4E0D-9F8C-5BFBF5FD317D}"/>
            </a:ext>
          </a:extLst>
        </xdr:cNvPr>
        <xdr:cNvCxnSpPr/>
      </xdr:nvCxnSpPr>
      <xdr:spPr>
        <a:xfrm flipV="1">
          <a:off x="14618150" y="3185160"/>
          <a:ext cx="3106" cy="66751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17</xdr:row>
      <xdr:rowOff>81625</xdr:rowOff>
    </xdr:from>
    <xdr:to>
      <xdr:col>21</xdr:col>
      <xdr:colOff>758975</xdr:colOff>
      <xdr:row>17</xdr:row>
      <xdr:rowOff>87418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789B66C-D6A0-4304-B9A3-BF8AB31B86F9}"/>
            </a:ext>
          </a:extLst>
        </xdr:cNvPr>
        <xdr:cNvCxnSpPr/>
      </xdr:nvCxnSpPr>
      <xdr:spPr>
        <a:xfrm>
          <a:off x="12705666" y="3190585"/>
          <a:ext cx="1912565" cy="579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2985458-CDF9-482B-B32F-AECD40C2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153548</xdr:colOff>
      <xdr:row>34</xdr:row>
      <xdr:rowOff>130277</xdr:rowOff>
    </xdr:from>
    <xdr:to>
      <xdr:col>20</xdr:col>
      <xdr:colOff>154858</xdr:colOff>
      <xdr:row>36</xdr:row>
      <xdr:rowOff>151132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6D5D649-5387-4C8E-B1FD-E48E1DFAC215}"/>
            </a:ext>
          </a:extLst>
        </xdr:cNvPr>
        <xdr:cNvCxnSpPr/>
      </xdr:nvCxnSpPr>
      <xdr:spPr>
        <a:xfrm flipV="1">
          <a:off x="13193580" y="6484374"/>
          <a:ext cx="1310" cy="38464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398207</xdr:colOff>
      <xdr:row>34</xdr:row>
      <xdr:rowOff>135193</xdr:rowOff>
    </xdr:from>
    <xdr:to>
      <xdr:col>20</xdr:col>
      <xdr:colOff>155867</xdr:colOff>
      <xdr:row>34</xdr:row>
      <xdr:rowOff>135488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EEC853D-8BD7-44CD-80B8-5E982137B4A8}"/>
            </a:ext>
          </a:extLst>
        </xdr:cNvPr>
        <xdr:cNvCxnSpPr/>
      </xdr:nvCxnSpPr>
      <xdr:spPr>
        <a:xfrm>
          <a:off x="12646742" y="6489290"/>
          <a:ext cx="549157" cy="29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640080</xdr:colOff>
      <xdr:row>20</xdr:row>
      <xdr:rowOff>158496</xdr:rowOff>
    </xdr:from>
    <xdr:to>
      <xdr:col>25</xdr:col>
      <xdr:colOff>640331</xdr:colOff>
      <xdr:row>21</xdr:row>
      <xdr:rowOff>135536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AF2CEE3D-6F57-4114-B0D3-78C78FCFFCEB}"/>
            </a:ext>
          </a:extLst>
        </xdr:cNvPr>
        <xdr:cNvCxnSpPr/>
      </xdr:nvCxnSpPr>
      <xdr:spPr>
        <a:xfrm flipH="1" flipV="1">
          <a:off x="17669256" y="3816096"/>
          <a:ext cx="251" cy="15992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445008</xdr:colOff>
      <xdr:row>20</xdr:row>
      <xdr:rowOff>164592</xdr:rowOff>
    </xdr:from>
    <xdr:to>
      <xdr:col>25</xdr:col>
      <xdr:colOff>646898</xdr:colOff>
      <xdr:row>20</xdr:row>
      <xdr:rowOff>164851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9F2F3D7E-7F7A-45DA-9E63-20030B0C9B30}"/>
            </a:ext>
          </a:extLst>
        </xdr:cNvPr>
        <xdr:cNvCxnSpPr/>
      </xdr:nvCxnSpPr>
      <xdr:spPr>
        <a:xfrm>
          <a:off x="16681704" y="3822192"/>
          <a:ext cx="994370" cy="25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294968</xdr:colOff>
      <xdr:row>21</xdr:row>
      <xdr:rowOff>2458</xdr:rowOff>
    </xdr:from>
    <xdr:to>
      <xdr:col>15</xdr:col>
      <xdr:colOff>295872</xdr:colOff>
      <xdr:row>21</xdr:row>
      <xdr:rowOff>67841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70EBF36-1FD7-41E1-B664-374EC94D769C}"/>
            </a:ext>
          </a:extLst>
        </xdr:cNvPr>
        <xdr:cNvCxnSpPr/>
      </xdr:nvCxnSpPr>
      <xdr:spPr>
        <a:xfrm flipH="1" flipV="1">
          <a:off x="9377516" y="3822290"/>
          <a:ext cx="904" cy="653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363793</xdr:colOff>
      <xdr:row>21</xdr:row>
      <xdr:rowOff>2458</xdr:rowOff>
    </xdr:from>
    <xdr:to>
      <xdr:col>15</xdr:col>
      <xdr:colOff>299146</xdr:colOff>
      <xdr:row>21</xdr:row>
      <xdr:rowOff>5639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E89E384-44CA-482B-9053-0B8D8F1D5464}"/>
            </a:ext>
          </a:extLst>
        </xdr:cNvPr>
        <xdr:cNvCxnSpPr/>
      </xdr:nvCxnSpPr>
      <xdr:spPr>
        <a:xfrm>
          <a:off x="8654845" y="3822290"/>
          <a:ext cx="726849" cy="318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7802</xdr:colOff>
      <xdr:row>19</xdr:row>
      <xdr:rowOff>131064</xdr:rowOff>
    </xdr:from>
    <xdr:to>
      <xdr:col>16</xdr:col>
      <xdr:colOff>9144</xdr:colOff>
      <xdr:row>21</xdr:row>
      <xdr:rowOff>50712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C73ED3E-94DB-4CFA-97E3-2A0C6E7D878D}"/>
            </a:ext>
          </a:extLst>
        </xdr:cNvPr>
        <xdr:cNvCxnSpPr/>
      </xdr:nvCxnSpPr>
      <xdr:spPr>
        <a:xfrm flipV="1">
          <a:off x="9904658" y="3605784"/>
          <a:ext cx="1342" cy="28540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365760</xdr:colOff>
      <xdr:row>19</xdr:row>
      <xdr:rowOff>133522</xdr:rowOff>
    </xdr:from>
    <xdr:to>
      <xdr:col>16</xdr:col>
      <xdr:colOff>14368</xdr:colOff>
      <xdr:row>19</xdr:row>
      <xdr:rowOff>135047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B067979A-E532-45A9-A31C-E2FA33EEAC2B}"/>
            </a:ext>
          </a:extLst>
        </xdr:cNvPr>
        <xdr:cNvCxnSpPr/>
      </xdr:nvCxnSpPr>
      <xdr:spPr>
        <a:xfrm>
          <a:off x="8656812" y="3589561"/>
          <a:ext cx="1231601" cy="15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600664</xdr:colOff>
      <xdr:row>37</xdr:row>
      <xdr:rowOff>63910</xdr:rowOff>
    </xdr:from>
    <xdr:to>
      <xdr:col>15</xdr:col>
      <xdr:colOff>602226</xdr:colOff>
      <xdr:row>37</xdr:row>
      <xdr:rowOff>99816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456F0014-13B5-440C-BFBE-6E00E279ED51}"/>
            </a:ext>
          </a:extLst>
        </xdr:cNvPr>
        <xdr:cNvCxnSpPr/>
      </xdr:nvCxnSpPr>
      <xdr:spPr>
        <a:xfrm flipV="1">
          <a:off x="9683212" y="6963697"/>
          <a:ext cx="1562" cy="3590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506361</xdr:colOff>
      <xdr:row>37</xdr:row>
      <xdr:rowOff>56536</xdr:rowOff>
    </xdr:from>
    <xdr:to>
      <xdr:col>15</xdr:col>
      <xdr:colOff>608854</xdr:colOff>
      <xdr:row>37</xdr:row>
      <xdr:rowOff>62193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AAC4D3C8-96A0-47A3-AC33-33A9CD68213C}"/>
            </a:ext>
          </a:extLst>
        </xdr:cNvPr>
        <xdr:cNvCxnSpPr/>
      </xdr:nvCxnSpPr>
      <xdr:spPr>
        <a:xfrm>
          <a:off x="8797413" y="6956323"/>
          <a:ext cx="893989" cy="565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311185</xdr:colOff>
      <xdr:row>24</xdr:row>
      <xdr:rowOff>125316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3579EF3-25E0-4B9A-9FA6-A7375BC9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2109" y="1981200"/>
          <a:ext cx="3179076" cy="2466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159861</xdr:colOff>
      <xdr:row>24</xdr:row>
      <xdr:rowOff>100223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3BFDAC8-BC31-4C22-9FA6-8C39E719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315438" cy="24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8195D44-5F1F-403F-9015-89CE705D0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E6D64A-E40B-40C3-9447-C1D87839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EF23ED-9D75-482B-A3C8-0060ADEC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178340</xdr:colOff>
      <xdr:row>20</xdr:row>
      <xdr:rowOff>74578</xdr:rowOff>
    </xdr:from>
    <xdr:to>
      <xdr:col>21</xdr:col>
      <xdr:colOff>178480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D1EE265-FBF0-4C3E-9DB3-269B52EBE0D2}"/>
            </a:ext>
          </a:extLst>
        </xdr:cNvPr>
        <xdr:cNvCxnSpPr/>
      </xdr:nvCxnSpPr>
      <xdr:spPr>
        <a:xfrm flipH="1" flipV="1">
          <a:off x="14020800" y="3706238"/>
          <a:ext cx="140" cy="11920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428017</xdr:colOff>
      <xdr:row>20</xdr:row>
      <xdr:rowOff>68085</xdr:rowOff>
    </xdr:from>
    <xdr:to>
      <xdr:col>21</xdr:col>
      <xdr:colOff>185047</xdr:colOff>
      <xdr:row>20</xdr:row>
      <xdr:rowOff>71857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0ECFB13-C8EE-489F-B8DC-567D19B30137}"/>
            </a:ext>
          </a:extLst>
        </xdr:cNvPr>
        <xdr:cNvCxnSpPr/>
      </xdr:nvCxnSpPr>
      <xdr:spPr>
        <a:xfrm>
          <a:off x="12688111" y="3699745"/>
          <a:ext cx="1339396" cy="377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919B893-19B1-40E6-8047-5681950E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332874</xdr:colOff>
      <xdr:row>31</xdr:row>
      <xdr:rowOff>96253</xdr:rowOff>
    </xdr:from>
    <xdr:to>
      <xdr:col>21</xdr:col>
      <xdr:colOff>334413</xdr:colOff>
      <xdr:row>36</xdr:row>
      <xdr:rowOff>152686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04AE7A9-C237-4E35-B431-53B7FE940D79}"/>
            </a:ext>
          </a:extLst>
        </xdr:cNvPr>
        <xdr:cNvCxnSpPr/>
      </xdr:nvCxnSpPr>
      <xdr:spPr>
        <a:xfrm flipH="1" flipV="1">
          <a:off x="14201274" y="5979695"/>
          <a:ext cx="1539" cy="97885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397042</xdr:colOff>
      <xdr:row>31</xdr:row>
      <xdr:rowOff>84221</xdr:rowOff>
    </xdr:from>
    <xdr:to>
      <xdr:col>21</xdr:col>
      <xdr:colOff>336732</xdr:colOff>
      <xdr:row>31</xdr:row>
      <xdr:rowOff>93572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C260D6D-9D8F-458E-B10B-DE7A7B393D4F}"/>
            </a:ext>
          </a:extLst>
        </xdr:cNvPr>
        <xdr:cNvCxnSpPr/>
      </xdr:nvCxnSpPr>
      <xdr:spPr>
        <a:xfrm>
          <a:off x="12677274" y="5967663"/>
          <a:ext cx="1527858" cy="935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249381</xdr:colOff>
      <xdr:row>21</xdr:row>
      <xdr:rowOff>17318</xdr:rowOff>
    </xdr:from>
    <xdr:to>
      <xdr:col>25</xdr:col>
      <xdr:colOff>249807</xdr:colOff>
      <xdr:row>21</xdr:row>
      <xdr:rowOff>151968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91FE0BE8-2D35-4516-9255-3B3F5F8737D6}"/>
            </a:ext>
          </a:extLst>
        </xdr:cNvPr>
        <xdr:cNvCxnSpPr/>
      </xdr:nvCxnSpPr>
      <xdr:spPr>
        <a:xfrm flipH="1" flipV="1">
          <a:off x="17283545" y="3872345"/>
          <a:ext cx="426" cy="13465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387927</xdr:colOff>
      <xdr:row>21</xdr:row>
      <xdr:rowOff>20988</xdr:rowOff>
    </xdr:from>
    <xdr:to>
      <xdr:col>25</xdr:col>
      <xdr:colOff>256374</xdr:colOff>
      <xdr:row>21</xdr:row>
      <xdr:rowOff>24246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F83E413E-0C7A-4ACC-B6D9-553B2B92F117}"/>
            </a:ext>
          </a:extLst>
        </xdr:cNvPr>
        <xdr:cNvCxnSpPr/>
      </xdr:nvCxnSpPr>
      <xdr:spPr>
        <a:xfrm flipV="1">
          <a:off x="16628918" y="3876015"/>
          <a:ext cx="661620" cy="325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90E8233-D038-4FB7-82D0-F7252B24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26</xdr:col>
      <xdr:colOff>282985</xdr:colOff>
      <xdr:row>35</xdr:row>
      <xdr:rowOff>96982</xdr:rowOff>
    </xdr:from>
    <xdr:to>
      <xdr:col>26</xdr:col>
      <xdr:colOff>284019</xdr:colOff>
      <xdr:row>36</xdr:row>
      <xdr:rowOff>97768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8EE9B521-CCC1-406C-BEC3-2C565C0501BF}"/>
            </a:ext>
          </a:extLst>
        </xdr:cNvPr>
        <xdr:cNvCxnSpPr/>
      </xdr:nvCxnSpPr>
      <xdr:spPr>
        <a:xfrm flipV="1">
          <a:off x="18110321" y="6688282"/>
          <a:ext cx="1034" cy="184359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394854</xdr:colOff>
      <xdr:row>35</xdr:row>
      <xdr:rowOff>93518</xdr:rowOff>
    </xdr:from>
    <xdr:to>
      <xdr:col>26</xdr:col>
      <xdr:colOff>289058</xdr:colOff>
      <xdr:row>35</xdr:row>
      <xdr:rowOff>97381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1F2EE94-B016-4FDE-954C-254E0D0CA722}"/>
            </a:ext>
          </a:extLst>
        </xdr:cNvPr>
        <xdr:cNvCxnSpPr/>
      </xdr:nvCxnSpPr>
      <xdr:spPr>
        <a:xfrm>
          <a:off x="16635845" y="6684818"/>
          <a:ext cx="1480549" cy="3863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465812</xdr:colOff>
      <xdr:row>21</xdr:row>
      <xdr:rowOff>43116</xdr:rowOff>
    </xdr:from>
    <xdr:to>
      <xdr:col>16</xdr:col>
      <xdr:colOff>465835</xdr:colOff>
      <xdr:row>21</xdr:row>
      <xdr:rowOff>135635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FA26C89-DEF1-45CE-9AF1-A9A2C015C4FA}"/>
            </a:ext>
          </a:extLst>
        </xdr:cNvPr>
        <xdr:cNvCxnSpPr/>
      </xdr:nvCxnSpPr>
      <xdr:spPr>
        <a:xfrm flipH="1" flipV="1">
          <a:off x="10345933" y="3907750"/>
          <a:ext cx="23" cy="925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454325</xdr:colOff>
      <xdr:row>21</xdr:row>
      <xdr:rowOff>41804</xdr:rowOff>
    </xdr:from>
    <xdr:to>
      <xdr:col>16</xdr:col>
      <xdr:colOff>466652</xdr:colOff>
      <xdr:row>21</xdr:row>
      <xdr:rowOff>43132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00D6C5F-B9CF-492E-9058-C807A85BAC09}"/>
            </a:ext>
          </a:extLst>
        </xdr:cNvPr>
        <xdr:cNvCxnSpPr/>
      </xdr:nvCxnSpPr>
      <xdr:spPr>
        <a:xfrm flipV="1">
          <a:off x="8747185" y="3906438"/>
          <a:ext cx="1599588" cy="132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304800</xdr:colOff>
      <xdr:row>19</xdr:row>
      <xdr:rowOff>181154</xdr:rowOff>
    </xdr:from>
    <xdr:to>
      <xdr:col>16</xdr:col>
      <xdr:colOff>305819</xdr:colOff>
      <xdr:row>21</xdr:row>
      <xdr:rowOff>137313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0884413-1530-4920-AB3E-EFD316A9682D}"/>
            </a:ext>
          </a:extLst>
        </xdr:cNvPr>
        <xdr:cNvCxnSpPr/>
      </xdr:nvCxnSpPr>
      <xdr:spPr>
        <a:xfrm flipH="1" flipV="1">
          <a:off x="10184921" y="3677728"/>
          <a:ext cx="1019" cy="32421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454325</xdr:colOff>
      <xdr:row>20</xdr:row>
      <xdr:rowOff>2875</xdr:rowOff>
    </xdr:from>
    <xdr:to>
      <xdr:col>16</xdr:col>
      <xdr:colOff>312385</xdr:colOff>
      <xdr:row>20</xdr:row>
      <xdr:rowOff>3246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9E1A774E-59D5-4E16-A5C3-0EBE9F5500A5}"/>
            </a:ext>
          </a:extLst>
        </xdr:cNvPr>
        <xdr:cNvCxnSpPr/>
      </xdr:nvCxnSpPr>
      <xdr:spPr>
        <a:xfrm>
          <a:off x="8747185" y="3683479"/>
          <a:ext cx="1445321" cy="37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37</xdr:row>
      <xdr:rowOff>81657</xdr:rowOff>
    </xdr:from>
    <xdr:to>
      <xdr:col>15</xdr:col>
      <xdr:colOff>436388</xdr:colOff>
      <xdr:row>37</xdr:row>
      <xdr:rowOff>86591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4168AC-D134-4DB2-B113-DCCDFD267005}"/>
            </a:ext>
          </a:extLst>
        </xdr:cNvPr>
        <xdr:cNvCxnSpPr/>
      </xdr:nvCxnSpPr>
      <xdr:spPr>
        <a:xfrm flipV="1">
          <a:off x="8804564" y="7040102"/>
          <a:ext cx="734260" cy="493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626919</xdr:colOff>
      <xdr:row>36</xdr:row>
      <xdr:rowOff>135082</xdr:rowOff>
    </xdr:from>
    <xdr:to>
      <xdr:col>15</xdr:col>
      <xdr:colOff>628847</xdr:colOff>
      <xdr:row>37</xdr:row>
      <xdr:rowOff>97502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EA6C7037-6B59-4AAA-8770-8A8E808ED4CC}"/>
            </a:ext>
          </a:extLst>
        </xdr:cNvPr>
        <xdr:cNvCxnSpPr/>
      </xdr:nvCxnSpPr>
      <xdr:spPr>
        <a:xfrm flipH="1" flipV="1">
          <a:off x="9729355" y="6909955"/>
          <a:ext cx="1928" cy="14599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491836</xdr:colOff>
      <xdr:row>36</xdr:row>
      <xdr:rowOff>135082</xdr:rowOff>
    </xdr:from>
    <xdr:to>
      <xdr:col>15</xdr:col>
      <xdr:colOff>635412</xdr:colOff>
      <xdr:row>36</xdr:row>
      <xdr:rowOff>136619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98865C1B-F91C-4ECB-B475-58B9BCAE06E2}"/>
            </a:ext>
          </a:extLst>
        </xdr:cNvPr>
        <xdr:cNvCxnSpPr/>
      </xdr:nvCxnSpPr>
      <xdr:spPr>
        <a:xfrm>
          <a:off x="8801100" y="6909955"/>
          <a:ext cx="936748" cy="153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356755</xdr:colOff>
      <xdr:row>35</xdr:row>
      <xdr:rowOff>3464</xdr:rowOff>
    </xdr:from>
    <xdr:to>
      <xdr:col>20</xdr:col>
      <xdr:colOff>360298</xdr:colOff>
      <xdr:row>36</xdr:row>
      <xdr:rowOff>179120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B55F225C-962F-406D-A63E-D41112F43DBD}"/>
            </a:ext>
          </a:extLst>
        </xdr:cNvPr>
        <xdr:cNvCxnSpPr/>
      </xdr:nvCxnSpPr>
      <xdr:spPr>
        <a:xfrm flipH="1" flipV="1">
          <a:off x="13425055" y="6594764"/>
          <a:ext cx="3543" cy="35922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398318</xdr:colOff>
      <xdr:row>34</xdr:row>
      <xdr:rowOff>178887</xdr:rowOff>
    </xdr:from>
    <xdr:to>
      <xdr:col>20</xdr:col>
      <xdr:colOff>362615</xdr:colOff>
      <xdr:row>34</xdr:row>
      <xdr:rowOff>180109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BA510048-70A5-4090-9534-1EB9DB2FA68F}"/>
            </a:ext>
          </a:extLst>
        </xdr:cNvPr>
        <xdr:cNvCxnSpPr/>
      </xdr:nvCxnSpPr>
      <xdr:spPr>
        <a:xfrm flipV="1">
          <a:off x="12673445" y="6586614"/>
          <a:ext cx="757470" cy="122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723900</xdr:colOff>
      <xdr:row>35</xdr:row>
      <xdr:rowOff>72736</xdr:rowOff>
    </xdr:from>
    <xdr:to>
      <xdr:col>25</xdr:col>
      <xdr:colOff>732559</xdr:colOff>
      <xdr:row>36</xdr:row>
      <xdr:rowOff>88763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70FEA265-A535-4C47-BD24-5009DA0D0E3D}"/>
            </a:ext>
          </a:extLst>
        </xdr:cNvPr>
        <xdr:cNvCxnSpPr/>
      </xdr:nvCxnSpPr>
      <xdr:spPr>
        <a:xfrm flipH="1" flipV="1">
          <a:off x="17758064" y="6664036"/>
          <a:ext cx="8659" cy="199600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394854</xdr:colOff>
      <xdr:row>35</xdr:row>
      <xdr:rowOff>76204</xdr:rowOff>
    </xdr:from>
    <xdr:to>
      <xdr:col>25</xdr:col>
      <xdr:colOff>727363</xdr:colOff>
      <xdr:row>35</xdr:row>
      <xdr:rowOff>76205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5084DB87-F9D3-4FA6-BC8D-8F038A1A0190}"/>
            </a:ext>
          </a:extLst>
        </xdr:cNvPr>
        <xdr:cNvCxnSpPr/>
      </xdr:nvCxnSpPr>
      <xdr:spPr>
        <a:xfrm flipV="1">
          <a:off x="16635845" y="6667504"/>
          <a:ext cx="1125682" cy="1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450807</xdr:colOff>
      <xdr:row>24</xdr:row>
      <xdr:rowOff>100223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A62F485-116A-4AF9-A493-34272E3F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2109" y="1981200"/>
          <a:ext cx="3318698" cy="24416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20240</xdr:colOff>
      <xdr:row>24</xdr:row>
      <xdr:rowOff>125316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9029A00-332F-46B1-9096-36494AB2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3564" y="1981200"/>
          <a:ext cx="3179076" cy="2466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3A357-AC1A-4427-BD99-BA79584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3943488-7ED9-4688-AE1F-674B24FBE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245D73-F1F2-41B0-B2FB-9C248DDE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326136</xdr:colOff>
      <xdr:row>20</xdr:row>
      <xdr:rowOff>60960</xdr:rowOff>
    </xdr:from>
    <xdr:to>
      <xdr:col>20</xdr:col>
      <xdr:colOff>332174</xdr:colOff>
      <xdr:row>21</xdr:row>
      <xdr:rowOff>152403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3025A04-F805-4925-8FB2-E875392EC774}"/>
            </a:ext>
          </a:extLst>
        </xdr:cNvPr>
        <xdr:cNvCxnSpPr/>
      </xdr:nvCxnSpPr>
      <xdr:spPr>
        <a:xfrm flipH="1" flipV="1">
          <a:off x="13392912" y="3718560"/>
          <a:ext cx="6038" cy="274323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20</xdr:row>
      <xdr:rowOff>66082</xdr:rowOff>
    </xdr:from>
    <xdr:to>
      <xdr:col>20</xdr:col>
      <xdr:colOff>332255</xdr:colOff>
      <xdr:row>20</xdr:row>
      <xdr:rowOff>67056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9B67F40-C089-4DC1-986D-6992F85D5352}"/>
            </a:ext>
          </a:extLst>
        </xdr:cNvPr>
        <xdr:cNvCxnSpPr/>
      </xdr:nvCxnSpPr>
      <xdr:spPr>
        <a:xfrm flipV="1">
          <a:off x="12667488" y="3723682"/>
          <a:ext cx="731543" cy="974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190F5F2-D43D-4921-B42F-9B1BB256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40365</xdr:colOff>
      <xdr:row>32</xdr:row>
      <xdr:rowOff>93518</xdr:rowOff>
    </xdr:from>
    <xdr:to>
      <xdr:col>21</xdr:col>
      <xdr:colOff>41563</xdr:colOff>
      <xdr:row>36</xdr:row>
      <xdr:rowOff>152138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E9A843D-EFFE-4AA8-865F-9142C701DEC1}"/>
            </a:ext>
          </a:extLst>
        </xdr:cNvPr>
        <xdr:cNvCxnSpPr/>
      </xdr:nvCxnSpPr>
      <xdr:spPr>
        <a:xfrm flipV="1">
          <a:off x="13901838" y="6134100"/>
          <a:ext cx="1198" cy="79291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412173</xdr:colOff>
      <xdr:row>32</xdr:row>
      <xdr:rowOff>96982</xdr:rowOff>
    </xdr:from>
    <xdr:to>
      <xdr:col>21</xdr:col>
      <xdr:colOff>42684</xdr:colOff>
      <xdr:row>32</xdr:row>
      <xdr:rowOff>97957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DB45B3B-86E4-4456-AAF9-3D07207DBB84}"/>
            </a:ext>
          </a:extLst>
        </xdr:cNvPr>
        <xdr:cNvCxnSpPr/>
      </xdr:nvCxnSpPr>
      <xdr:spPr>
        <a:xfrm>
          <a:off x="12687300" y="6137564"/>
          <a:ext cx="1216857" cy="97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561109</xdr:colOff>
      <xdr:row>20</xdr:row>
      <xdr:rowOff>69272</xdr:rowOff>
    </xdr:from>
    <xdr:to>
      <xdr:col>26</xdr:col>
      <xdr:colOff>561524</xdr:colOff>
      <xdr:row>21</xdr:row>
      <xdr:rowOff>141574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4E9C924-1DA2-451D-9F59-18973E38E7E0}"/>
            </a:ext>
          </a:extLst>
        </xdr:cNvPr>
        <xdr:cNvCxnSpPr/>
      </xdr:nvCxnSpPr>
      <xdr:spPr>
        <a:xfrm flipH="1" flipV="1">
          <a:off x="18388445" y="3740727"/>
          <a:ext cx="415" cy="25587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446809</xdr:colOff>
      <xdr:row>20</xdr:row>
      <xdr:rowOff>62345</xdr:rowOff>
    </xdr:from>
    <xdr:to>
      <xdr:col>26</xdr:col>
      <xdr:colOff>568091</xdr:colOff>
      <xdr:row>20</xdr:row>
      <xdr:rowOff>69473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68B9C0C-D846-4D0B-8A4D-EF8E5B0A52B2}"/>
            </a:ext>
          </a:extLst>
        </xdr:cNvPr>
        <xdr:cNvCxnSpPr/>
      </xdr:nvCxnSpPr>
      <xdr:spPr>
        <a:xfrm>
          <a:off x="16687800" y="3733800"/>
          <a:ext cx="1707627" cy="712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578428</xdr:colOff>
      <xdr:row>19</xdr:row>
      <xdr:rowOff>41565</xdr:rowOff>
    </xdr:from>
    <xdr:to>
      <xdr:col>26</xdr:col>
      <xdr:colOff>578428</xdr:colOff>
      <xdr:row>21</xdr:row>
      <xdr:rowOff>138546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7F77890B-E823-4308-A8FD-8DD0667E3DEF}"/>
            </a:ext>
          </a:extLst>
        </xdr:cNvPr>
        <xdr:cNvCxnSpPr/>
      </xdr:nvCxnSpPr>
      <xdr:spPr>
        <a:xfrm flipV="1">
          <a:off x="18405764" y="3529447"/>
          <a:ext cx="0" cy="464126"/>
        </a:xfrm>
        <a:prstGeom prst="line">
          <a:avLst/>
        </a:prstGeom>
        <a:ln>
          <a:solidFill>
            <a:schemeClr val="accent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450273</xdr:colOff>
      <xdr:row>19</xdr:row>
      <xdr:rowOff>41563</xdr:rowOff>
    </xdr:from>
    <xdr:to>
      <xdr:col>26</xdr:col>
      <xdr:colOff>573071</xdr:colOff>
      <xdr:row>19</xdr:row>
      <xdr:rowOff>45433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7F03919-F75B-4ACF-8361-5526EAD7E06E}"/>
            </a:ext>
          </a:extLst>
        </xdr:cNvPr>
        <xdr:cNvCxnSpPr/>
      </xdr:nvCxnSpPr>
      <xdr:spPr>
        <a:xfrm>
          <a:off x="16691264" y="3529445"/>
          <a:ext cx="1709143" cy="3870"/>
        </a:xfrm>
        <a:prstGeom prst="line">
          <a:avLst/>
        </a:prstGeom>
        <a:ln>
          <a:solidFill>
            <a:schemeClr val="accent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37</xdr:row>
      <xdr:rowOff>85593</xdr:rowOff>
    </xdr:from>
    <xdr:to>
      <xdr:col>15</xdr:col>
      <xdr:colOff>418450</xdr:colOff>
      <xdr:row>37</xdr:row>
      <xdr:rowOff>89807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EA7ECE4-B6D6-4DA5-9749-F6A2BD76A83C}"/>
            </a:ext>
          </a:extLst>
        </xdr:cNvPr>
        <xdr:cNvCxnSpPr/>
      </xdr:nvCxnSpPr>
      <xdr:spPr>
        <a:xfrm flipV="1">
          <a:off x="8792936" y="7000743"/>
          <a:ext cx="706921" cy="421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704850</xdr:colOff>
      <xdr:row>36</xdr:row>
      <xdr:rowOff>108857</xdr:rowOff>
    </xdr:from>
    <xdr:to>
      <xdr:col>15</xdr:col>
      <xdr:colOff>705253</xdr:colOff>
      <xdr:row>37</xdr:row>
      <xdr:rowOff>97604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36B95A8-06DA-4F6D-BD47-FCA8603269D4}"/>
            </a:ext>
          </a:extLst>
        </xdr:cNvPr>
        <xdr:cNvCxnSpPr/>
      </xdr:nvCxnSpPr>
      <xdr:spPr>
        <a:xfrm flipH="1" flipV="1">
          <a:off x="9786257" y="6841671"/>
          <a:ext cx="403" cy="17108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506190</xdr:colOff>
      <xdr:row>36</xdr:row>
      <xdr:rowOff>105456</xdr:rowOff>
    </xdr:from>
    <xdr:to>
      <xdr:col>15</xdr:col>
      <xdr:colOff>714541</xdr:colOff>
      <xdr:row>36</xdr:row>
      <xdr:rowOff>106132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EA06F39-00EB-4504-85F8-B9A794FC4542}"/>
            </a:ext>
          </a:extLst>
        </xdr:cNvPr>
        <xdr:cNvCxnSpPr/>
      </xdr:nvCxnSpPr>
      <xdr:spPr>
        <a:xfrm flipV="1">
          <a:off x="8795661" y="6838270"/>
          <a:ext cx="1000287" cy="67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549514</xdr:colOff>
      <xdr:row>34</xdr:row>
      <xdr:rowOff>90055</xdr:rowOff>
    </xdr:from>
    <xdr:to>
      <xdr:col>20</xdr:col>
      <xdr:colOff>550718</xdr:colOff>
      <xdr:row>36</xdr:row>
      <xdr:rowOff>148670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1490EF7-EAB0-4801-846D-B89D8B14B369}"/>
            </a:ext>
          </a:extLst>
        </xdr:cNvPr>
        <xdr:cNvCxnSpPr/>
      </xdr:nvCxnSpPr>
      <xdr:spPr>
        <a:xfrm flipV="1">
          <a:off x="13617814" y="6497782"/>
          <a:ext cx="1204" cy="42576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394855</xdr:colOff>
      <xdr:row>34</xdr:row>
      <xdr:rowOff>90057</xdr:rowOff>
    </xdr:from>
    <xdr:to>
      <xdr:col>20</xdr:col>
      <xdr:colOff>551833</xdr:colOff>
      <xdr:row>34</xdr:row>
      <xdr:rowOff>97956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75EDF2F-3E94-42CB-8678-B5BB3BA61BED}"/>
            </a:ext>
          </a:extLst>
        </xdr:cNvPr>
        <xdr:cNvCxnSpPr/>
      </xdr:nvCxnSpPr>
      <xdr:spPr>
        <a:xfrm>
          <a:off x="12669982" y="6497784"/>
          <a:ext cx="950151" cy="78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450807</xdr:colOff>
      <xdr:row>24</xdr:row>
      <xdr:rowOff>100223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DB81FB0-6249-4567-9E3F-738248E1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52371" y="2035629"/>
          <a:ext cx="3335522" cy="25059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0850CB-D099-4409-9FC9-875A106E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5F6BAEB-7FAE-4065-A14D-05CF9E7AE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21800D-8C7B-4814-B1D5-C0559509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45BE80D-864B-4281-B5EA-A497D598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426204</xdr:colOff>
      <xdr:row>20</xdr:row>
      <xdr:rowOff>180814</xdr:rowOff>
    </xdr:from>
    <xdr:to>
      <xdr:col>20</xdr:col>
      <xdr:colOff>306935</xdr:colOff>
      <xdr:row>21</xdr:row>
      <xdr:rowOff>616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286F235-885C-4F16-9755-6AD2DAFEFF84}"/>
            </a:ext>
          </a:extLst>
        </xdr:cNvPr>
        <xdr:cNvCxnSpPr/>
      </xdr:nvCxnSpPr>
      <xdr:spPr>
        <a:xfrm>
          <a:off x="12682780" y="3848746"/>
          <a:ext cx="673728" cy="319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B401E78-3BAE-4683-A895-1B2C6F08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697762</xdr:colOff>
      <xdr:row>31</xdr:row>
      <xdr:rowOff>152400</xdr:rowOff>
    </xdr:from>
    <xdr:to>
      <xdr:col>21</xdr:col>
      <xdr:colOff>697992</xdr:colOff>
      <xdr:row>36</xdr:row>
      <xdr:rowOff>151722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312EA95-5D9B-4888-B730-027FC9D34346}"/>
            </a:ext>
          </a:extLst>
        </xdr:cNvPr>
        <xdr:cNvCxnSpPr/>
      </xdr:nvCxnSpPr>
      <xdr:spPr>
        <a:xfrm flipV="1">
          <a:off x="14557018" y="5989320"/>
          <a:ext cx="230" cy="91372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405384</xdr:colOff>
      <xdr:row>31</xdr:row>
      <xdr:rowOff>158496</xdr:rowOff>
    </xdr:from>
    <xdr:to>
      <xdr:col>21</xdr:col>
      <xdr:colOff>697992</xdr:colOff>
      <xdr:row>31</xdr:row>
      <xdr:rowOff>158496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42503DC-2355-48DB-A472-2B2A6C188DA2}"/>
            </a:ext>
          </a:extLst>
        </xdr:cNvPr>
        <xdr:cNvCxnSpPr/>
      </xdr:nvCxnSpPr>
      <xdr:spPr>
        <a:xfrm>
          <a:off x="12679680" y="5995416"/>
          <a:ext cx="1877568" cy="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622571</xdr:colOff>
      <xdr:row>19</xdr:row>
      <xdr:rowOff>9727</xdr:rowOff>
    </xdr:from>
    <xdr:to>
      <xdr:col>26</xdr:col>
      <xdr:colOff>625147</xdr:colOff>
      <xdr:row>21</xdr:row>
      <xdr:rowOff>135017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CAA3C701-F0C8-44C2-9F67-20B769DA4EB1}"/>
            </a:ext>
          </a:extLst>
        </xdr:cNvPr>
        <xdr:cNvCxnSpPr/>
      </xdr:nvCxnSpPr>
      <xdr:spPr>
        <a:xfrm flipH="1" flipV="1">
          <a:off x="18420945" y="3459804"/>
          <a:ext cx="2576" cy="48845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444229</xdr:colOff>
      <xdr:row>19</xdr:row>
      <xdr:rowOff>6485</xdr:rowOff>
    </xdr:from>
    <xdr:to>
      <xdr:col>26</xdr:col>
      <xdr:colOff>628471</xdr:colOff>
      <xdr:row>19</xdr:row>
      <xdr:rowOff>6612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30FA556B-E5BF-45C9-8E66-53A44F59289E}"/>
            </a:ext>
          </a:extLst>
        </xdr:cNvPr>
        <xdr:cNvCxnSpPr/>
      </xdr:nvCxnSpPr>
      <xdr:spPr>
        <a:xfrm>
          <a:off x="16660238" y="3456562"/>
          <a:ext cx="1766607" cy="12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165098</xdr:colOff>
      <xdr:row>19</xdr:row>
      <xdr:rowOff>111071</xdr:rowOff>
    </xdr:from>
    <xdr:to>
      <xdr:col>15</xdr:col>
      <xdr:colOff>165315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A6F759A-879B-435F-BBE1-2123F82C15FD}"/>
            </a:ext>
          </a:extLst>
        </xdr:cNvPr>
        <xdr:cNvCxnSpPr/>
      </xdr:nvCxnSpPr>
      <xdr:spPr>
        <a:xfrm flipV="1">
          <a:off x="9249688" y="3595607"/>
          <a:ext cx="217" cy="13033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353878</xdr:colOff>
      <xdr:row>19</xdr:row>
      <xdr:rowOff>114633</xdr:rowOff>
    </xdr:from>
    <xdr:to>
      <xdr:col>15</xdr:col>
      <xdr:colOff>171080</xdr:colOff>
      <xdr:row>19</xdr:row>
      <xdr:rowOff>116237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4C4D6B6-3F5E-4D25-B1D3-0EC14EF2DA98}"/>
            </a:ext>
          </a:extLst>
        </xdr:cNvPr>
        <xdr:cNvCxnSpPr/>
      </xdr:nvCxnSpPr>
      <xdr:spPr>
        <a:xfrm flipV="1">
          <a:off x="8645471" y="3599169"/>
          <a:ext cx="610199" cy="160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359664</xdr:colOff>
      <xdr:row>34</xdr:row>
      <xdr:rowOff>30480</xdr:rowOff>
    </xdr:from>
    <xdr:to>
      <xdr:col>21</xdr:col>
      <xdr:colOff>359664</xdr:colOff>
      <xdr:row>36</xdr:row>
      <xdr:rowOff>152400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9D720701-86E1-4210-BCDB-B2650CCC18CE}"/>
            </a:ext>
          </a:extLst>
        </xdr:cNvPr>
        <xdr:cNvCxnSpPr/>
      </xdr:nvCxnSpPr>
      <xdr:spPr>
        <a:xfrm flipV="1">
          <a:off x="14218920" y="6416040"/>
          <a:ext cx="0" cy="48768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390144</xdr:colOff>
      <xdr:row>34</xdr:row>
      <xdr:rowOff>36576</xdr:rowOff>
    </xdr:from>
    <xdr:to>
      <xdr:col>21</xdr:col>
      <xdr:colOff>365760</xdr:colOff>
      <xdr:row>34</xdr:row>
      <xdr:rowOff>39624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3209DE5E-537C-485B-80A4-2E25AD2FCBB0}"/>
            </a:ext>
          </a:extLst>
        </xdr:cNvPr>
        <xdr:cNvCxnSpPr/>
      </xdr:nvCxnSpPr>
      <xdr:spPr>
        <a:xfrm flipV="1">
          <a:off x="12664440" y="6422136"/>
          <a:ext cx="1560576" cy="30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346317</xdr:colOff>
      <xdr:row>28</xdr:row>
      <xdr:rowOff>172528</xdr:rowOff>
    </xdr:from>
    <xdr:to>
      <xdr:col>22</xdr:col>
      <xdr:colOff>347932</xdr:colOff>
      <xdr:row>36</xdr:row>
      <xdr:rowOff>179858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4FB5D8C8-04FB-4BA4-B027-446C593FDBA0}"/>
            </a:ext>
          </a:extLst>
        </xdr:cNvPr>
        <xdr:cNvCxnSpPr/>
      </xdr:nvCxnSpPr>
      <xdr:spPr>
        <a:xfrm flipV="1">
          <a:off x="14988219" y="5492151"/>
          <a:ext cx="1615" cy="147957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399690</xdr:colOff>
      <xdr:row>28</xdr:row>
      <xdr:rowOff>166768</xdr:rowOff>
    </xdr:from>
    <xdr:to>
      <xdr:col>22</xdr:col>
      <xdr:colOff>349422</xdr:colOff>
      <xdr:row>28</xdr:row>
      <xdr:rowOff>171905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10C0E7D6-6597-4A02-A115-FBFDF52BD36D}"/>
            </a:ext>
          </a:extLst>
        </xdr:cNvPr>
        <xdr:cNvCxnSpPr/>
      </xdr:nvCxnSpPr>
      <xdr:spPr>
        <a:xfrm>
          <a:off x="12660701" y="5486391"/>
          <a:ext cx="2330623" cy="513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317101</xdr:colOff>
      <xdr:row>21</xdr:row>
      <xdr:rowOff>48638</xdr:rowOff>
    </xdr:from>
    <xdr:to>
      <xdr:col>26</xdr:col>
      <xdr:colOff>321013</xdr:colOff>
      <xdr:row>21</xdr:row>
      <xdr:rowOff>131771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EE707783-8450-494B-887E-A253F5E68049}"/>
            </a:ext>
          </a:extLst>
        </xdr:cNvPr>
        <xdr:cNvCxnSpPr/>
      </xdr:nvCxnSpPr>
      <xdr:spPr>
        <a:xfrm flipV="1">
          <a:off x="18115475" y="3861881"/>
          <a:ext cx="3912" cy="8313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450714</xdr:colOff>
      <xdr:row>21</xdr:row>
      <xdr:rowOff>51880</xdr:rowOff>
    </xdr:from>
    <xdr:to>
      <xdr:col>26</xdr:col>
      <xdr:colOff>317771</xdr:colOff>
      <xdr:row>21</xdr:row>
      <xdr:rowOff>55123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34759BEA-651C-4033-B5E0-6D9A9F004B53}"/>
            </a:ext>
          </a:extLst>
        </xdr:cNvPr>
        <xdr:cNvCxnSpPr/>
      </xdr:nvCxnSpPr>
      <xdr:spPr>
        <a:xfrm>
          <a:off x="16666723" y="3865123"/>
          <a:ext cx="1449422" cy="324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349936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4CDC67E7-F60E-4E27-BEEE-2CC06F730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C6BAA0-78AE-4A92-9274-8A771661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651542</xdr:colOff>
      <xdr:row>21</xdr:row>
      <xdr:rowOff>22303</xdr:rowOff>
    </xdr:from>
    <xdr:to>
      <xdr:col>15</xdr:col>
      <xdr:colOff>657922</xdr:colOff>
      <xdr:row>21</xdr:row>
      <xdr:rowOff>91907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975D52B-BED2-487A-9C7F-B4AB013AB20A}"/>
            </a:ext>
          </a:extLst>
        </xdr:cNvPr>
        <xdr:cNvCxnSpPr/>
      </xdr:nvCxnSpPr>
      <xdr:spPr>
        <a:xfrm flipV="1">
          <a:off x="9750937" y="3847171"/>
          <a:ext cx="6380" cy="6960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21</xdr:row>
      <xdr:rowOff>21295</xdr:rowOff>
    </xdr:from>
    <xdr:to>
      <xdr:col>15</xdr:col>
      <xdr:colOff>647733</xdr:colOff>
      <xdr:row>21</xdr:row>
      <xdr:rowOff>22303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DF36E36-C1AC-4119-80AB-CE82D1FC364A}"/>
            </a:ext>
          </a:extLst>
        </xdr:cNvPr>
        <xdr:cNvCxnSpPr/>
      </xdr:nvCxnSpPr>
      <xdr:spPr>
        <a:xfrm flipH="1">
          <a:off x="8764859" y="3846163"/>
          <a:ext cx="982269" cy="100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182136</xdr:colOff>
      <xdr:row>21</xdr:row>
      <xdr:rowOff>40888</xdr:rowOff>
    </xdr:from>
    <xdr:to>
      <xdr:col>16</xdr:col>
      <xdr:colOff>182443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1241DED-5164-4E31-884A-3A4F7B77E789}"/>
            </a:ext>
          </a:extLst>
        </xdr:cNvPr>
        <xdr:cNvCxnSpPr/>
      </xdr:nvCxnSpPr>
      <xdr:spPr>
        <a:xfrm flipH="1" flipV="1">
          <a:off x="10073268" y="3865756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446048</xdr:colOff>
      <xdr:row>21</xdr:row>
      <xdr:rowOff>37171</xdr:rowOff>
    </xdr:from>
    <xdr:to>
      <xdr:col>16</xdr:col>
      <xdr:colOff>182495</xdr:colOff>
      <xdr:row>21</xdr:row>
      <xdr:rowOff>41178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F9007E5-13BA-4359-8ECD-4C92BCD43493}"/>
            </a:ext>
          </a:extLst>
        </xdr:cNvPr>
        <xdr:cNvCxnSpPr/>
      </xdr:nvCxnSpPr>
      <xdr:spPr>
        <a:xfrm>
          <a:off x="8753707" y="3862039"/>
          <a:ext cx="1319920" cy="400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7216E0F-4595-4DC8-B367-1CF11DE2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5F27D9F-FEDB-423C-AC73-F685FEBCD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48535" y="2000865"/>
          <a:ext cx="3065487" cy="2307452"/>
        </a:xfrm>
        <a:prstGeom prst="rect">
          <a:avLst/>
        </a:prstGeom>
      </xdr:spPr>
    </xdr:pic>
    <xdr:clientData/>
  </xdr:twoCellAnchor>
  <xdr:twoCellAnchor>
    <xdr:from>
      <xdr:col>22</xdr:col>
      <xdr:colOff>103632</xdr:colOff>
      <xdr:row>18</xdr:row>
      <xdr:rowOff>124968</xdr:rowOff>
    </xdr:from>
    <xdr:to>
      <xdr:col>22</xdr:col>
      <xdr:colOff>105811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7EBCC453-1CB7-42A3-A888-333DAF6E312B}"/>
            </a:ext>
          </a:extLst>
        </xdr:cNvPr>
        <xdr:cNvCxnSpPr/>
      </xdr:nvCxnSpPr>
      <xdr:spPr>
        <a:xfrm flipH="1" flipV="1">
          <a:off x="14755368" y="3416808"/>
          <a:ext cx="2179" cy="43586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423672</xdr:colOff>
      <xdr:row>18</xdr:row>
      <xdr:rowOff>124968</xdr:rowOff>
    </xdr:from>
    <xdr:to>
      <xdr:col>22</xdr:col>
      <xdr:colOff>105893</xdr:colOff>
      <xdr:row>18</xdr:row>
      <xdr:rowOff>129294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75392270-878B-49AC-AE70-E2292717894B}"/>
            </a:ext>
          </a:extLst>
        </xdr:cNvPr>
        <xdr:cNvCxnSpPr/>
      </xdr:nvCxnSpPr>
      <xdr:spPr>
        <a:xfrm>
          <a:off x="12697968" y="3416808"/>
          <a:ext cx="2059661" cy="432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484911</xdr:colOff>
      <xdr:row>23</xdr:row>
      <xdr:rowOff>1770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35426596-B586-4203-9437-2C7F7E10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82110" y="1981200"/>
          <a:ext cx="2854036" cy="2163079"/>
        </a:xfrm>
        <a:prstGeom prst="rect">
          <a:avLst/>
        </a:prstGeom>
      </xdr:spPr>
    </xdr:pic>
    <xdr:clientData/>
  </xdr:twoCellAnchor>
  <xdr:twoCellAnchor editAs="oneCell">
    <xdr:from>
      <xdr:col>19</xdr:col>
      <xdr:colOff>19907</xdr:colOff>
      <xdr:row>26</xdr:row>
      <xdr:rowOff>43353</xdr:rowOff>
    </xdr:from>
    <xdr:to>
      <xdr:col>23</xdr:col>
      <xdr:colOff>2131</xdr:colOff>
      <xdr:row>39</xdr:row>
      <xdr:rowOff>45123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6106DD9-CFFC-47F4-B3BF-7C9CE773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70522" y="4937738"/>
          <a:ext cx="3147456" cy="23639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277091</xdr:colOff>
      <xdr:row>19</xdr:row>
      <xdr:rowOff>155863</xdr:rowOff>
    </xdr:from>
    <xdr:to>
      <xdr:col>16</xdr:col>
      <xdr:colOff>286523</xdr:colOff>
      <xdr:row>21</xdr:row>
      <xdr:rowOff>100768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11AE5020-11EF-4637-B688-5E20D863E7E4}"/>
            </a:ext>
          </a:extLst>
        </xdr:cNvPr>
        <xdr:cNvCxnSpPr/>
      </xdr:nvCxnSpPr>
      <xdr:spPr>
        <a:xfrm flipH="1" flipV="1">
          <a:off x="10172700" y="3643745"/>
          <a:ext cx="9432" cy="312050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443345</xdr:colOff>
      <xdr:row>19</xdr:row>
      <xdr:rowOff>155475</xdr:rowOff>
    </xdr:from>
    <xdr:to>
      <xdr:col>16</xdr:col>
      <xdr:colOff>286573</xdr:colOff>
      <xdr:row>19</xdr:row>
      <xdr:rowOff>155863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94F01A58-7BA6-4B5E-828C-109705C9FDF7}"/>
            </a:ext>
          </a:extLst>
        </xdr:cNvPr>
        <xdr:cNvCxnSpPr/>
      </xdr:nvCxnSpPr>
      <xdr:spPr>
        <a:xfrm flipV="1">
          <a:off x="8752609" y="3643357"/>
          <a:ext cx="1429573" cy="388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761633</xdr:colOff>
      <xdr:row>17</xdr:row>
      <xdr:rowOff>170688</xdr:rowOff>
    </xdr:from>
    <xdr:to>
      <xdr:col>24</xdr:col>
      <xdr:colOff>762000</xdr:colOff>
      <xdr:row>20</xdr:row>
      <xdr:rowOff>84379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217A2E31-EF2B-44ED-9096-FB208CF0CFB4}"/>
            </a:ext>
          </a:extLst>
        </xdr:cNvPr>
        <xdr:cNvCxnSpPr/>
      </xdr:nvCxnSpPr>
      <xdr:spPr>
        <a:xfrm flipV="1">
          <a:off x="16998329" y="3279648"/>
          <a:ext cx="367" cy="46233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393192</xdr:colOff>
      <xdr:row>17</xdr:row>
      <xdr:rowOff>173736</xdr:rowOff>
    </xdr:from>
    <xdr:to>
      <xdr:col>24</xdr:col>
      <xdr:colOff>761684</xdr:colOff>
      <xdr:row>17</xdr:row>
      <xdr:rowOff>174141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3D0D6D92-D76C-42B5-8D3D-DD1100B310BF}"/>
            </a:ext>
          </a:extLst>
        </xdr:cNvPr>
        <xdr:cNvCxnSpPr/>
      </xdr:nvCxnSpPr>
      <xdr:spPr>
        <a:xfrm>
          <a:off x="16629888" y="3282696"/>
          <a:ext cx="368492" cy="405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2655</xdr:colOff>
      <xdr:row>34</xdr:row>
      <xdr:rowOff>112918</xdr:rowOff>
    </xdr:from>
    <xdr:to>
      <xdr:col>21</xdr:col>
      <xdr:colOff>6471</xdr:colOff>
      <xdr:row>36</xdr:row>
      <xdr:rowOff>87375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91070E42-55D3-44C6-9BA2-38874E0CF429}"/>
            </a:ext>
          </a:extLst>
        </xdr:cNvPr>
        <xdr:cNvCxnSpPr/>
      </xdr:nvCxnSpPr>
      <xdr:spPr>
        <a:xfrm flipH="1" flipV="1">
          <a:off x="13835886" y="6460964"/>
          <a:ext cx="3816" cy="33787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402898</xdr:colOff>
      <xdr:row>34</xdr:row>
      <xdr:rowOff>118669</xdr:rowOff>
    </xdr:from>
    <xdr:to>
      <xdr:col>21</xdr:col>
      <xdr:colOff>6522</xdr:colOff>
      <xdr:row>34</xdr:row>
      <xdr:rowOff>119812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295A260D-34D8-4255-BC1B-AD3E94A2D35D}"/>
            </a:ext>
          </a:extLst>
        </xdr:cNvPr>
        <xdr:cNvCxnSpPr/>
      </xdr:nvCxnSpPr>
      <xdr:spPr>
        <a:xfrm>
          <a:off x="12653513" y="6466715"/>
          <a:ext cx="1186240" cy="114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388892</xdr:colOff>
      <xdr:row>23</xdr:row>
      <xdr:rowOff>130278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FE4E032-E5FA-4978-90D3-5E1ACD3F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755575" cy="22818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4B31CB3-9864-48C5-A447-3B92CF90E4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0A7156-C3D3-42A7-B971-C2E2E360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3451" y="2019300"/>
          <a:ext cx="3072190" cy="2327564"/>
        </a:xfrm>
        <a:prstGeom prst="rect">
          <a:avLst/>
        </a:prstGeom>
      </xdr:spPr>
    </xdr:pic>
    <xdr:clientData/>
  </xdr:twoCellAnchor>
  <xdr:twoCellAnchor>
    <xdr:from>
      <xdr:col>22</xdr:col>
      <xdr:colOff>184470</xdr:colOff>
      <xdr:row>18</xdr:row>
      <xdr:rowOff>83128</xdr:rowOff>
    </xdr:from>
    <xdr:to>
      <xdr:col>22</xdr:col>
      <xdr:colOff>190500</xdr:colOff>
      <xdr:row>21</xdr:row>
      <xdr:rowOff>15660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0B3D799-BF4F-4DB8-AC05-BCFA35AD6EDF}"/>
            </a:ext>
          </a:extLst>
        </xdr:cNvPr>
        <xdr:cNvCxnSpPr/>
      </xdr:nvCxnSpPr>
      <xdr:spPr>
        <a:xfrm flipV="1">
          <a:off x="14839115" y="3387437"/>
          <a:ext cx="6030" cy="48325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18</xdr:row>
      <xdr:rowOff>87472</xdr:rowOff>
    </xdr:from>
    <xdr:to>
      <xdr:col>22</xdr:col>
      <xdr:colOff>187038</xdr:colOff>
      <xdr:row>18</xdr:row>
      <xdr:rowOff>87472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B694AEA-6570-410B-96F1-065717C0D259}"/>
            </a:ext>
          </a:extLst>
        </xdr:cNvPr>
        <xdr:cNvCxnSpPr/>
      </xdr:nvCxnSpPr>
      <xdr:spPr>
        <a:xfrm>
          <a:off x="12689531" y="3388611"/>
          <a:ext cx="2133073" cy="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9F7E22-4D0F-4631-B3E8-543AA68B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548932</xdr:colOff>
      <xdr:row>33</xdr:row>
      <xdr:rowOff>103762</xdr:rowOff>
    </xdr:from>
    <xdr:to>
      <xdr:col>20</xdr:col>
      <xdr:colOff>551234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2F17C7CA-13DF-480D-9310-53E07107EBD8}"/>
            </a:ext>
          </a:extLst>
        </xdr:cNvPr>
        <xdr:cNvCxnSpPr/>
      </xdr:nvCxnSpPr>
      <xdr:spPr>
        <a:xfrm flipV="1">
          <a:off x="13600209" y="6264613"/>
          <a:ext cx="2302" cy="58966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395591</xdr:colOff>
      <xdr:row>33</xdr:row>
      <xdr:rowOff>107004</xdr:rowOff>
    </xdr:from>
    <xdr:to>
      <xdr:col>20</xdr:col>
      <xdr:colOff>551251</xdr:colOff>
      <xdr:row>33</xdr:row>
      <xdr:rowOff>109450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B3F69BA2-433F-4EB3-A6F0-C139AF3F6531}"/>
            </a:ext>
          </a:extLst>
        </xdr:cNvPr>
        <xdr:cNvCxnSpPr/>
      </xdr:nvCxnSpPr>
      <xdr:spPr>
        <a:xfrm>
          <a:off x="12655685" y="6267855"/>
          <a:ext cx="946843" cy="244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18FEA9D-8CDC-4A41-BBEC-9D062F2B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B7FFCEF1-9732-4855-8E39-2E5AE9CC51E2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9936F5D6-9A85-4ADC-AF53-F0400CC1E31E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340179</xdr:colOff>
      <xdr:row>20</xdr:row>
      <xdr:rowOff>111579</xdr:rowOff>
    </xdr:from>
    <xdr:to>
      <xdr:col>15</xdr:col>
      <xdr:colOff>340790</xdr:colOff>
      <xdr:row>21</xdr:row>
      <xdr:rowOff>45039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8BE2BA0-086E-4203-892A-7E82E49022B0}"/>
            </a:ext>
          </a:extLst>
        </xdr:cNvPr>
        <xdr:cNvCxnSpPr/>
      </xdr:nvCxnSpPr>
      <xdr:spPr>
        <a:xfrm flipH="1" flipV="1">
          <a:off x="9421586" y="3758293"/>
          <a:ext cx="611" cy="1157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353786</xdr:colOff>
      <xdr:row>20</xdr:row>
      <xdr:rowOff>112537</xdr:rowOff>
    </xdr:from>
    <xdr:to>
      <xdr:col>15</xdr:col>
      <xdr:colOff>344849</xdr:colOff>
      <xdr:row>20</xdr:row>
      <xdr:rowOff>114300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FEC8A62-29A7-4903-979C-E5A78AD2B2D3}"/>
            </a:ext>
          </a:extLst>
        </xdr:cNvPr>
        <xdr:cNvCxnSpPr/>
      </xdr:nvCxnSpPr>
      <xdr:spPr>
        <a:xfrm flipV="1">
          <a:off x="8643257" y="3759251"/>
          <a:ext cx="782999" cy="176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649450</xdr:colOff>
      <xdr:row>34</xdr:row>
      <xdr:rowOff>45396</xdr:rowOff>
    </xdr:from>
    <xdr:to>
      <xdr:col>20</xdr:col>
      <xdr:colOff>651753</xdr:colOff>
      <xdr:row>36</xdr:row>
      <xdr:rowOff>142184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866E7651-C04B-4EAD-B9E0-557E6568C95A}"/>
            </a:ext>
          </a:extLst>
        </xdr:cNvPr>
        <xdr:cNvCxnSpPr/>
      </xdr:nvCxnSpPr>
      <xdr:spPr>
        <a:xfrm flipV="1">
          <a:off x="13700727" y="6387830"/>
          <a:ext cx="2303" cy="45995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395591</xdr:colOff>
      <xdr:row>34</xdr:row>
      <xdr:rowOff>51881</xdr:rowOff>
    </xdr:from>
    <xdr:to>
      <xdr:col>20</xdr:col>
      <xdr:colOff>651769</xdr:colOff>
      <xdr:row>34</xdr:row>
      <xdr:rowOff>54327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637CFE55-2D94-42B6-8D6C-EFCEB386952B}"/>
            </a:ext>
          </a:extLst>
        </xdr:cNvPr>
        <xdr:cNvCxnSpPr/>
      </xdr:nvCxnSpPr>
      <xdr:spPr>
        <a:xfrm>
          <a:off x="12655685" y="6394315"/>
          <a:ext cx="1047361" cy="24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484909</xdr:colOff>
      <xdr:row>38</xdr:row>
      <xdr:rowOff>1770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A2F6CAA1-860B-499C-AE1F-265A4768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94077" y="4894385"/>
          <a:ext cx="2858832" cy="2182262"/>
        </a:xfrm>
        <a:prstGeom prst="rect">
          <a:avLst/>
        </a:prstGeom>
      </xdr:spPr>
    </xdr:pic>
    <xdr:clientData/>
  </xdr:twoCellAnchor>
  <xdr:twoCellAnchor>
    <xdr:from>
      <xdr:col>15</xdr:col>
      <xdr:colOff>250556</xdr:colOff>
      <xdr:row>31</xdr:row>
      <xdr:rowOff>134319</xdr:rowOff>
    </xdr:from>
    <xdr:to>
      <xdr:col>15</xdr:col>
      <xdr:colOff>254140</xdr:colOff>
      <xdr:row>35</xdr:row>
      <xdr:rowOff>89616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544C632F-5BF7-4701-9378-7DC32A1DEEFA}"/>
            </a:ext>
          </a:extLst>
        </xdr:cNvPr>
        <xdr:cNvCxnSpPr/>
      </xdr:nvCxnSpPr>
      <xdr:spPr>
        <a:xfrm flipH="1" flipV="1">
          <a:off x="9335146" y="5987512"/>
          <a:ext cx="3584" cy="68888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397790</xdr:colOff>
      <xdr:row>31</xdr:row>
      <xdr:rowOff>134319</xdr:rowOff>
    </xdr:from>
    <xdr:to>
      <xdr:col>15</xdr:col>
      <xdr:colOff>259018</xdr:colOff>
      <xdr:row>31</xdr:row>
      <xdr:rowOff>139395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6A4ADC5-5113-4003-9321-048EC68FBD62}"/>
            </a:ext>
          </a:extLst>
        </xdr:cNvPr>
        <xdr:cNvCxnSpPr/>
      </xdr:nvCxnSpPr>
      <xdr:spPr>
        <a:xfrm>
          <a:off x="8689383" y="5987512"/>
          <a:ext cx="654225" cy="507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335B7F5-F59B-4C39-86A3-7AB69C121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157563</xdr:colOff>
      <xdr:row>11</xdr:row>
      <xdr:rowOff>0</xdr:rowOff>
    </xdr:from>
    <xdr:to>
      <xdr:col>18</xdr:col>
      <xdr:colOff>52959</xdr:colOff>
      <xdr:row>23</xdr:row>
      <xdr:rowOff>124691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9192CA-036B-4C20-B0B3-BA182F84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9156" y="2017363"/>
          <a:ext cx="3067383" cy="2325450"/>
        </a:xfrm>
        <a:prstGeom prst="rect">
          <a:avLst/>
        </a:prstGeom>
      </xdr:spPr>
    </xdr:pic>
    <xdr:clientData/>
  </xdr:twoCellAnchor>
  <xdr:twoCellAnchor>
    <xdr:from>
      <xdr:col>17</xdr:col>
      <xdr:colOff>348162</xdr:colOff>
      <xdr:row>18</xdr:row>
      <xdr:rowOff>85241</xdr:rowOff>
    </xdr:from>
    <xdr:to>
      <xdr:col>17</xdr:col>
      <xdr:colOff>351292</xdr:colOff>
      <xdr:row>21</xdr:row>
      <xdr:rowOff>12195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96A4798D-4A98-46ED-A4F4-8CECFE197301}"/>
            </a:ext>
          </a:extLst>
        </xdr:cNvPr>
        <xdr:cNvCxnSpPr/>
      </xdr:nvCxnSpPr>
      <xdr:spPr>
        <a:xfrm flipV="1">
          <a:off x="11018745" y="3386380"/>
          <a:ext cx="3130" cy="4771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583767</xdr:colOff>
      <xdr:row>18</xdr:row>
      <xdr:rowOff>85241</xdr:rowOff>
    </xdr:from>
    <xdr:to>
      <xdr:col>17</xdr:col>
      <xdr:colOff>353409</xdr:colOff>
      <xdr:row>18</xdr:row>
      <xdr:rowOff>85862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55E5EC8A-E341-4BF4-8FA1-B43A5962E147}"/>
            </a:ext>
          </a:extLst>
        </xdr:cNvPr>
        <xdr:cNvCxnSpPr/>
      </xdr:nvCxnSpPr>
      <xdr:spPr>
        <a:xfrm>
          <a:off x="8875360" y="3386380"/>
          <a:ext cx="2148632" cy="62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484909</xdr:colOff>
      <xdr:row>38</xdr:row>
      <xdr:rowOff>1770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F86A14F-A541-4BCF-96CE-3A24E1FAD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4831976"/>
          <a:ext cx="2851592" cy="2153300"/>
        </a:xfrm>
        <a:prstGeom prst="rect">
          <a:avLst/>
        </a:prstGeom>
      </xdr:spPr>
    </xdr:pic>
    <xdr:clientData/>
  </xdr:twoCellAnchor>
  <xdr:twoCellAnchor>
    <xdr:from>
      <xdr:col>14</xdr:col>
      <xdr:colOff>525539</xdr:colOff>
      <xdr:row>33</xdr:row>
      <xdr:rowOff>139485</xdr:rowOff>
    </xdr:from>
    <xdr:to>
      <xdr:col>14</xdr:col>
      <xdr:colOff>526943</xdr:colOff>
      <xdr:row>35</xdr:row>
      <xdr:rowOff>89614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51D6260A-4175-4FBC-880B-88A8C0F1892F}"/>
            </a:ext>
          </a:extLst>
        </xdr:cNvPr>
        <xdr:cNvCxnSpPr/>
      </xdr:nvCxnSpPr>
      <xdr:spPr>
        <a:xfrm flipV="1">
          <a:off x="8817132" y="6359471"/>
          <a:ext cx="1404" cy="31692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397790</xdr:colOff>
      <xdr:row>33</xdr:row>
      <xdr:rowOff>134319</xdr:rowOff>
    </xdr:from>
    <xdr:to>
      <xdr:col>14</xdr:col>
      <xdr:colOff>532109</xdr:colOff>
      <xdr:row>33</xdr:row>
      <xdr:rowOff>136901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245CB8B-1EF4-4B80-8DE6-3D43E407A815}"/>
            </a:ext>
          </a:extLst>
        </xdr:cNvPr>
        <xdr:cNvCxnSpPr/>
      </xdr:nvCxnSpPr>
      <xdr:spPr>
        <a:xfrm>
          <a:off x="8689383" y="6354305"/>
          <a:ext cx="134319" cy="258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CFA3239-5A59-4F2F-9589-02BD6277B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DACA7E-88F7-47A8-88A7-17B3667B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D7B7D9B-B842-4611-955A-3B094114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21383</xdr:colOff>
      <xdr:row>18</xdr:row>
      <xdr:rowOff>160564</xdr:rowOff>
    </xdr:from>
    <xdr:to>
      <xdr:col>22</xdr:col>
      <xdr:colOff>21772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CCB2183-235D-4AE4-B23B-BA8E1F90F127}"/>
            </a:ext>
          </a:extLst>
        </xdr:cNvPr>
        <xdr:cNvCxnSpPr/>
      </xdr:nvCxnSpPr>
      <xdr:spPr>
        <a:xfrm flipV="1">
          <a:off x="14646340" y="3442607"/>
          <a:ext cx="389" cy="39863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424543</xdr:colOff>
      <xdr:row>18</xdr:row>
      <xdr:rowOff>160564</xdr:rowOff>
    </xdr:from>
    <xdr:to>
      <xdr:col>22</xdr:col>
      <xdr:colOff>24185</xdr:colOff>
      <xdr:row>18</xdr:row>
      <xdr:rowOff>165251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CD62CD-7075-439D-B3AA-96329DC1334D}"/>
            </a:ext>
          </a:extLst>
        </xdr:cNvPr>
        <xdr:cNvCxnSpPr/>
      </xdr:nvCxnSpPr>
      <xdr:spPr>
        <a:xfrm>
          <a:off x="12673693" y="3442607"/>
          <a:ext cx="1975449" cy="468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57A0594-0060-4453-8D34-1B82955C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3388" y="1972235"/>
          <a:ext cx="2851592" cy="2153300"/>
        </a:xfrm>
        <a:prstGeom prst="rect">
          <a:avLst/>
        </a:prstGeom>
      </xdr:spPr>
    </xdr:pic>
    <xdr:clientData/>
  </xdr:twoCellAnchor>
  <xdr:twoCellAnchor>
    <xdr:from>
      <xdr:col>15</xdr:col>
      <xdr:colOff>184473</xdr:colOff>
      <xdr:row>17</xdr:row>
      <xdr:rowOff>5443</xdr:rowOff>
    </xdr:from>
    <xdr:to>
      <xdr:col>15</xdr:col>
      <xdr:colOff>185057</xdr:colOff>
      <xdr:row>20</xdr:row>
      <xdr:rowOff>89615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C65D0845-725C-4F52-A3C8-EBF1C9BE43E0}"/>
            </a:ext>
          </a:extLst>
        </xdr:cNvPr>
        <xdr:cNvCxnSpPr/>
      </xdr:nvCxnSpPr>
      <xdr:spPr>
        <a:xfrm flipV="1">
          <a:off x="9265880" y="3105150"/>
          <a:ext cx="584" cy="63117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17</xdr:row>
      <xdr:rowOff>5395</xdr:rowOff>
    </xdr:from>
    <xdr:to>
      <xdr:col>15</xdr:col>
      <xdr:colOff>191040</xdr:colOff>
      <xdr:row>17</xdr:row>
      <xdr:rowOff>5443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9B10655-7D1E-402B-9389-31954CAFE84F}"/>
            </a:ext>
          </a:extLst>
        </xdr:cNvPr>
        <xdr:cNvCxnSpPr/>
      </xdr:nvCxnSpPr>
      <xdr:spPr>
        <a:xfrm flipV="1">
          <a:off x="8681357" y="3105102"/>
          <a:ext cx="591090" cy="4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26</xdr:row>
      <xdr:rowOff>0</xdr:rowOff>
    </xdr:from>
    <xdr:to>
      <xdr:col>22</xdr:col>
      <xdr:colOff>484910</xdr:colOff>
      <xdr:row>38</xdr:row>
      <xdr:rowOff>1770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26E8411-CACF-4E98-ADCF-F670A06A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4831976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399649</xdr:colOff>
      <xdr:row>23</xdr:row>
      <xdr:rowOff>173308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A6A4BC6-7122-4A8D-9120-2E48580C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66332" cy="2324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8F90B0F-3797-4DC1-AA96-7B8D4D0F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56DCB9-F6F9-4CB4-B73E-E088AB07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F6F6CC-9FD4-496D-941E-B7A99C54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391391</xdr:colOff>
      <xdr:row>19</xdr:row>
      <xdr:rowOff>176645</xdr:rowOff>
    </xdr:from>
    <xdr:to>
      <xdr:col>21</xdr:col>
      <xdr:colOff>391745</xdr:colOff>
      <xdr:row>21</xdr:row>
      <xdr:rowOff>12196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B92CADF-3470-4D6A-912A-348514BA2503}"/>
            </a:ext>
          </a:extLst>
        </xdr:cNvPr>
        <xdr:cNvCxnSpPr/>
      </xdr:nvCxnSpPr>
      <xdr:spPr>
        <a:xfrm flipH="1" flipV="1">
          <a:off x="14252864" y="3664527"/>
          <a:ext cx="354" cy="202696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422564</xdr:colOff>
      <xdr:row>19</xdr:row>
      <xdr:rowOff>169718</xdr:rowOff>
    </xdr:from>
    <xdr:to>
      <xdr:col>21</xdr:col>
      <xdr:colOff>391825</xdr:colOff>
      <xdr:row>19</xdr:row>
      <xdr:rowOff>175386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96733C2-1F56-45D3-B1E7-6D501E8E5957}"/>
            </a:ext>
          </a:extLst>
        </xdr:cNvPr>
        <xdr:cNvCxnSpPr/>
      </xdr:nvCxnSpPr>
      <xdr:spPr>
        <a:xfrm>
          <a:off x="12697691" y="3657600"/>
          <a:ext cx="1555607" cy="566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21</xdr:row>
      <xdr:rowOff>70398</xdr:rowOff>
    </xdr:from>
    <xdr:to>
      <xdr:col>15</xdr:col>
      <xdr:colOff>451859</xdr:colOff>
      <xdr:row>21</xdr:row>
      <xdr:rowOff>71336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995A1D5-5A5A-4EC4-B593-543778D8F9EC}"/>
            </a:ext>
          </a:extLst>
        </xdr:cNvPr>
        <xdr:cNvCxnSpPr/>
      </xdr:nvCxnSpPr>
      <xdr:spPr>
        <a:xfrm flipV="1">
          <a:off x="8660860" y="3883641"/>
          <a:ext cx="886361" cy="93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90025</xdr:colOff>
      <xdr:row>24</xdr:row>
      <xdr:rowOff>174598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4BE95A1-272A-4DB5-8C43-1615BD51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245602" cy="2505422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AB3C521-9A82-466A-9F39-E487A90C0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472C98-8697-4B22-BF34-85F6B000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9AACBFD-D0A4-47FA-93CA-012523C5C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593558</xdr:colOff>
      <xdr:row>16</xdr:row>
      <xdr:rowOff>108285</xdr:rowOff>
    </xdr:from>
    <xdr:to>
      <xdr:col>15</xdr:col>
      <xdr:colOff>595101</xdr:colOff>
      <xdr:row>20</xdr:row>
      <xdr:rowOff>60821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B684DB8-7618-4D1A-8B1A-F21DAA2DF1CF}"/>
            </a:ext>
          </a:extLst>
        </xdr:cNvPr>
        <xdr:cNvCxnSpPr/>
      </xdr:nvCxnSpPr>
      <xdr:spPr>
        <a:xfrm flipH="1" flipV="1">
          <a:off x="9697453" y="3060032"/>
          <a:ext cx="1543" cy="690473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348915</xdr:colOff>
      <xdr:row>16</xdr:row>
      <xdr:rowOff>113182</xdr:rowOff>
    </xdr:from>
    <xdr:to>
      <xdr:col>15</xdr:col>
      <xdr:colOff>601667</xdr:colOff>
      <xdr:row>16</xdr:row>
      <xdr:rowOff>113258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01C617C-F156-4BDC-8BAD-0D8551210374}"/>
            </a:ext>
          </a:extLst>
        </xdr:cNvPr>
        <xdr:cNvCxnSpPr/>
      </xdr:nvCxnSpPr>
      <xdr:spPr>
        <a:xfrm flipV="1">
          <a:off x="8660811" y="3039262"/>
          <a:ext cx="1045232" cy="76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18</xdr:col>
      <xdr:colOff>179945</xdr:colOff>
      <xdr:row>39</xdr:row>
      <xdr:rowOff>175141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3EDEA73-0B10-4516-B9D7-8923EB3E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4831976"/>
          <a:ext cx="3335522" cy="2505965"/>
        </a:xfrm>
        <a:prstGeom prst="rect">
          <a:avLst/>
        </a:prstGeom>
      </xdr:spPr>
    </xdr:pic>
    <xdr:clientData/>
  </xdr:twoCellAnchor>
  <xdr:twoCellAnchor>
    <xdr:from>
      <xdr:col>14</xdr:col>
      <xdr:colOff>444229</xdr:colOff>
      <xdr:row>37</xdr:row>
      <xdr:rowOff>4018</xdr:rowOff>
    </xdr:from>
    <xdr:to>
      <xdr:col>15</xdr:col>
      <xdr:colOff>533400</xdr:colOff>
      <xdr:row>37</xdr:row>
      <xdr:rowOff>4470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C9186E07-7389-4C1D-892F-8760D63966B3}"/>
            </a:ext>
          </a:extLst>
        </xdr:cNvPr>
        <xdr:cNvCxnSpPr/>
      </xdr:nvCxnSpPr>
      <xdr:spPr>
        <a:xfrm flipV="1">
          <a:off x="8754040" y="6994365"/>
          <a:ext cx="883255" cy="45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28CB524-3077-431E-8F52-CA2797AEF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27859" y="1972235"/>
          <a:ext cx="3205094" cy="2411219"/>
        </a:xfrm>
        <a:prstGeom prst="rect">
          <a:avLst/>
        </a:prstGeom>
      </xdr:spPr>
    </xdr:pic>
    <xdr:clientData/>
  </xdr:twoCellAnchor>
  <xdr:twoCellAnchor>
    <xdr:from>
      <xdr:col>21</xdr:col>
      <xdr:colOff>424401</xdr:colOff>
      <xdr:row>16</xdr:row>
      <xdr:rowOff>33338</xdr:rowOff>
    </xdr:from>
    <xdr:to>
      <xdr:col>21</xdr:col>
      <xdr:colOff>428625</xdr:colOff>
      <xdr:row>21</xdr:row>
      <xdr:rowOff>148675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81005A16-20E2-4FE8-8924-2F5CB4209279}"/>
            </a:ext>
          </a:extLst>
        </xdr:cNvPr>
        <xdr:cNvCxnSpPr/>
      </xdr:nvCxnSpPr>
      <xdr:spPr>
        <a:xfrm flipV="1">
          <a:off x="14259464" y="2928938"/>
          <a:ext cx="4224" cy="102021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395287</xdr:colOff>
      <xdr:row>16</xdr:row>
      <xdr:rowOff>33338</xdr:rowOff>
    </xdr:from>
    <xdr:to>
      <xdr:col>21</xdr:col>
      <xdr:colOff>426720</xdr:colOff>
      <xdr:row>16</xdr:row>
      <xdr:rowOff>39930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8C5F9F07-919C-4407-A7EB-5EA948C8D19D}"/>
            </a:ext>
          </a:extLst>
        </xdr:cNvPr>
        <xdr:cNvCxnSpPr/>
      </xdr:nvCxnSpPr>
      <xdr:spPr>
        <a:xfrm>
          <a:off x="12649200" y="2928938"/>
          <a:ext cx="1612583" cy="65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194288</xdr:colOff>
      <xdr:row>24</xdr:row>
      <xdr:rowOff>221757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7CF6405-42B4-468A-BE7D-704D53EE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349865" cy="255258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43292</xdr:colOff>
      <xdr:row>24</xdr:row>
      <xdr:rowOff>200234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A59306F-FD88-49C2-A58D-67ABB6F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27859" y="1972235"/>
          <a:ext cx="3198868" cy="25310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AA88172-E87B-45F5-BAE4-5AB218336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EA3CEF-90B6-4CBF-8156-09CF00A3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87085</xdr:colOff>
      <xdr:row>21</xdr:row>
      <xdr:rowOff>166007</xdr:rowOff>
    </xdr:from>
    <xdr:to>
      <xdr:col>20</xdr:col>
      <xdr:colOff>87093</xdr:colOff>
      <xdr:row>22</xdr:row>
      <xdr:rowOff>27208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8BADBA2-F9B1-47DD-B8BC-1968571652DB}"/>
            </a:ext>
          </a:extLst>
        </xdr:cNvPr>
        <xdr:cNvCxnSpPr/>
      </xdr:nvCxnSpPr>
      <xdr:spPr>
        <a:xfrm flipH="1" flipV="1">
          <a:off x="13128171" y="3995057"/>
          <a:ext cx="8" cy="4353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389164</xdr:colOff>
      <xdr:row>21</xdr:row>
      <xdr:rowOff>168729</xdr:rowOff>
    </xdr:from>
    <xdr:to>
      <xdr:col>20</xdr:col>
      <xdr:colOff>84068</xdr:colOff>
      <xdr:row>21</xdr:row>
      <xdr:rowOff>170688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43F6C7A-2FF1-4207-9843-B169F538A0BC}"/>
            </a:ext>
          </a:extLst>
        </xdr:cNvPr>
        <xdr:cNvCxnSpPr/>
      </xdr:nvCxnSpPr>
      <xdr:spPr>
        <a:xfrm>
          <a:off x="12638314" y="3997779"/>
          <a:ext cx="486840" cy="19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287594</xdr:colOff>
      <xdr:row>37</xdr:row>
      <xdr:rowOff>61452</xdr:rowOff>
    </xdr:from>
    <xdr:to>
      <xdr:col>16</xdr:col>
      <xdr:colOff>289722</xdr:colOff>
      <xdr:row>37</xdr:row>
      <xdr:rowOff>96079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835DA37-FCF9-495B-BC98-BF9F709E23AC}"/>
            </a:ext>
          </a:extLst>
        </xdr:cNvPr>
        <xdr:cNvCxnSpPr/>
      </xdr:nvCxnSpPr>
      <xdr:spPr>
        <a:xfrm flipH="1" flipV="1">
          <a:off x="10161639" y="6961239"/>
          <a:ext cx="2128" cy="3462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37</xdr:row>
      <xdr:rowOff>58994</xdr:rowOff>
    </xdr:from>
    <xdr:to>
      <xdr:col>16</xdr:col>
      <xdr:colOff>290538</xdr:colOff>
      <xdr:row>37</xdr:row>
      <xdr:rowOff>61090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A39A7C3-E89C-447D-AD21-6DFF186499DE}"/>
            </a:ext>
          </a:extLst>
        </xdr:cNvPr>
        <xdr:cNvCxnSpPr/>
      </xdr:nvCxnSpPr>
      <xdr:spPr>
        <a:xfrm>
          <a:off x="8792497" y="6958781"/>
          <a:ext cx="1372086" cy="20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57636</xdr:colOff>
      <xdr:row>24</xdr:row>
      <xdr:rowOff>246850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AB2088E-FFA2-4BBB-B44F-987FB532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1972235"/>
          <a:ext cx="3213212" cy="25776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10</xdr:row>
      <xdr:rowOff>182136</xdr:rowOff>
    </xdr:from>
    <xdr:to>
      <xdr:col>18</xdr:col>
      <xdr:colOff>208631</xdr:colOff>
      <xdr:row>24</xdr:row>
      <xdr:rowOff>268373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AB14C6E-8539-4544-B4BD-FF8A9B33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7659" y="2003502"/>
          <a:ext cx="3375577" cy="263614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309479E-B28B-405A-8B54-DFAD51457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C7329E-0529-4F84-8490-6A7864D1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B516BE-E908-450F-9380-ADEA9CE45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479502</xdr:colOff>
      <xdr:row>33</xdr:row>
      <xdr:rowOff>141248</xdr:rowOff>
    </xdr:from>
    <xdr:to>
      <xdr:col>20</xdr:col>
      <xdr:colOff>479578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F39A427-8A0B-4B8D-A652-E031D01A5121}"/>
            </a:ext>
          </a:extLst>
        </xdr:cNvPr>
        <xdr:cNvCxnSpPr/>
      </xdr:nvCxnSpPr>
      <xdr:spPr>
        <a:xfrm flipH="1" flipV="1">
          <a:off x="13537580" y="6319024"/>
          <a:ext cx="76" cy="55383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394010</xdr:colOff>
      <xdr:row>33</xdr:row>
      <xdr:rowOff>147961</xdr:rowOff>
    </xdr:from>
    <xdr:to>
      <xdr:col>20</xdr:col>
      <xdr:colOff>481897</xdr:colOff>
      <xdr:row>33</xdr:row>
      <xdr:rowOff>148683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80C24F2-BA11-4EFD-B1EE-D346666DDABE}"/>
            </a:ext>
          </a:extLst>
        </xdr:cNvPr>
        <xdr:cNvCxnSpPr/>
      </xdr:nvCxnSpPr>
      <xdr:spPr>
        <a:xfrm flipV="1">
          <a:off x="12660351" y="6325737"/>
          <a:ext cx="879624" cy="72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766382</xdr:colOff>
      <xdr:row>20</xdr:row>
      <xdr:rowOff>107795</xdr:rowOff>
    </xdr:from>
    <xdr:to>
      <xdr:col>16</xdr:col>
      <xdr:colOff>769434</xdr:colOff>
      <xdr:row>22</xdr:row>
      <xdr:rowOff>82820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D0478B0-0942-4683-B303-C748CF1D0E33}"/>
            </a:ext>
          </a:extLst>
        </xdr:cNvPr>
        <xdr:cNvCxnSpPr/>
      </xdr:nvCxnSpPr>
      <xdr:spPr>
        <a:xfrm flipV="1">
          <a:off x="10657514" y="3750527"/>
          <a:ext cx="3052" cy="33929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453482</xdr:colOff>
      <xdr:row>20</xdr:row>
      <xdr:rowOff>110051</xdr:rowOff>
    </xdr:from>
    <xdr:to>
      <xdr:col>16</xdr:col>
      <xdr:colOff>772948</xdr:colOff>
      <xdr:row>20</xdr:row>
      <xdr:rowOff>115229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398C335-1145-4C9C-8540-F1D5E545E8B5}"/>
            </a:ext>
          </a:extLst>
        </xdr:cNvPr>
        <xdr:cNvCxnSpPr/>
      </xdr:nvCxnSpPr>
      <xdr:spPr>
        <a:xfrm flipV="1">
          <a:off x="8761141" y="3752783"/>
          <a:ext cx="1902939" cy="517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78058</xdr:colOff>
      <xdr:row>33</xdr:row>
      <xdr:rowOff>126380</xdr:rowOff>
    </xdr:from>
    <xdr:to>
      <xdr:col>21</xdr:col>
      <xdr:colOff>81846</xdr:colOff>
      <xdr:row>36</xdr:row>
      <xdr:rowOff>144961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DA41C6BD-0037-45AF-904F-78A931D85492}"/>
            </a:ext>
          </a:extLst>
        </xdr:cNvPr>
        <xdr:cNvCxnSpPr/>
      </xdr:nvCxnSpPr>
      <xdr:spPr>
        <a:xfrm flipH="1" flipV="1">
          <a:off x="13927873" y="6304156"/>
          <a:ext cx="3788" cy="56499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390293</xdr:colOff>
      <xdr:row>33</xdr:row>
      <xdr:rowOff>126380</xdr:rowOff>
    </xdr:from>
    <xdr:to>
      <xdr:col>21</xdr:col>
      <xdr:colOff>76731</xdr:colOff>
      <xdr:row>33</xdr:row>
      <xdr:rowOff>129379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0F2733DE-E404-4209-859D-EE90171C2B45}"/>
            </a:ext>
          </a:extLst>
        </xdr:cNvPr>
        <xdr:cNvCxnSpPr/>
      </xdr:nvCxnSpPr>
      <xdr:spPr>
        <a:xfrm>
          <a:off x="12656634" y="6304156"/>
          <a:ext cx="1269912" cy="29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80B84E-205B-4FB1-84CB-FD788DF6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8533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233576</xdr:colOff>
      <xdr:row>25</xdr:row>
      <xdr:rowOff>3216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EDD84B7-084A-4049-B7A7-D763AEDD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389153" cy="268366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736372E-3FF6-4FA0-9B98-2D947D5C2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641521B-7854-49DD-8CFE-BD0FF04C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DCFC8331-0864-406C-95AB-AC2A8087888C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013EDFC-C252-484E-B2B7-9AEB188474C3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28FDF1D-303B-448B-80D0-A5DDAD52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F92F30AD-8346-4A04-B18C-2D6CBDCC66D5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D3EC344C-0036-4222-B017-720353AE31A8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463584</xdr:colOff>
      <xdr:row>22</xdr:row>
      <xdr:rowOff>137333</xdr:rowOff>
    </xdr:from>
    <xdr:to>
      <xdr:col>15</xdr:col>
      <xdr:colOff>566928</xdr:colOff>
      <xdr:row>22</xdr:row>
      <xdr:rowOff>140208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CDC7F01-52BD-4198-908F-944BAF313E84}"/>
            </a:ext>
          </a:extLst>
        </xdr:cNvPr>
        <xdr:cNvCxnSpPr/>
      </xdr:nvCxnSpPr>
      <xdr:spPr>
        <a:xfrm>
          <a:off x="8775480" y="4160693"/>
          <a:ext cx="895824" cy="287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2FE7F4B-A58C-4AAF-BF75-EE1667B3A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1972235"/>
          <a:ext cx="3205094" cy="2411219"/>
        </a:xfrm>
        <a:prstGeom prst="rect">
          <a:avLst/>
        </a:prstGeom>
      </xdr:spPr>
    </xdr:pic>
    <xdr:clientData/>
  </xdr:twoCellAnchor>
  <xdr:twoCellAnchor>
    <xdr:from>
      <xdr:col>20</xdr:col>
      <xdr:colOff>494818</xdr:colOff>
      <xdr:row>19</xdr:row>
      <xdr:rowOff>128337</xdr:rowOff>
    </xdr:from>
    <xdr:to>
      <xdr:col>20</xdr:col>
      <xdr:colOff>501316</xdr:colOff>
      <xdr:row>21</xdr:row>
      <xdr:rowOff>148675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73FEEB6-AC8D-40D6-BE19-AEC739107485}"/>
            </a:ext>
          </a:extLst>
        </xdr:cNvPr>
        <xdr:cNvCxnSpPr/>
      </xdr:nvCxnSpPr>
      <xdr:spPr>
        <a:xfrm flipV="1">
          <a:off x="13569134" y="3633537"/>
          <a:ext cx="6498" cy="38930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393031</xdr:colOff>
      <xdr:row>19</xdr:row>
      <xdr:rowOff>124326</xdr:rowOff>
    </xdr:from>
    <xdr:to>
      <xdr:col>20</xdr:col>
      <xdr:colOff>497137</xdr:colOff>
      <xdr:row>19</xdr:row>
      <xdr:rowOff>125669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1E166D05-CC68-4C1B-8442-945A63670EC7}"/>
            </a:ext>
          </a:extLst>
        </xdr:cNvPr>
        <xdr:cNvCxnSpPr/>
      </xdr:nvCxnSpPr>
      <xdr:spPr>
        <a:xfrm>
          <a:off x="12673263" y="3629526"/>
          <a:ext cx="898190" cy="134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</xdr:colOff>
      <xdr:row>11</xdr:row>
      <xdr:rowOff>4638</xdr:rowOff>
    </xdr:from>
    <xdr:to>
      <xdr:col>28</xdr:col>
      <xdr:colOff>304801</xdr:colOff>
      <xdr:row>24</xdr:row>
      <xdr:rowOff>32694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DC23106-0415-4636-A203-DFBE9412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0418" y="2045473"/>
          <a:ext cx="3187148" cy="243995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675927</xdr:colOff>
      <xdr:row>24</xdr:row>
      <xdr:rowOff>134470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92B4486-F4A3-4AD7-8770-89A2CAA3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042610" cy="2465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2B15778-84D4-4292-81D8-DE54B8F75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D88778-D6AF-4636-84F6-A2EB95DA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64532E9-0A64-41A9-BE40-B97A87239E32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F0B5FD2-1EB4-4992-8BB7-052291CFCD54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5DFE2A6-F87E-46BE-B629-F801A302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34036</xdr:colOff>
      <xdr:row>33</xdr:row>
      <xdr:rowOff>168165</xdr:rowOff>
    </xdr:from>
    <xdr:to>
      <xdr:col>21</xdr:col>
      <xdr:colOff>36786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2DB1D2AF-DF7F-454A-86D1-EFB9B175D3DB}"/>
            </a:ext>
          </a:extLst>
        </xdr:cNvPr>
        <xdr:cNvCxnSpPr/>
      </xdr:nvCxnSpPr>
      <xdr:spPr>
        <a:xfrm flipV="1">
          <a:off x="13891926" y="6406055"/>
          <a:ext cx="2750" cy="53230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404648</xdr:colOff>
      <xdr:row>33</xdr:row>
      <xdr:rowOff>162910</xdr:rowOff>
    </xdr:from>
    <xdr:to>
      <xdr:col>21</xdr:col>
      <xdr:colOff>36355</xdr:colOff>
      <xdr:row>33</xdr:row>
      <xdr:rowOff>167701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9CFD42DF-29A5-4A60-8161-D42219384A63}"/>
            </a:ext>
          </a:extLst>
        </xdr:cNvPr>
        <xdr:cNvCxnSpPr/>
      </xdr:nvCxnSpPr>
      <xdr:spPr>
        <a:xfrm>
          <a:off x="12675476" y="6400800"/>
          <a:ext cx="1218769" cy="479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94F5EA6-805F-49A8-8845-BB0E4EFD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15</xdr:col>
      <xdr:colOff>308757</xdr:colOff>
      <xdr:row>21</xdr:row>
      <xdr:rowOff>133189</xdr:rowOff>
    </xdr:from>
    <xdr:to>
      <xdr:col>15</xdr:col>
      <xdr:colOff>310246</xdr:colOff>
      <xdr:row>21</xdr:row>
      <xdr:rowOff>163280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CCBDB8E-F42B-4977-BA19-F71A6F62E6F3}"/>
            </a:ext>
          </a:extLst>
        </xdr:cNvPr>
        <xdr:cNvCxnSpPr/>
      </xdr:nvCxnSpPr>
      <xdr:spPr>
        <a:xfrm flipH="1" flipV="1">
          <a:off x="9390164" y="3962239"/>
          <a:ext cx="1489" cy="3009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410936</xdr:colOff>
      <xdr:row>21</xdr:row>
      <xdr:rowOff>131877</xdr:rowOff>
    </xdr:from>
    <xdr:to>
      <xdr:col>15</xdr:col>
      <xdr:colOff>309596</xdr:colOff>
      <xdr:row>21</xdr:row>
      <xdr:rowOff>133350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ADD5208-4E6E-429E-9158-6B27B3961C21}"/>
            </a:ext>
          </a:extLst>
        </xdr:cNvPr>
        <xdr:cNvCxnSpPr/>
      </xdr:nvCxnSpPr>
      <xdr:spPr>
        <a:xfrm flipV="1">
          <a:off x="8700407" y="3960927"/>
          <a:ext cx="690596" cy="14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518648</xdr:colOff>
      <xdr:row>37</xdr:row>
      <xdr:rowOff>68826</xdr:rowOff>
    </xdr:from>
    <xdr:to>
      <xdr:col>15</xdr:col>
      <xdr:colOff>521110</xdr:colOff>
      <xdr:row>37</xdr:row>
      <xdr:rowOff>98322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F095039-A7FC-4FB7-8564-9F0802758852}"/>
            </a:ext>
          </a:extLst>
        </xdr:cNvPr>
        <xdr:cNvCxnSpPr/>
      </xdr:nvCxnSpPr>
      <xdr:spPr>
        <a:xfrm flipV="1">
          <a:off x="9601196" y="6968613"/>
          <a:ext cx="2462" cy="294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506361</xdr:colOff>
      <xdr:row>37</xdr:row>
      <xdr:rowOff>58993</xdr:rowOff>
    </xdr:from>
    <xdr:to>
      <xdr:col>15</xdr:col>
      <xdr:colOff>524560</xdr:colOff>
      <xdr:row>37</xdr:row>
      <xdr:rowOff>66802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FBF1FD9-ED53-47E7-AC24-A8DDE7780079}"/>
            </a:ext>
          </a:extLst>
        </xdr:cNvPr>
        <xdr:cNvCxnSpPr/>
      </xdr:nvCxnSpPr>
      <xdr:spPr>
        <a:xfrm>
          <a:off x="8797413" y="6958780"/>
          <a:ext cx="809695" cy="780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582706</xdr:colOff>
      <xdr:row>24</xdr:row>
      <xdr:rowOff>90821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0FFBDD8-EDF6-42CF-97E2-3EA44132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27859" y="1972235"/>
          <a:ext cx="2949388" cy="242164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BA441681-3326-402B-BC65-466E9D82E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835843-F535-4794-8EC9-8479DEB9E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52759</xdr:colOff>
      <xdr:row>11</xdr:row>
      <xdr:rowOff>35169</xdr:rowOff>
    </xdr:from>
    <xdr:to>
      <xdr:col>17</xdr:col>
      <xdr:colOff>743755</xdr:colOff>
      <xdr:row>23</xdr:row>
      <xdr:rowOff>159860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D6E5153-974E-4DCB-A090-D168BEB0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6836" y="2033954"/>
          <a:ext cx="3064919" cy="2305183"/>
        </a:xfrm>
        <a:prstGeom prst="rect">
          <a:avLst/>
        </a:prstGeom>
      </xdr:spPr>
    </xdr:pic>
    <xdr:clientData/>
  </xdr:twoCellAnchor>
  <xdr:twoCellAnchor>
    <xdr:from>
      <xdr:col>16</xdr:col>
      <xdr:colOff>612842</xdr:colOff>
      <xdr:row>19</xdr:row>
      <xdr:rowOff>136187</xdr:rowOff>
    </xdr:from>
    <xdr:to>
      <xdr:col>16</xdr:col>
      <xdr:colOff>612864</xdr:colOff>
      <xdr:row>21</xdr:row>
      <xdr:rowOff>57092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5E400CE-0B2A-4F84-8B0C-54496A9ADF47}"/>
            </a:ext>
          </a:extLst>
        </xdr:cNvPr>
        <xdr:cNvCxnSpPr/>
      </xdr:nvCxnSpPr>
      <xdr:spPr>
        <a:xfrm flipH="1" flipV="1">
          <a:off x="10499387" y="3586264"/>
          <a:ext cx="22" cy="28407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483140</xdr:colOff>
      <xdr:row>19</xdr:row>
      <xdr:rowOff>132936</xdr:rowOff>
    </xdr:from>
    <xdr:to>
      <xdr:col>16</xdr:col>
      <xdr:colOff>616087</xdr:colOff>
      <xdr:row>19</xdr:row>
      <xdr:rowOff>132943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48786674-41A6-42E2-A8CD-9854AE9D96C9}"/>
            </a:ext>
          </a:extLst>
        </xdr:cNvPr>
        <xdr:cNvCxnSpPr/>
      </xdr:nvCxnSpPr>
      <xdr:spPr>
        <a:xfrm flipV="1">
          <a:off x="8787319" y="3583013"/>
          <a:ext cx="1715313" cy="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8965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0382891-EBDA-4E7C-AEEC-1250A254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1"/>
          <a:ext cx="3178885" cy="2328216"/>
        </a:xfrm>
        <a:prstGeom prst="rect">
          <a:avLst/>
        </a:prstGeom>
      </xdr:spPr>
    </xdr:pic>
    <xdr:clientData/>
  </xdr:twoCellAnchor>
  <xdr:twoCellAnchor>
    <xdr:from>
      <xdr:col>21</xdr:col>
      <xdr:colOff>340179</xdr:colOff>
      <xdr:row>32</xdr:row>
      <xdr:rowOff>100693</xdr:rowOff>
    </xdr:from>
    <xdr:to>
      <xdr:col>21</xdr:col>
      <xdr:colOff>346912</xdr:colOff>
      <xdr:row>36</xdr:row>
      <xdr:rowOff>40106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E3D5005B-650E-4623-898E-ED34D2ACF701}"/>
            </a:ext>
          </a:extLst>
        </xdr:cNvPr>
        <xdr:cNvCxnSpPr/>
      </xdr:nvCxnSpPr>
      <xdr:spPr>
        <a:xfrm flipH="1" flipV="1">
          <a:off x="14185719" y="6120493"/>
          <a:ext cx="6733" cy="67093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400050</xdr:colOff>
      <xdr:row>32</xdr:row>
      <xdr:rowOff>109720</xdr:rowOff>
    </xdr:from>
    <xdr:to>
      <xdr:col>21</xdr:col>
      <xdr:colOff>338890</xdr:colOff>
      <xdr:row>32</xdr:row>
      <xdr:rowOff>111579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AFE8886F-7ACB-4601-B832-17FFDB812D15}"/>
            </a:ext>
          </a:extLst>
        </xdr:cNvPr>
        <xdr:cNvCxnSpPr/>
      </xdr:nvCxnSpPr>
      <xdr:spPr>
        <a:xfrm flipV="1">
          <a:off x="12660630" y="6129520"/>
          <a:ext cx="1523800" cy="185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440871</xdr:colOff>
      <xdr:row>35</xdr:row>
      <xdr:rowOff>46264</xdr:rowOff>
    </xdr:from>
    <xdr:to>
      <xdr:col>20</xdr:col>
      <xdr:colOff>441569</xdr:colOff>
      <xdr:row>36</xdr:row>
      <xdr:rowOff>36809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202A19CB-7CB0-4CD7-A23F-9A80C7AF851D}"/>
            </a:ext>
          </a:extLst>
        </xdr:cNvPr>
        <xdr:cNvCxnSpPr/>
      </xdr:nvCxnSpPr>
      <xdr:spPr>
        <a:xfrm flipH="1" flipV="1">
          <a:off x="13493931" y="6614704"/>
          <a:ext cx="698" cy="1734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387458</xdr:colOff>
      <xdr:row>35</xdr:row>
      <xdr:rowOff>41179</xdr:rowOff>
    </xdr:from>
    <xdr:to>
      <xdr:col>20</xdr:col>
      <xdr:colOff>441619</xdr:colOff>
      <xdr:row>35</xdr:row>
      <xdr:rowOff>46300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E3BDF898-EE02-4AB4-AE50-2EBB026FB321}"/>
            </a:ext>
          </a:extLst>
        </xdr:cNvPr>
        <xdr:cNvCxnSpPr/>
      </xdr:nvCxnSpPr>
      <xdr:spPr>
        <a:xfrm>
          <a:off x="12648038" y="6609619"/>
          <a:ext cx="846641" cy="512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F3CA62-F672-4D50-B142-4CA0BE77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692191</xdr:colOff>
      <xdr:row>24</xdr:row>
      <xdr:rowOff>204947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27D083F-300F-479D-BE33-A84A791B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5018" y="1981200"/>
          <a:ext cx="3061318" cy="2546365"/>
        </a:xfrm>
        <a:prstGeom prst="rect">
          <a:avLst/>
        </a:prstGeom>
      </xdr:spPr>
    </xdr:pic>
    <xdr:clientData/>
  </xdr:twoCellAnchor>
  <xdr:twoCellAnchor editAs="oneCell">
    <xdr:from>
      <xdr:col>18</xdr:col>
      <xdr:colOff>791735</xdr:colOff>
      <xdr:row>10</xdr:row>
      <xdr:rowOff>182136</xdr:rowOff>
    </xdr:from>
    <xdr:to>
      <xdr:col>22</xdr:col>
      <xdr:colOff>665375</xdr:colOff>
      <xdr:row>23</xdr:row>
      <xdr:rowOff>138546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A4B8D12-086C-4888-8081-70716E1C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6340" y="2003502"/>
          <a:ext cx="3040586" cy="232418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81497</xdr:colOff>
      <xdr:row>24</xdr:row>
      <xdr:rowOff>80227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9221A99-0283-4ABB-BF4E-DD3FD6B6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82109" y="1981200"/>
          <a:ext cx="2949388" cy="2421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0</xdr:colOff>
      <xdr:row>26</xdr:row>
      <xdr:rowOff>5422</xdr:rowOff>
    </xdr:from>
    <xdr:to>
      <xdr:col>23</xdr:col>
      <xdr:colOff>138545</xdr:colOff>
      <xdr:row>39</xdr:row>
      <xdr:rowOff>110444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2991B70-FBD0-45D5-B603-93EECFB4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33564" y="4854513"/>
          <a:ext cx="3297381" cy="244644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09BF828-C24E-45A7-BBD5-9FE6292E0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676508</xdr:colOff>
      <xdr:row>20</xdr:row>
      <xdr:rowOff>26019</xdr:rowOff>
    </xdr:from>
    <xdr:to>
      <xdr:col>19</xdr:col>
      <xdr:colOff>676517</xdr:colOff>
      <xdr:row>21</xdr:row>
      <xdr:rowOff>18585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72E0A9A-87E1-49F6-867F-4E99A23C7991}"/>
            </a:ext>
          </a:extLst>
        </xdr:cNvPr>
        <xdr:cNvCxnSpPr/>
      </xdr:nvCxnSpPr>
      <xdr:spPr>
        <a:xfrm flipH="1" flipV="1">
          <a:off x="12942849" y="3668751"/>
          <a:ext cx="9" cy="17470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420030</xdr:colOff>
      <xdr:row>20</xdr:row>
      <xdr:rowOff>33453</xdr:rowOff>
    </xdr:from>
    <xdr:to>
      <xdr:col>19</xdr:col>
      <xdr:colOff>677209</xdr:colOff>
      <xdr:row>20</xdr:row>
      <xdr:rowOff>33883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69614BE-B59D-4E32-9C8A-809DB11165D5}"/>
            </a:ext>
          </a:extLst>
        </xdr:cNvPr>
        <xdr:cNvCxnSpPr/>
      </xdr:nvCxnSpPr>
      <xdr:spPr>
        <a:xfrm>
          <a:off x="12686371" y="3676185"/>
          <a:ext cx="257179" cy="43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624349</xdr:colOff>
      <xdr:row>21</xdr:row>
      <xdr:rowOff>39329</xdr:rowOff>
    </xdr:from>
    <xdr:to>
      <xdr:col>24</xdr:col>
      <xdr:colOff>626036</xdr:colOff>
      <xdr:row>21</xdr:row>
      <xdr:rowOff>113438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500FED9-99DB-435F-B44E-AEDCD9D1CF2E}"/>
            </a:ext>
          </a:extLst>
        </xdr:cNvPr>
        <xdr:cNvCxnSpPr/>
      </xdr:nvCxnSpPr>
      <xdr:spPr>
        <a:xfrm flipH="1" flipV="1">
          <a:off x="16830368" y="3859161"/>
          <a:ext cx="1687" cy="7410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361336</xdr:colOff>
      <xdr:row>21</xdr:row>
      <xdr:rowOff>43343</xdr:rowOff>
    </xdr:from>
    <xdr:to>
      <xdr:col>24</xdr:col>
      <xdr:colOff>632603</xdr:colOff>
      <xdr:row>21</xdr:row>
      <xdr:rowOff>46703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0DC341B-C67B-4133-B426-843444860338}"/>
            </a:ext>
          </a:extLst>
        </xdr:cNvPr>
        <xdr:cNvCxnSpPr/>
      </xdr:nvCxnSpPr>
      <xdr:spPr>
        <a:xfrm flipV="1">
          <a:off x="16567355" y="3863175"/>
          <a:ext cx="271267" cy="336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675735</xdr:colOff>
      <xdr:row>22</xdr:row>
      <xdr:rowOff>2876</xdr:rowOff>
    </xdr:from>
    <xdr:to>
      <xdr:col>15</xdr:col>
      <xdr:colOff>675756</xdr:colOff>
      <xdr:row>22</xdr:row>
      <xdr:rowOff>32129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79F3A82-556C-4DFA-97D6-022159099DE6}"/>
            </a:ext>
          </a:extLst>
        </xdr:cNvPr>
        <xdr:cNvCxnSpPr/>
      </xdr:nvCxnSpPr>
      <xdr:spPr>
        <a:xfrm flipH="1" flipV="1">
          <a:off x="9762226" y="4051540"/>
          <a:ext cx="21" cy="2925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419819</xdr:colOff>
      <xdr:row>22</xdr:row>
      <xdr:rowOff>1555</xdr:rowOff>
    </xdr:from>
    <xdr:to>
      <xdr:col>15</xdr:col>
      <xdr:colOff>679447</xdr:colOff>
      <xdr:row>22</xdr:row>
      <xdr:rowOff>2876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4AA0421-5A71-4339-8585-8C5E23E7C44D}"/>
            </a:ext>
          </a:extLst>
        </xdr:cNvPr>
        <xdr:cNvCxnSpPr/>
      </xdr:nvCxnSpPr>
      <xdr:spPr>
        <a:xfrm flipV="1">
          <a:off x="8712679" y="4050219"/>
          <a:ext cx="1053259" cy="132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504239</xdr:colOff>
      <xdr:row>21</xdr:row>
      <xdr:rowOff>152400</xdr:rowOff>
    </xdr:from>
    <xdr:to>
      <xdr:col>15</xdr:col>
      <xdr:colOff>506083</xdr:colOff>
      <xdr:row>22</xdr:row>
      <xdr:rowOff>33800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D6F8B77-7950-402C-928D-3698AC8B7E2D}"/>
            </a:ext>
          </a:extLst>
        </xdr:cNvPr>
        <xdr:cNvCxnSpPr/>
      </xdr:nvCxnSpPr>
      <xdr:spPr>
        <a:xfrm flipV="1">
          <a:off x="9590730" y="4017034"/>
          <a:ext cx="1844" cy="654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416944</xdr:colOff>
      <xdr:row>21</xdr:row>
      <xdr:rowOff>152759</xdr:rowOff>
    </xdr:from>
    <xdr:to>
      <xdr:col>15</xdr:col>
      <xdr:colOff>510805</xdr:colOff>
      <xdr:row>21</xdr:row>
      <xdr:rowOff>158151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17E9E93-C75A-42BB-9860-C2DFBAF19415}"/>
            </a:ext>
          </a:extLst>
        </xdr:cNvPr>
        <xdr:cNvCxnSpPr/>
      </xdr:nvCxnSpPr>
      <xdr:spPr>
        <a:xfrm flipV="1">
          <a:off x="8709804" y="4017393"/>
          <a:ext cx="887492" cy="539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698734</xdr:colOff>
      <xdr:row>37</xdr:row>
      <xdr:rowOff>54634</xdr:rowOff>
    </xdr:from>
    <xdr:to>
      <xdr:col>15</xdr:col>
      <xdr:colOff>698734</xdr:colOff>
      <xdr:row>37</xdr:row>
      <xdr:rowOff>106393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89BA2FAB-4AD7-4D84-BB28-950736FBA048}"/>
            </a:ext>
          </a:extLst>
        </xdr:cNvPr>
        <xdr:cNvCxnSpPr/>
      </xdr:nvCxnSpPr>
      <xdr:spPr>
        <a:xfrm flipV="1">
          <a:off x="9785225" y="7030528"/>
          <a:ext cx="0" cy="5175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500332</xdr:colOff>
      <xdr:row>37</xdr:row>
      <xdr:rowOff>43132</xdr:rowOff>
    </xdr:from>
    <xdr:to>
      <xdr:col>15</xdr:col>
      <xdr:colOff>700580</xdr:colOff>
      <xdr:row>37</xdr:row>
      <xdr:rowOff>49244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FE94AA42-1ABC-4CBE-92EE-9B262B7CF515}"/>
            </a:ext>
          </a:extLst>
        </xdr:cNvPr>
        <xdr:cNvCxnSpPr/>
      </xdr:nvCxnSpPr>
      <xdr:spPr>
        <a:xfrm>
          <a:off x="8793192" y="7019026"/>
          <a:ext cx="993879" cy="611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11</xdr:row>
      <xdr:rowOff>0</xdr:rowOff>
    </xdr:from>
    <xdr:to>
      <xdr:col>32</xdr:col>
      <xdr:colOff>418358</xdr:colOff>
      <xdr:row>24</xdr:row>
      <xdr:rowOff>68849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04582AE-A655-4B02-9437-E53DAE65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20965" y="1972235"/>
          <a:ext cx="2785040" cy="23996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106470</xdr:colOff>
      <xdr:row>39</xdr:row>
      <xdr:rowOff>155145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3A0FA8E-106C-4523-8C93-F739BE22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72329" y="4831976"/>
          <a:ext cx="2966212" cy="24859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709479</xdr:colOff>
      <xdr:row>24</xdr:row>
      <xdr:rowOff>279865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16EA182-DFDB-441D-B878-E2214BBD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1972235"/>
          <a:ext cx="3076162" cy="261068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4CC78FA-DDC6-42F8-87DD-0E38AED15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F15672-85D9-47A4-A7F3-BA56181C3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50816" y="4959780"/>
          <a:ext cx="3254757" cy="2537466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E8BBC5F-8C18-4B8F-AD1F-968EFF75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723067</xdr:colOff>
      <xdr:row>20</xdr:row>
      <xdr:rowOff>126459</xdr:rowOff>
    </xdr:from>
    <xdr:to>
      <xdr:col>19</xdr:col>
      <xdr:colOff>723089</xdr:colOff>
      <xdr:row>21</xdr:row>
      <xdr:rowOff>12979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EB38D56-6715-428C-80E9-14A708D00E8B}"/>
            </a:ext>
          </a:extLst>
        </xdr:cNvPr>
        <xdr:cNvCxnSpPr/>
      </xdr:nvCxnSpPr>
      <xdr:spPr>
        <a:xfrm flipV="1">
          <a:off x="12983161" y="3758119"/>
          <a:ext cx="22" cy="6810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424774</xdr:colOff>
      <xdr:row>20</xdr:row>
      <xdr:rowOff>123749</xdr:rowOff>
    </xdr:from>
    <xdr:to>
      <xdr:col>19</xdr:col>
      <xdr:colOff>729771</xdr:colOff>
      <xdr:row>20</xdr:row>
      <xdr:rowOff>129702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D75E9F3-3B59-4D50-AE30-D2F597FB812B}"/>
            </a:ext>
          </a:extLst>
        </xdr:cNvPr>
        <xdr:cNvCxnSpPr/>
      </xdr:nvCxnSpPr>
      <xdr:spPr>
        <a:xfrm flipV="1">
          <a:off x="12684868" y="3755409"/>
          <a:ext cx="304997" cy="595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541562-05A9-4FFB-9214-1C5E542A7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B803004-D17A-4B33-98EB-5435F5FE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704571</xdr:colOff>
      <xdr:row>30</xdr:row>
      <xdr:rowOff>68094</xdr:rowOff>
    </xdr:from>
    <xdr:to>
      <xdr:col>21</xdr:col>
      <xdr:colOff>706876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F3E3B64-28CA-4606-AA2D-DB6396C4ABCE}"/>
            </a:ext>
          </a:extLst>
        </xdr:cNvPr>
        <xdr:cNvCxnSpPr/>
      </xdr:nvCxnSpPr>
      <xdr:spPr>
        <a:xfrm flipV="1">
          <a:off x="14547031" y="5684196"/>
          <a:ext cx="2305" cy="117007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392349</xdr:colOff>
      <xdr:row>30</xdr:row>
      <xdr:rowOff>61609</xdr:rowOff>
    </xdr:from>
    <xdr:to>
      <xdr:col>21</xdr:col>
      <xdr:colOff>706890</xdr:colOff>
      <xdr:row>30</xdr:row>
      <xdr:rowOff>64046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E060BAC-2C1A-4EC3-9B9C-9EC69947E0A2}"/>
            </a:ext>
          </a:extLst>
        </xdr:cNvPr>
        <xdr:cNvCxnSpPr/>
      </xdr:nvCxnSpPr>
      <xdr:spPr>
        <a:xfrm>
          <a:off x="12652443" y="5677711"/>
          <a:ext cx="1896907" cy="243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533400</xdr:colOff>
      <xdr:row>20</xdr:row>
      <xdr:rowOff>152400</xdr:rowOff>
    </xdr:from>
    <xdr:to>
      <xdr:col>30</xdr:col>
      <xdr:colOff>534514</xdr:colOff>
      <xdr:row>21</xdr:row>
      <xdr:rowOff>148503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20E487CE-D81A-4AE9-8D8C-E9FC37EBDE50}"/>
            </a:ext>
          </a:extLst>
        </xdr:cNvPr>
        <xdr:cNvCxnSpPr/>
      </xdr:nvCxnSpPr>
      <xdr:spPr>
        <a:xfrm flipH="1" flipV="1">
          <a:off x="21235555" y="3823855"/>
          <a:ext cx="1114" cy="17967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367145</xdr:colOff>
      <xdr:row>20</xdr:row>
      <xdr:rowOff>148936</xdr:rowOff>
    </xdr:from>
    <xdr:to>
      <xdr:col>30</xdr:col>
      <xdr:colOff>541081</xdr:colOff>
      <xdr:row>20</xdr:row>
      <xdr:rowOff>152601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4ED33202-DB81-438E-90A9-7979D7FACD17}"/>
            </a:ext>
          </a:extLst>
        </xdr:cNvPr>
        <xdr:cNvCxnSpPr/>
      </xdr:nvCxnSpPr>
      <xdr:spPr>
        <a:xfrm>
          <a:off x="20276127" y="3820391"/>
          <a:ext cx="967109" cy="366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759124</xdr:colOff>
      <xdr:row>21</xdr:row>
      <xdr:rowOff>143774</xdr:rowOff>
    </xdr:from>
    <xdr:to>
      <xdr:col>15</xdr:col>
      <xdr:colOff>759144</xdr:colOff>
      <xdr:row>22</xdr:row>
      <xdr:rowOff>89635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30099D2-0D4E-43DD-B4FA-BB7AC8A5995D}"/>
            </a:ext>
          </a:extLst>
        </xdr:cNvPr>
        <xdr:cNvCxnSpPr/>
      </xdr:nvCxnSpPr>
      <xdr:spPr>
        <a:xfrm flipH="1" flipV="1">
          <a:off x="9845615" y="4008408"/>
          <a:ext cx="20" cy="12989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414068</xdr:colOff>
      <xdr:row>21</xdr:row>
      <xdr:rowOff>143774</xdr:rowOff>
    </xdr:from>
    <xdr:to>
      <xdr:col>15</xdr:col>
      <xdr:colOff>759960</xdr:colOff>
      <xdr:row>21</xdr:row>
      <xdr:rowOff>145331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3A12491-9435-4E87-A28E-BB3A8B403521}"/>
            </a:ext>
          </a:extLst>
        </xdr:cNvPr>
        <xdr:cNvCxnSpPr/>
      </xdr:nvCxnSpPr>
      <xdr:spPr>
        <a:xfrm>
          <a:off x="8706928" y="4008408"/>
          <a:ext cx="1139523" cy="155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653740</xdr:colOff>
      <xdr:row>18</xdr:row>
      <xdr:rowOff>106393</xdr:rowOff>
    </xdr:from>
    <xdr:to>
      <xdr:col>16</xdr:col>
      <xdr:colOff>658483</xdr:colOff>
      <xdr:row>22</xdr:row>
      <xdr:rowOff>88432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7E0E4A2-AD06-413F-9B81-4CDACE5A92C9}"/>
            </a:ext>
          </a:extLst>
        </xdr:cNvPr>
        <xdr:cNvCxnSpPr/>
      </xdr:nvCxnSpPr>
      <xdr:spPr>
        <a:xfrm flipV="1">
          <a:off x="10533861" y="3418936"/>
          <a:ext cx="4743" cy="71816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411193</xdr:colOff>
      <xdr:row>18</xdr:row>
      <xdr:rowOff>112519</xdr:rowOff>
    </xdr:from>
    <xdr:to>
      <xdr:col>16</xdr:col>
      <xdr:colOff>660306</xdr:colOff>
      <xdr:row>18</xdr:row>
      <xdr:rowOff>115020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C71EC52-067B-4C9F-AF46-A49B536AE5C6}"/>
            </a:ext>
          </a:extLst>
        </xdr:cNvPr>
        <xdr:cNvCxnSpPr/>
      </xdr:nvCxnSpPr>
      <xdr:spPr>
        <a:xfrm flipV="1">
          <a:off x="8704053" y="3425062"/>
          <a:ext cx="1836374" cy="250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352241</xdr:colOff>
      <xdr:row>37</xdr:row>
      <xdr:rowOff>3243</xdr:rowOff>
    </xdr:from>
    <xdr:to>
      <xdr:col>15</xdr:col>
      <xdr:colOff>353438</xdr:colOff>
      <xdr:row>37</xdr:row>
      <xdr:rowOff>98901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4CACDC14-7BB5-42BE-93DA-50A589193F68}"/>
            </a:ext>
          </a:extLst>
        </xdr:cNvPr>
        <xdr:cNvCxnSpPr/>
      </xdr:nvCxnSpPr>
      <xdr:spPr>
        <a:xfrm flipV="1">
          <a:off x="9447603" y="6890426"/>
          <a:ext cx="1197" cy="9565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499353</xdr:colOff>
      <xdr:row>37</xdr:row>
      <xdr:rowOff>3243</xdr:rowOff>
    </xdr:from>
    <xdr:to>
      <xdr:col>15</xdr:col>
      <xdr:colOff>353057</xdr:colOff>
      <xdr:row>37</xdr:row>
      <xdr:rowOff>8687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CDC7D709-2949-44D3-8EBE-8D521BDC1FD4}"/>
            </a:ext>
          </a:extLst>
        </xdr:cNvPr>
        <xdr:cNvCxnSpPr/>
      </xdr:nvCxnSpPr>
      <xdr:spPr>
        <a:xfrm>
          <a:off x="8803532" y="6890426"/>
          <a:ext cx="644887" cy="5444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612528</xdr:colOff>
      <xdr:row>24</xdr:row>
      <xdr:rowOff>201761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0EECCC3-2998-46A9-91CC-C7BB96A7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1972235"/>
          <a:ext cx="2979210" cy="25325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720236</xdr:colOff>
      <xdr:row>24</xdr:row>
      <xdr:rowOff>326481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010C26F-FCD9-4E47-A806-A26480AC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086919" cy="265730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C69EA4-A7F8-4963-BB0E-DAE7B8262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888284-3211-4ECC-9047-532813DF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21</xdr:row>
      <xdr:rowOff>89807</xdr:rowOff>
    </xdr:from>
    <xdr:to>
      <xdr:col>20</xdr:col>
      <xdr:colOff>95251</xdr:colOff>
      <xdr:row>22</xdr:row>
      <xdr:rowOff>29935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504B523-BF01-4F84-9044-FD4913EF7D4A}"/>
            </a:ext>
          </a:extLst>
        </xdr:cNvPr>
        <xdr:cNvCxnSpPr/>
      </xdr:nvCxnSpPr>
      <xdr:spPr>
        <a:xfrm flipH="1" flipV="1">
          <a:off x="13136336" y="3918857"/>
          <a:ext cx="1" cy="12246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364671</xdr:colOff>
      <xdr:row>21</xdr:row>
      <xdr:rowOff>94479</xdr:rowOff>
    </xdr:from>
    <xdr:to>
      <xdr:col>20</xdr:col>
      <xdr:colOff>92245</xdr:colOff>
      <xdr:row>21</xdr:row>
      <xdr:rowOff>97971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F99086B-0CCB-4759-945A-E4F6756EC47E}"/>
            </a:ext>
          </a:extLst>
        </xdr:cNvPr>
        <xdr:cNvCxnSpPr/>
      </xdr:nvCxnSpPr>
      <xdr:spPr>
        <a:xfrm flipV="1">
          <a:off x="12613821" y="3923529"/>
          <a:ext cx="519510" cy="349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F12F052-A2CD-4697-A424-BB303EF97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557497</xdr:colOff>
      <xdr:row>30</xdr:row>
      <xdr:rowOff>154983</xdr:rowOff>
    </xdr:from>
    <xdr:to>
      <xdr:col>21</xdr:col>
      <xdr:colOff>560523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8C178343-F3DB-4891-A3BA-30B6CF39D8D3}"/>
            </a:ext>
          </a:extLst>
        </xdr:cNvPr>
        <xdr:cNvCxnSpPr/>
      </xdr:nvCxnSpPr>
      <xdr:spPr>
        <a:xfrm flipV="1">
          <a:off x="14400066" y="5824780"/>
          <a:ext cx="3026" cy="109407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30</xdr:row>
      <xdr:rowOff>152400</xdr:rowOff>
    </xdr:from>
    <xdr:to>
      <xdr:col>21</xdr:col>
      <xdr:colOff>559816</xdr:colOff>
      <xdr:row>30</xdr:row>
      <xdr:rowOff>156659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23C7119-E1E8-4918-9C96-406586B287C1}"/>
            </a:ext>
          </a:extLst>
        </xdr:cNvPr>
        <xdr:cNvCxnSpPr/>
      </xdr:nvCxnSpPr>
      <xdr:spPr>
        <a:xfrm>
          <a:off x="12656949" y="5822197"/>
          <a:ext cx="1745436" cy="425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363682</xdr:colOff>
      <xdr:row>22</xdr:row>
      <xdr:rowOff>96982</xdr:rowOff>
    </xdr:from>
    <xdr:to>
      <xdr:col>15</xdr:col>
      <xdr:colOff>365931</xdr:colOff>
      <xdr:row>22</xdr:row>
      <xdr:rowOff>137678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2D854A7-21BC-4228-9B2E-1EAF1D3ED559}"/>
            </a:ext>
          </a:extLst>
        </xdr:cNvPr>
        <xdr:cNvCxnSpPr/>
      </xdr:nvCxnSpPr>
      <xdr:spPr>
        <a:xfrm flipH="1" flipV="1">
          <a:off x="9466118" y="4135582"/>
          <a:ext cx="2249" cy="406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415636</xdr:colOff>
      <xdr:row>22</xdr:row>
      <xdr:rowOff>96264</xdr:rowOff>
    </xdr:from>
    <xdr:to>
      <xdr:col>15</xdr:col>
      <xdr:colOff>370211</xdr:colOff>
      <xdr:row>22</xdr:row>
      <xdr:rowOff>96982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8BF5026-0062-4A4F-A9A6-6D432333B432}"/>
            </a:ext>
          </a:extLst>
        </xdr:cNvPr>
        <xdr:cNvCxnSpPr/>
      </xdr:nvCxnSpPr>
      <xdr:spPr>
        <a:xfrm flipV="1">
          <a:off x="8724900" y="4134864"/>
          <a:ext cx="747747" cy="7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266603</xdr:colOff>
      <xdr:row>20</xdr:row>
      <xdr:rowOff>93518</xdr:rowOff>
    </xdr:from>
    <xdr:to>
      <xdr:col>16</xdr:col>
      <xdr:colOff>266700</xdr:colOff>
      <xdr:row>22</xdr:row>
      <xdr:rowOff>141032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BF6935E0-8976-497B-ADD0-FA4DA62E6CB7}"/>
            </a:ext>
          </a:extLst>
        </xdr:cNvPr>
        <xdr:cNvCxnSpPr/>
      </xdr:nvCxnSpPr>
      <xdr:spPr>
        <a:xfrm flipV="1">
          <a:off x="10162212" y="3764973"/>
          <a:ext cx="97" cy="4146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419100</xdr:colOff>
      <xdr:row>20</xdr:row>
      <xdr:rowOff>100445</xdr:rowOff>
    </xdr:from>
    <xdr:to>
      <xdr:col>16</xdr:col>
      <xdr:colOff>273169</xdr:colOff>
      <xdr:row>20</xdr:row>
      <xdr:rowOff>102380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C92ADB5-6595-4D78-96EF-0BC30E82CA90}"/>
            </a:ext>
          </a:extLst>
        </xdr:cNvPr>
        <xdr:cNvCxnSpPr/>
      </xdr:nvCxnSpPr>
      <xdr:spPr>
        <a:xfrm>
          <a:off x="8728364" y="3771900"/>
          <a:ext cx="1440414" cy="193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187057</xdr:colOff>
      <xdr:row>37</xdr:row>
      <xdr:rowOff>27214</xdr:rowOff>
    </xdr:from>
    <xdr:to>
      <xdr:col>15</xdr:col>
      <xdr:colOff>187779</xdr:colOff>
      <xdr:row>37</xdr:row>
      <xdr:rowOff>94355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494C5ABA-AFF8-4C7E-B427-5CD2AB2525B5}"/>
            </a:ext>
          </a:extLst>
        </xdr:cNvPr>
        <xdr:cNvCxnSpPr/>
      </xdr:nvCxnSpPr>
      <xdr:spPr>
        <a:xfrm flipV="1">
          <a:off x="9268464" y="6942364"/>
          <a:ext cx="722" cy="6714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508908</xdr:colOff>
      <xdr:row>37</xdr:row>
      <xdr:rowOff>27215</xdr:rowOff>
    </xdr:from>
    <xdr:to>
      <xdr:col>15</xdr:col>
      <xdr:colOff>191336</xdr:colOff>
      <xdr:row>37</xdr:row>
      <xdr:rowOff>28453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F2EA0939-5CB3-4587-99B5-8C7414E69C98}"/>
            </a:ext>
          </a:extLst>
        </xdr:cNvPr>
        <xdr:cNvCxnSpPr/>
      </xdr:nvCxnSpPr>
      <xdr:spPr>
        <a:xfrm>
          <a:off x="8798379" y="6942365"/>
          <a:ext cx="474364" cy="123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446049</xdr:colOff>
      <xdr:row>34</xdr:row>
      <xdr:rowOff>141249</xdr:rowOff>
    </xdr:from>
    <xdr:to>
      <xdr:col>20</xdr:col>
      <xdr:colOff>446249</xdr:colOff>
      <xdr:row>36</xdr:row>
      <xdr:rowOff>153468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9575C21-D4BE-45DC-AE3E-E4BAF22BF2B6}"/>
            </a:ext>
          </a:extLst>
        </xdr:cNvPr>
        <xdr:cNvCxnSpPr/>
      </xdr:nvCxnSpPr>
      <xdr:spPr>
        <a:xfrm flipH="1" flipV="1">
          <a:off x="13504127" y="6501161"/>
          <a:ext cx="200" cy="3764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394010</xdr:colOff>
      <xdr:row>34</xdr:row>
      <xdr:rowOff>133815</xdr:rowOff>
    </xdr:from>
    <xdr:to>
      <xdr:col>20</xdr:col>
      <xdr:colOff>452815</xdr:colOff>
      <xdr:row>34</xdr:row>
      <xdr:rowOff>140834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DAF690D-86D8-4381-8F10-17F966BF29E0}"/>
            </a:ext>
          </a:extLst>
        </xdr:cNvPr>
        <xdr:cNvCxnSpPr/>
      </xdr:nvCxnSpPr>
      <xdr:spPr>
        <a:xfrm>
          <a:off x="12660351" y="6493727"/>
          <a:ext cx="850542" cy="701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26</xdr:row>
      <xdr:rowOff>0</xdr:rowOff>
    </xdr:from>
    <xdr:to>
      <xdr:col>27</xdr:col>
      <xdr:colOff>429115</xdr:colOff>
      <xdr:row>39</xdr:row>
      <xdr:rowOff>115465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135C9A-2B03-4772-B478-F86659F3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2329" y="4831976"/>
          <a:ext cx="2795798" cy="244628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738944</xdr:colOff>
      <xdr:row>25</xdr:row>
      <xdr:rowOff>57929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D7E3E29-066E-4F38-B879-A80E970B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105627" cy="2738376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48B220-565E-4A66-BF0D-8C74F399B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6262AF-BED0-4D41-BF79-CF283A19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4B5970-5E15-42FD-8C57-4C100062A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481853</xdr:colOff>
      <xdr:row>20</xdr:row>
      <xdr:rowOff>154642</xdr:rowOff>
    </xdr:from>
    <xdr:to>
      <xdr:col>20</xdr:col>
      <xdr:colOff>484094</xdr:colOff>
      <xdr:row>21</xdr:row>
      <xdr:rowOff>13444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CB6E048-73D6-49B8-94C3-A21AF5920422}"/>
            </a:ext>
          </a:extLst>
        </xdr:cNvPr>
        <xdr:cNvCxnSpPr/>
      </xdr:nvCxnSpPr>
      <xdr:spPr>
        <a:xfrm flipV="1">
          <a:off x="13538947" y="3830171"/>
          <a:ext cx="2241" cy="4257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423582</xdr:colOff>
      <xdr:row>20</xdr:row>
      <xdr:rowOff>159124</xdr:rowOff>
    </xdr:from>
    <xdr:to>
      <xdr:col>20</xdr:col>
      <xdr:colOff>481070</xdr:colOff>
      <xdr:row>20</xdr:row>
      <xdr:rowOff>160923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8E269D-22A4-46CA-AB51-A1ED30BAD139}"/>
            </a:ext>
          </a:extLst>
        </xdr:cNvPr>
        <xdr:cNvCxnSpPr/>
      </xdr:nvCxnSpPr>
      <xdr:spPr>
        <a:xfrm>
          <a:off x="12687300" y="3834653"/>
          <a:ext cx="850864" cy="179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9DCEA6-BF9B-4BF3-91D9-2FA78AC3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AC17E3F-926F-4166-A307-D6650A86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266113</xdr:colOff>
      <xdr:row>31</xdr:row>
      <xdr:rowOff>132609</xdr:rowOff>
    </xdr:from>
    <xdr:to>
      <xdr:col>21</xdr:col>
      <xdr:colOff>266550</xdr:colOff>
      <xdr:row>36</xdr:row>
      <xdr:rowOff>159879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5E8F30FE-6018-4FAD-91C1-B3BBCC25EC39}"/>
            </a:ext>
          </a:extLst>
        </xdr:cNvPr>
        <xdr:cNvCxnSpPr/>
      </xdr:nvCxnSpPr>
      <xdr:spPr>
        <a:xfrm flipV="1">
          <a:off x="14116584" y="5995527"/>
          <a:ext cx="437" cy="94615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398929</xdr:colOff>
      <xdr:row>31</xdr:row>
      <xdr:rowOff>132229</xdr:rowOff>
    </xdr:from>
    <xdr:to>
      <xdr:col>21</xdr:col>
      <xdr:colOff>268432</xdr:colOff>
      <xdr:row>31</xdr:row>
      <xdr:rowOff>136865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C559C99-2008-465F-9370-240BB9C6F274}"/>
            </a:ext>
          </a:extLst>
        </xdr:cNvPr>
        <xdr:cNvCxnSpPr/>
      </xdr:nvCxnSpPr>
      <xdr:spPr>
        <a:xfrm>
          <a:off x="12662647" y="5995147"/>
          <a:ext cx="1456256" cy="463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498572</xdr:colOff>
      <xdr:row>18</xdr:row>
      <xdr:rowOff>132230</xdr:rowOff>
    </xdr:from>
    <xdr:to>
      <xdr:col>24</xdr:col>
      <xdr:colOff>506506</xdr:colOff>
      <xdr:row>20</xdr:row>
      <xdr:rowOff>96338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7D91670-8DBE-44A1-BCCE-6CE6D7B0E410}"/>
            </a:ext>
          </a:extLst>
        </xdr:cNvPr>
        <xdr:cNvCxnSpPr/>
      </xdr:nvCxnSpPr>
      <xdr:spPr>
        <a:xfrm flipV="1">
          <a:off x="16729172" y="3440206"/>
          <a:ext cx="7934" cy="33166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401171</xdr:colOff>
      <xdr:row>18</xdr:row>
      <xdr:rowOff>138740</xdr:rowOff>
    </xdr:from>
    <xdr:to>
      <xdr:col>24</xdr:col>
      <xdr:colOff>505139</xdr:colOff>
      <xdr:row>18</xdr:row>
      <xdr:rowOff>138953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0FAF491-5A0B-492F-BC7D-15DDA5CB17EC}"/>
            </a:ext>
          </a:extLst>
        </xdr:cNvPr>
        <xdr:cNvCxnSpPr/>
      </xdr:nvCxnSpPr>
      <xdr:spPr>
        <a:xfrm flipV="1">
          <a:off x="16631771" y="3446716"/>
          <a:ext cx="103968" cy="21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367553</xdr:colOff>
      <xdr:row>36</xdr:row>
      <xdr:rowOff>172571</xdr:rowOff>
    </xdr:from>
    <xdr:to>
      <xdr:col>25</xdr:col>
      <xdr:colOff>518258</xdr:colOff>
      <xdr:row>36</xdr:row>
      <xdr:rowOff>174598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17F6D97-6B42-4EF9-AA4C-22437C2021CA}"/>
            </a:ext>
          </a:extLst>
        </xdr:cNvPr>
        <xdr:cNvCxnSpPr/>
      </xdr:nvCxnSpPr>
      <xdr:spPr>
        <a:xfrm>
          <a:off x="16598153" y="6954371"/>
          <a:ext cx="944081" cy="202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632603</xdr:colOff>
      <xdr:row>22</xdr:row>
      <xdr:rowOff>93387</xdr:rowOff>
    </xdr:from>
    <xdr:to>
      <xdr:col>15</xdr:col>
      <xdr:colOff>632626</xdr:colOff>
      <xdr:row>23</xdr:row>
      <xdr:rowOff>1876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FF0AD51-0EE2-43BB-B42B-AF7FB94F2567}"/>
            </a:ext>
          </a:extLst>
        </xdr:cNvPr>
        <xdr:cNvCxnSpPr/>
      </xdr:nvCxnSpPr>
      <xdr:spPr>
        <a:xfrm flipH="1" flipV="1">
          <a:off x="9736498" y="4152040"/>
          <a:ext cx="23" cy="929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22</xdr:row>
      <xdr:rowOff>92074</xdr:rowOff>
    </xdr:from>
    <xdr:to>
      <xdr:col>15</xdr:col>
      <xdr:colOff>633443</xdr:colOff>
      <xdr:row>22</xdr:row>
      <xdr:rowOff>93387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EC3DA0C-6006-48D7-8E29-2534CE2C47E2}"/>
            </a:ext>
          </a:extLst>
        </xdr:cNvPr>
        <xdr:cNvCxnSpPr/>
      </xdr:nvCxnSpPr>
      <xdr:spPr>
        <a:xfrm flipV="1">
          <a:off x="8660619" y="4150727"/>
          <a:ext cx="1076719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260684</xdr:colOff>
      <xdr:row>20</xdr:row>
      <xdr:rowOff>160421</xdr:rowOff>
    </xdr:from>
    <xdr:to>
      <xdr:col>16</xdr:col>
      <xdr:colOff>262226</xdr:colOff>
      <xdr:row>23</xdr:row>
      <xdr:rowOff>4685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219E718-23AB-49FC-BC10-A1B8CE6DA38E}"/>
            </a:ext>
          </a:extLst>
        </xdr:cNvPr>
        <xdr:cNvCxnSpPr/>
      </xdr:nvCxnSpPr>
      <xdr:spPr>
        <a:xfrm flipH="1" flipV="1">
          <a:off x="10158663" y="3850105"/>
          <a:ext cx="1542" cy="39771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421105</xdr:colOff>
      <xdr:row>20</xdr:row>
      <xdr:rowOff>168384</xdr:rowOff>
    </xdr:from>
    <xdr:to>
      <xdr:col>16</xdr:col>
      <xdr:colOff>268792</xdr:colOff>
      <xdr:row>20</xdr:row>
      <xdr:rowOff>168442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1804F5EF-3661-464E-BC2C-6DB4B078A3E6}"/>
            </a:ext>
          </a:extLst>
        </xdr:cNvPr>
        <xdr:cNvCxnSpPr/>
      </xdr:nvCxnSpPr>
      <xdr:spPr>
        <a:xfrm flipV="1">
          <a:off x="8730916" y="3858068"/>
          <a:ext cx="1435855" cy="5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287691</xdr:colOff>
      <xdr:row>37</xdr:row>
      <xdr:rowOff>13167</xdr:rowOff>
    </xdr:from>
    <xdr:to>
      <xdr:col>15</xdr:col>
      <xdr:colOff>287714</xdr:colOff>
      <xdr:row>37</xdr:row>
      <xdr:rowOff>106140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35DE02CC-4C51-4D83-9C56-BE2C7FAAEEF7}"/>
            </a:ext>
          </a:extLst>
        </xdr:cNvPr>
        <xdr:cNvCxnSpPr/>
      </xdr:nvCxnSpPr>
      <xdr:spPr>
        <a:xfrm flipH="1" flipV="1">
          <a:off x="9391586" y="7003514"/>
          <a:ext cx="23" cy="929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509336</xdr:colOff>
      <xdr:row>37</xdr:row>
      <xdr:rowOff>8021</xdr:rowOff>
    </xdr:from>
    <xdr:to>
      <xdr:col>15</xdr:col>
      <xdr:colOff>288531</xdr:colOff>
      <xdr:row>37</xdr:row>
      <xdr:rowOff>11855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78BC06B3-185B-489C-B303-2415856D6DED}"/>
            </a:ext>
          </a:extLst>
        </xdr:cNvPr>
        <xdr:cNvCxnSpPr/>
      </xdr:nvCxnSpPr>
      <xdr:spPr>
        <a:xfrm>
          <a:off x="8819147" y="6998368"/>
          <a:ext cx="573279" cy="383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173736</xdr:colOff>
      <xdr:row>37</xdr:row>
      <xdr:rowOff>79248</xdr:rowOff>
    </xdr:from>
    <xdr:to>
      <xdr:col>16</xdr:col>
      <xdr:colOff>173987</xdr:colOff>
      <xdr:row>37</xdr:row>
      <xdr:rowOff>104939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50142BBA-D39D-4ADE-9124-CEAFD4F7BBA7}"/>
            </a:ext>
          </a:extLst>
        </xdr:cNvPr>
        <xdr:cNvCxnSpPr/>
      </xdr:nvCxnSpPr>
      <xdr:spPr>
        <a:xfrm flipH="1" flipV="1">
          <a:off x="10070592" y="7013448"/>
          <a:ext cx="251" cy="2569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82296</xdr:rowOff>
    </xdr:from>
    <xdr:to>
      <xdr:col>16</xdr:col>
      <xdr:colOff>180553</xdr:colOff>
      <xdr:row>37</xdr:row>
      <xdr:rowOff>83199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1B617928-B4A7-4FCA-8E19-FE0D9A238878}"/>
            </a:ext>
          </a:extLst>
        </xdr:cNvPr>
        <xdr:cNvCxnSpPr/>
      </xdr:nvCxnSpPr>
      <xdr:spPr>
        <a:xfrm>
          <a:off x="8814816" y="7016496"/>
          <a:ext cx="1262593" cy="90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26</xdr:row>
      <xdr:rowOff>0</xdr:rowOff>
    </xdr:from>
    <xdr:to>
      <xdr:col>27</xdr:col>
      <xdr:colOff>439872</xdr:colOff>
      <xdr:row>39</xdr:row>
      <xdr:rowOff>162081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A151C0A-CDF1-4B7D-97BF-9DBC0B43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2329" y="4831976"/>
          <a:ext cx="2806555" cy="249290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50DC38-7B65-463F-A414-8D9F50E01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05781BA-CDE7-45D6-84E7-7A5EE368B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12E4D8-AAEE-4185-9248-8D8DF01C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34A31EA-8BE3-4166-9125-8879063A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76201</xdr:colOff>
      <xdr:row>18</xdr:row>
      <xdr:rowOff>137653</xdr:rowOff>
    </xdr:from>
    <xdr:to>
      <xdr:col>22</xdr:col>
      <xdr:colOff>78007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E8859B5-F45F-4108-84A3-762D7685BAB3}"/>
            </a:ext>
          </a:extLst>
        </xdr:cNvPr>
        <xdr:cNvCxnSpPr/>
      </xdr:nvCxnSpPr>
      <xdr:spPr>
        <a:xfrm flipH="1" flipV="1">
          <a:off x="14699227" y="3411795"/>
          <a:ext cx="1806" cy="420232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427704</xdr:colOff>
      <xdr:row>18</xdr:row>
      <xdr:rowOff>140110</xdr:rowOff>
    </xdr:from>
    <xdr:to>
      <xdr:col>22</xdr:col>
      <xdr:colOff>83004</xdr:colOff>
      <xdr:row>18</xdr:row>
      <xdr:rowOff>141985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119AE4D-CCDF-42B0-AA97-F4C974FE31F7}"/>
            </a:ext>
          </a:extLst>
        </xdr:cNvPr>
        <xdr:cNvCxnSpPr/>
      </xdr:nvCxnSpPr>
      <xdr:spPr>
        <a:xfrm>
          <a:off x="12676239" y="3414252"/>
          <a:ext cx="2029791" cy="1875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0739077-15F7-4C2D-8B51-E56DCDFF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2722EB-8F3E-4D5D-981A-E5D76C3D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322006</xdr:colOff>
      <xdr:row>31</xdr:row>
      <xdr:rowOff>103239</xdr:rowOff>
    </xdr:from>
    <xdr:to>
      <xdr:col>21</xdr:col>
      <xdr:colOff>323152</xdr:colOff>
      <xdr:row>36</xdr:row>
      <xdr:rowOff>151132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5900EAD-F0A8-4030-8C52-81F1293D707B}"/>
            </a:ext>
          </a:extLst>
        </xdr:cNvPr>
        <xdr:cNvCxnSpPr/>
      </xdr:nvCxnSpPr>
      <xdr:spPr>
        <a:xfrm flipH="1" flipV="1">
          <a:off x="14153535" y="5911645"/>
          <a:ext cx="1146" cy="9573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395749</xdr:colOff>
      <xdr:row>31</xdr:row>
      <xdr:rowOff>103239</xdr:rowOff>
    </xdr:from>
    <xdr:to>
      <xdr:col>21</xdr:col>
      <xdr:colOff>325471</xdr:colOff>
      <xdr:row>31</xdr:row>
      <xdr:rowOff>105996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29639815-CCD7-46AE-8AC9-5E043CD5B235}"/>
            </a:ext>
          </a:extLst>
        </xdr:cNvPr>
        <xdr:cNvCxnSpPr/>
      </xdr:nvCxnSpPr>
      <xdr:spPr>
        <a:xfrm>
          <a:off x="12644284" y="5911645"/>
          <a:ext cx="1512716" cy="275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460076</xdr:colOff>
      <xdr:row>36</xdr:row>
      <xdr:rowOff>152400</xdr:rowOff>
    </xdr:from>
    <xdr:to>
      <xdr:col>25</xdr:col>
      <xdr:colOff>460077</xdr:colOff>
      <xdr:row>37</xdr:row>
      <xdr:rowOff>40247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CB5107F-DB50-4314-91C8-0BC5E2D002A2}"/>
            </a:ext>
          </a:extLst>
        </xdr:cNvPr>
        <xdr:cNvCxnSpPr/>
      </xdr:nvCxnSpPr>
      <xdr:spPr>
        <a:xfrm flipH="1" flipV="1">
          <a:off x="17482868" y="6944264"/>
          <a:ext cx="1" cy="7187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368061</xdr:colOff>
      <xdr:row>36</xdr:row>
      <xdr:rowOff>152400</xdr:rowOff>
    </xdr:from>
    <xdr:to>
      <xdr:col>25</xdr:col>
      <xdr:colOff>455759</xdr:colOff>
      <xdr:row>36</xdr:row>
      <xdr:rowOff>155722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C0841E0-6172-487E-A744-65DB030FA75B}"/>
            </a:ext>
          </a:extLst>
        </xdr:cNvPr>
        <xdr:cNvCxnSpPr/>
      </xdr:nvCxnSpPr>
      <xdr:spPr>
        <a:xfrm>
          <a:off x="16597223" y="6944264"/>
          <a:ext cx="881328" cy="332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218535</xdr:colOff>
      <xdr:row>17</xdr:row>
      <xdr:rowOff>161027</xdr:rowOff>
    </xdr:from>
    <xdr:to>
      <xdr:col>15</xdr:col>
      <xdr:colOff>219539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C04E7CC-9487-4EF3-A284-557A291DA3E4}"/>
            </a:ext>
          </a:extLst>
        </xdr:cNvPr>
        <xdr:cNvCxnSpPr/>
      </xdr:nvCxnSpPr>
      <xdr:spPr>
        <a:xfrm flipH="1" flipV="1">
          <a:off x="9305026" y="3289540"/>
          <a:ext cx="1004" cy="44907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345057</xdr:colOff>
      <xdr:row>17</xdr:row>
      <xdr:rowOff>160241</xdr:rowOff>
    </xdr:from>
    <xdr:to>
      <xdr:col>15</xdr:col>
      <xdr:colOff>223230</xdr:colOff>
      <xdr:row>17</xdr:row>
      <xdr:rowOff>161027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A703B3F-7576-4684-8827-2376CC4A6AC1}"/>
            </a:ext>
          </a:extLst>
        </xdr:cNvPr>
        <xdr:cNvCxnSpPr/>
      </xdr:nvCxnSpPr>
      <xdr:spPr>
        <a:xfrm flipV="1">
          <a:off x="8637917" y="3288754"/>
          <a:ext cx="671804" cy="78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97674</xdr:colOff>
      <xdr:row>36</xdr:row>
      <xdr:rowOff>49162</xdr:rowOff>
    </xdr:from>
    <xdr:to>
      <xdr:col>16</xdr:col>
      <xdr:colOff>98323</xdr:colOff>
      <xdr:row>37</xdr:row>
      <xdr:rowOff>101078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BEAFB16D-BDC2-48D7-A4A8-D6411378411C}"/>
            </a:ext>
          </a:extLst>
        </xdr:cNvPr>
        <xdr:cNvCxnSpPr/>
      </xdr:nvCxnSpPr>
      <xdr:spPr>
        <a:xfrm flipV="1">
          <a:off x="9971719" y="6767052"/>
          <a:ext cx="649" cy="23381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503903</xdr:colOff>
      <xdr:row>36</xdr:row>
      <xdr:rowOff>39329</xdr:rowOff>
    </xdr:from>
    <xdr:to>
      <xdr:col>16</xdr:col>
      <xdr:colOff>104240</xdr:colOff>
      <xdr:row>36</xdr:row>
      <xdr:rowOff>49230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5123949-5B94-4853-966E-9CB15F6E995F}"/>
            </a:ext>
          </a:extLst>
        </xdr:cNvPr>
        <xdr:cNvCxnSpPr/>
      </xdr:nvCxnSpPr>
      <xdr:spPr>
        <a:xfrm>
          <a:off x="8794955" y="6757219"/>
          <a:ext cx="1183330" cy="990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1</xdr:colOff>
      <xdr:row>11</xdr:row>
      <xdr:rowOff>0</xdr:rowOff>
    </xdr:from>
    <xdr:to>
      <xdr:col>32</xdr:col>
      <xdr:colOff>609601</xdr:colOff>
      <xdr:row>24</xdr:row>
      <xdr:rowOff>293502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F71274A-7C29-495A-8218-325FF11A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20966" y="1972235"/>
          <a:ext cx="2976282" cy="2624326"/>
        </a:xfrm>
        <a:prstGeom prst="rect">
          <a:avLst/>
        </a:prstGeom>
      </xdr:spPr>
    </xdr:pic>
    <xdr:clientData/>
  </xdr:twoCellAnchor>
  <xdr:twoCellAnchor>
    <xdr:from>
      <xdr:col>30</xdr:col>
      <xdr:colOff>611819</xdr:colOff>
      <xdr:row>22</xdr:row>
      <xdr:rowOff>10252</xdr:rowOff>
    </xdr:from>
    <xdr:to>
      <xdr:col>30</xdr:col>
      <xdr:colOff>611842</xdr:colOff>
      <xdr:row>22</xdr:row>
      <xdr:rowOff>102314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D0BD258-C9F2-44E1-A788-8A4B0B4F2C24}"/>
            </a:ext>
          </a:extLst>
        </xdr:cNvPr>
        <xdr:cNvCxnSpPr/>
      </xdr:nvCxnSpPr>
      <xdr:spPr>
        <a:xfrm flipH="1" flipV="1">
          <a:off x="21313974" y="4048852"/>
          <a:ext cx="23" cy="92062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398318</xdr:colOff>
      <xdr:row>22</xdr:row>
      <xdr:rowOff>8940</xdr:rowOff>
    </xdr:from>
    <xdr:to>
      <xdr:col>30</xdr:col>
      <xdr:colOff>619587</xdr:colOff>
      <xdr:row>22</xdr:row>
      <xdr:rowOff>10391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9B74B513-762F-4962-BE6E-56340B81324B}"/>
            </a:ext>
          </a:extLst>
        </xdr:cNvPr>
        <xdr:cNvCxnSpPr/>
      </xdr:nvCxnSpPr>
      <xdr:spPr>
        <a:xfrm flipV="1">
          <a:off x="20307300" y="4047540"/>
          <a:ext cx="1014442" cy="1451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431950</xdr:colOff>
      <xdr:row>19</xdr:row>
      <xdr:rowOff>96982</xdr:rowOff>
    </xdr:from>
    <xdr:to>
      <xdr:col>31</xdr:col>
      <xdr:colOff>432955</xdr:colOff>
      <xdr:row>22</xdr:row>
      <xdr:rowOff>101665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64513BBF-D129-45A8-A4AB-16700C5AA0B7}"/>
            </a:ext>
          </a:extLst>
        </xdr:cNvPr>
        <xdr:cNvCxnSpPr/>
      </xdr:nvCxnSpPr>
      <xdr:spPr>
        <a:xfrm flipV="1">
          <a:off x="21927277" y="3584864"/>
          <a:ext cx="1005" cy="555401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394854</xdr:colOff>
      <xdr:row>19</xdr:row>
      <xdr:rowOff>95642</xdr:rowOff>
    </xdr:from>
    <xdr:to>
      <xdr:col>31</xdr:col>
      <xdr:colOff>438515</xdr:colOff>
      <xdr:row>19</xdr:row>
      <xdr:rowOff>96982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3EE2BB1-2202-4B3A-A4F7-07930B12D8CF}"/>
            </a:ext>
          </a:extLst>
        </xdr:cNvPr>
        <xdr:cNvCxnSpPr/>
      </xdr:nvCxnSpPr>
      <xdr:spPr>
        <a:xfrm flipV="1">
          <a:off x="20303836" y="3583524"/>
          <a:ext cx="1630006" cy="1340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0</xdr:colOff>
      <xdr:row>26</xdr:row>
      <xdr:rowOff>0</xdr:rowOff>
    </xdr:from>
    <xdr:to>
      <xdr:col>32</xdr:col>
      <xdr:colOff>631238</xdr:colOff>
      <xdr:row>40</xdr:row>
      <xdr:rowOff>103538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CD857AC-7398-4EAA-9A7B-06F6042C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20965" y="4831976"/>
          <a:ext cx="2997920" cy="26136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30</xdr:col>
      <xdr:colOff>28752</xdr:colOff>
      <xdr:row>36</xdr:row>
      <xdr:rowOff>83127</xdr:rowOff>
    </xdr:from>
    <xdr:to>
      <xdr:col>30</xdr:col>
      <xdr:colOff>31172</xdr:colOff>
      <xdr:row>37</xdr:row>
      <xdr:rowOff>101999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398111D3-3387-4481-952D-A5A00A422997}"/>
            </a:ext>
          </a:extLst>
        </xdr:cNvPr>
        <xdr:cNvCxnSpPr/>
      </xdr:nvCxnSpPr>
      <xdr:spPr>
        <a:xfrm flipV="1">
          <a:off x="20730907" y="6858000"/>
          <a:ext cx="2420" cy="202444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370609</xdr:colOff>
      <xdr:row>36</xdr:row>
      <xdr:rowOff>87565</xdr:rowOff>
    </xdr:from>
    <xdr:to>
      <xdr:col>30</xdr:col>
      <xdr:colOff>29209</xdr:colOff>
      <xdr:row>36</xdr:row>
      <xdr:rowOff>90054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6E23A3DC-574A-43F6-BBF8-9DCC28E616AD}"/>
            </a:ext>
          </a:extLst>
        </xdr:cNvPr>
        <xdr:cNvCxnSpPr/>
      </xdr:nvCxnSpPr>
      <xdr:spPr>
        <a:xfrm flipV="1">
          <a:off x="20279591" y="6862438"/>
          <a:ext cx="451773" cy="248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147662</xdr:colOff>
      <xdr:row>19</xdr:row>
      <xdr:rowOff>120769</xdr:rowOff>
    </xdr:from>
    <xdr:to>
      <xdr:col>15</xdr:col>
      <xdr:colOff>149524</xdr:colOff>
      <xdr:row>20</xdr:row>
      <xdr:rowOff>58023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4BED38AE-98F9-428E-8D0D-1D2AFBF68B98}"/>
            </a:ext>
          </a:extLst>
        </xdr:cNvPr>
        <xdr:cNvCxnSpPr/>
      </xdr:nvCxnSpPr>
      <xdr:spPr>
        <a:xfrm flipV="1">
          <a:off x="9234153" y="3617343"/>
          <a:ext cx="1862" cy="121284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356419</xdr:colOff>
      <xdr:row>19</xdr:row>
      <xdr:rowOff>115529</xdr:rowOff>
    </xdr:from>
    <xdr:to>
      <xdr:col>15</xdr:col>
      <xdr:colOff>153811</xdr:colOff>
      <xdr:row>19</xdr:row>
      <xdr:rowOff>117946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3FA5426A-A0DB-4AB8-BCD0-DC047CCDACB8}"/>
            </a:ext>
          </a:extLst>
        </xdr:cNvPr>
        <xdr:cNvCxnSpPr/>
      </xdr:nvCxnSpPr>
      <xdr:spPr>
        <a:xfrm>
          <a:off x="8647471" y="3571568"/>
          <a:ext cx="588888" cy="241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672871</xdr:colOff>
      <xdr:row>37</xdr:row>
      <xdr:rowOff>51619</xdr:rowOff>
    </xdr:from>
    <xdr:to>
      <xdr:col>15</xdr:col>
      <xdr:colOff>673510</xdr:colOff>
      <xdr:row>37</xdr:row>
      <xdr:rowOff>103541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374EAF47-D5D7-4FBB-BF00-5E085C65D8D1}"/>
            </a:ext>
          </a:extLst>
        </xdr:cNvPr>
        <xdr:cNvCxnSpPr/>
      </xdr:nvCxnSpPr>
      <xdr:spPr>
        <a:xfrm flipV="1">
          <a:off x="9755419" y="6951406"/>
          <a:ext cx="639" cy="5192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37</xdr:row>
      <xdr:rowOff>46703</xdr:rowOff>
    </xdr:from>
    <xdr:to>
      <xdr:col>15</xdr:col>
      <xdr:colOff>679437</xdr:colOff>
      <xdr:row>37</xdr:row>
      <xdr:rowOff>51687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55B1C88D-A576-4F63-9F51-6E2AEE027A82}"/>
            </a:ext>
          </a:extLst>
        </xdr:cNvPr>
        <xdr:cNvCxnSpPr/>
      </xdr:nvCxnSpPr>
      <xdr:spPr>
        <a:xfrm>
          <a:off x="8790039" y="6946490"/>
          <a:ext cx="971946" cy="49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26</xdr:row>
      <xdr:rowOff>0</xdr:rowOff>
    </xdr:from>
    <xdr:to>
      <xdr:col>22</xdr:col>
      <xdr:colOff>484910</xdr:colOff>
      <xdr:row>38</xdr:row>
      <xdr:rowOff>1770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EE0C995-1C12-423D-AD0D-841C666C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4831976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37C2D0-8E27-422E-B350-B36C4C95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AA791CC-F4F2-4D1D-AADA-AAB717F8B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1788</xdr:colOff>
      <xdr:row>10</xdr:row>
      <xdr:rowOff>166255</xdr:rowOff>
    </xdr:from>
    <xdr:to>
      <xdr:col>22</xdr:col>
      <xdr:colOff>694460</xdr:colOff>
      <xdr:row>23</xdr:row>
      <xdr:rowOff>107373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B643332-A35E-4997-A575-B49179EC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6915" y="2001982"/>
          <a:ext cx="3072190" cy="2327564"/>
        </a:xfrm>
        <a:prstGeom prst="rect">
          <a:avLst/>
        </a:prstGeom>
      </xdr:spPr>
    </xdr:pic>
    <xdr:clientData/>
  </xdr:twoCellAnchor>
  <xdr:twoCellAnchor>
    <xdr:from>
      <xdr:col>20</xdr:col>
      <xdr:colOff>86595</xdr:colOff>
      <xdr:row>20</xdr:row>
      <xdr:rowOff>79661</xdr:rowOff>
    </xdr:from>
    <xdr:to>
      <xdr:col>20</xdr:col>
      <xdr:colOff>88328</xdr:colOff>
      <xdr:row>20</xdr:row>
      <xdr:rowOff>178375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7DF50EB-2EDC-43A5-B1A1-468A193AC5D8}"/>
            </a:ext>
          </a:extLst>
        </xdr:cNvPr>
        <xdr:cNvCxnSpPr/>
      </xdr:nvCxnSpPr>
      <xdr:spPr>
        <a:xfrm flipH="1" flipV="1">
          <a:off x="13154895" y="3751116"/>
          <a:ext cx="1733" cy="9871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20</xdr:row>
      <xdr:rowOff>86590</xdr:rowOff>
    </xdr:from>
    <xdr:to>
      <xdr:col>20</xdr:col>
      <xdr:colOff>90055</xdr:colOff>
      <xdr:row>20</xdr:row>
      <xdr:rowOff>93519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6F533F5-C121-4EC0-8F81-D6922EA4AFE2}"/>
            </a:ext>
          </a:extLst>
        </xdr:cNvPr>
        <xdr:cNvCxnSpPr/>
      </xdr:nvCxnSpPr>
      <xdr:spPr>
        <a:xfrm flipV="1">
          <a:off x="12708082" y="3758045"/>
          <a:ext cx="450273" cy="692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353438</xdr:colOff>
      <xdr:row>20</xdr:row>
      <xdr:rowOff>47695</xdr:rowOff>
    </xdr:from>
    <xdr:to>
      <xdr:col>15</xdr:col>
      <xdr:colOff>27082</xdr:colOff>
      <xdr:row>20</xdr:row>
      <xdr:rowOff>48638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708F160-3174-4D55-9135-191651FB60F8}"/>
            </a:ext>
          </a:extLst>
        </xdr:cNvPr>
        <xdr:cNvCxnSpPr/>
      </xdr:nvCxnSpPr>
      <xdr:spPr>
        <a:xfrm flipV="1">
          <a:off x="8657617" y="3679355"/>
          <a:ext cx="464827" cy="94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447112</xdr:colOff>
      <xdr:row>40</xdr:row>
      <xdr:rowOff>14163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6F1958-207A-4A9C-B857-38F49AB8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3388" y="4831976"/>
          <a:ext cx="2813795" cy="2524281"/>
        </a:xfrm>
        <a:prstGeom prst="rect">
          <a:avLst/>
        </a:prstGeom>
      </xdr:spPr>
    </xdr:pic>
    <xdr:clientData/>
  </xdr:twoCellAnchor>
  <xdr:twoCellAnchor>
    <xdr:from>
      <xdr:col>14</xdr:col>
      <xdr:colOff>364818</xdr:colOff>
      <xdr:row>37</xdr:row>
      <xdr:rowOff>53324</xdr:rowOff>
    </xdr:from>
    <xdr:to>
      <xdr:col>15</xdr:col>
      <xdr:colOff>454930</xdr:colOff>
      <xdr:row>37</xdr:row>
      <xdr:rowOff>58935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6C112C7-268F-49DC-859F-B99E0BE72BB8}"/>
            </a:ext>
          </a:extLst>
        </xdr:cNvPr>
        <xdr:cNvCxnSpPr/>
      </xdr:nvCxnSpPr>
      <xdr:spPr>
        <a:xfrm>
          <a:off x="8668997" y="6940507"/>
          <a:ext cx="881295" cy="561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654423</xdr:colOff>
      <xdr:row>25</xdr:row>
      <xdr:rowOff>20268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7A98CF7-10B0-4A72-BEDD-CD3DBDC7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021106" cy="270071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7151D3A-25AC-4112-B904-0EFA9E293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3E5C60-71F9-4A83-AEFC-39CB5FF6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8AB4291-DC69-4DC0-9F3B-534212BC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782782</xdr:colOff>
      <xdr:row>20</xdr:row>
      <xdr:rowOff>121227</xdr:rowOff>
    </xdr:from>
    <xdr:to>
      <xdr:col>19</xdr:col>
      <xdr:colOff>782782</xdr:colOff>
      <xdr:row>21</xdr:row>
      <xdr:rowOff>13854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754263-F063-4685-B2D2-2347C37A5508}"/>
            </a:ext>
          </a:extLst>
        </xdr:cNvPr>
        <xdr:cNvCxnSpPr/>
      </xdr:nvCxnSpPr>
      <xdr:spPr>
        <a:xfrm flipV="1">
          <a:off x="13057909" y="3792682"/>
          <a:ext cx="0" cy="761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20</xdr:row>
      <xdr:rowOff>119976</xdr:rowOff>
    </xdr:from>
    <xdr:to>
      <xdr:col>19</xdr:col>
      <xdr:colOff>786685</xdr:colOff>
      <xdr:row>20</xdr:row>
      <xdr:rowOff>124690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E1408FB-2E8A-42C8-9EAE-20D99A83E043}"/>
            </a:ext>
          </a:extLst>
        </xdr:cNvPr>
        <xdr:cNvCxnSpPr/>
      </xdr:nvCxnSpPr>
      <xdr:spPr>
        <a:xfrm flipV="1">
          <a:off x="12708082" y="3791431"/>
          <a:ext cx="353730" cy="471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401781</xdr:colOff>
      <xdr:row>22</xdr:row>
      <xdr:rowOff>155144</xdr:rowOff>
    </xdr:from>
    <xdr:to>
      <xdr:col>15</xdr:col>
      <xdr:colOff>501823</xdr:colOff>
      <xdr:row>22</xdr:row>
      <xdr:rowOff>155861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F8E1BAE-5C75-4875-8184-252CED98341B}"/>
            </a:ext>
          </a:extLst>
        </xdr:cNvPr>
        <xdr:cNvCxnSpPr/>
      </xdr:nvCxnSpPr>
      <xdr:spPr>
        <a:xfrm flipV="1">
          <a:off x="8711045" y="4193744"/>
          <a:ext cx="893214" cy="71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301337</xdr:colOff>
      <xdr:row>22</xdr:row>
      <xdr:rowOff>135082</xdr:rowOff>
    </xdr:from>
    <xdr:to>
      <xdr:col>15</xdr:col>
      <xdr:colOff>301338</xdr:colOff>
      <xdr:row>22</xdr:row>
      <xdr:rowOff>169722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6E057BC-3DB8-471C-BD7B-187868810E22}"/>
            </a:ext>
          </a:extLst>
        </xdr:cNvPr>
        <xdr:cNvCxnSpPr/>
      </xdr:nvCxnSpPr>
      <xdr:spPr>
        <a:xfrm flipH="1" flipV="1">
          <a:off x="9403773" y="4173682"/>
          <a:ext cx="1" cy="3464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405247</xdr:colOff>
      <xdr:row>22</xdr:row>
      <xdr:rowOff>138551</xdr:rowOff>
    </xdr:from>
    <xdr:to>
      <xdr:col>15</xdr:col>
      <xdr:colOff>307809</xdr:colOff>
      <xdr:row>22</xdr:row>
      <xdr:rowOff>139383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5EA4DFE-AB42-4530-BB08-1CD153383EB9}"/>
            </a:ext>
          </a:extLst>
        </xdr:cNvPr>
        <xdr:cNvCxnSpPr/>
      </xdr:nvCxnSpPr>
      <xdr:spPr>
        <a:xfrm>
          <a:off x="8714511" y="4177151"/>
          <a:ext cx="695734" cy="83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167640</xdr:colOff>
      <xdr:row>37</xdr:row>
      <xdr:rowOff>28575</xdr:rowOff>
    </xdr:from>
    <xdr:to>
      <xdr:col>15</xdr:col>
      <xdr:colOff>167988</xdr:colOff>
      <xdr:row>37</xdr:row>
      <xdr:rowOff>94669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93A8EBEA-84EF-4872-BE86-DA77DDCDA356}"/>
            </a:ext>
          </a:extLst>
        </xdr:cNvPr>
        <xdr:cNvCxnSpPr/>
      </xdr:nvCxnSpPr>
      <xdr:spPr>
        <a:xfrm flipH="1" flipV="1">
          <a:off x="9258300" y="6962775"/>
          <a:ext cx="348" cy="6609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30480</xdr:rowOff>
    </xdr:from>
    <xdr:to>
      <xdr:col>15</xdr:col>
      <xdr:colOff>172554</xdr:colOff>
      <xdr:row>37</xdr:row>
      <xdr:rowOff>30963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B30F31E3-1D0F-4764-8459-B7EDCF0E4C51}"/>
            </a:ext>
          </a:extLst>
        </xdr:cNvPr>
        <xdr:cNvCxnSpPr/>
      </xdr:nvCxnSpPr>
      <xdr:spPr>
        <a:xfrm>
          <a:off x="8801100" y="6964680"/>
          <a:ext cx="462114" cy="48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506213</xdr:colOff>
      <xdr:row>37</xdr:row>
      <xdr:rowOff>87702</xdr:rowOff>
    </xdr:from>
    <xdr:to>
      <xdr:col>15</xdr:col>
      <xdr:colOff>408775</xdr:colOff>
      <xdr:row>37</xdr:row>
      <xdr:rowOff>88534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639F5C80-AC90-4156-B4B9-8E741FCA7988}"/>
            </a:ext>
          </a:extLst>
        </xdr:cNvPr>
        <xdr:cNvCxnSpPr/>
      </xdr:nvCxnSpPr>
      <xdr:spPr>
        <a:xfrm>
          <a:off x="8804393" y="7021902"/>
          <a:ext cx="695042" cy="83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555811</xdr:colOff>
      <xdr:row>24</xdr:row>
      <xdr:rowOff>345100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D319BA8-AD0F-4375-8F8F-DF95BED8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922494" cy="267592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0BA7283-A0EC-4D7B-8BA2-B678E21C2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986F13-9394-4166-9F36-F973E7BE1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893C56-D344-492F-B999-E4C100AD0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386295</xdr:colOff>
      <xdr:row>37</xdr:row>
      <xdr:rowOff>42153</xdr:rowOff>
    </xdr:from>
    <xdr:to>
      <xdr:col>16</xdr:col>
      <xdr:colOff>389106</xdr:colOff>
      <xdr:row>37</xdr:row>
      <xdr:rowOff>100306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827EFE4-BE17-4D88-9449-37F3FF4423CF}"/>
            </a:ext>
          </a:extLst>
        </xdr:cNvPr>
        <xdr:cNvCxnSpPr/>
      </xdr:nvCxnSpPr>
      <xdr:spPr>
        <a:xfrm flipV="1">
          <a:off x="10272840" y="6929336"/>
          <a:ext cx="2811" cy="5815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500386</xdr:colOff>
      <xdr:row>37</xdr:row>
      <xdr:rowOff>41731</xdr:rowOff>
    </xdr:from>
    <xdr:to>
      <xdr:col>16</xdr:col>
      <xdr:colOff>388614</xdr:colOff>
      <xdr:row>37</xdr:row>
      <xdr:rowOff>45987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20D8265-069F-49B8-99E3-7B9020EF9CD3}"/>
            </a:ext>
          </a:extLst>
        </xdr:cNvPr>
        <xdr:cNvCxnSpPr/>
      </xdr:nvCxnSpPr>
      <xdr:spPr>
        <a:xfrm>
          <a:off x="8804565" y="6928914"/>
          <a:ext cx="1470594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5FEA972-5D07-4039-A534-D812E1A285F8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97EF424C-973C-43D1-A567-30F4D7AF6E9B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22AD588-7373-4841-83A4-57DA9795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3143B590-E1A7-4151-BB91-6FCCD6DE4095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F3F86F61-5B94-4F8C-AC09-57B96E2AE013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214180</xdr:colOff>
      <xdr:row>22</xdr:row>
      <xdr:rowOff>118821</xdr:rowOff>
    </xdr:from>
    <xdr:to>
      <xdr:col>15</xdr:col>
      <xdr:colOff>214393</xdr:colOff>
      <xdr:row>22</xdr:row>
      <xdr:rowOff>153577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40C6709-AC26-4C7C-8A3F-7CFD07C0F5F1}"/>
            </a:ext>
          </a:extLst>
        </xdr:cNvPr>
        <xdr:cNvCxnSpPr/>
      </xdr:nvCxnSpPr>
      <xdr:spPr>
        <a:xfrm flipV="1">
          <a:off x="9298770" y="4153546"/>
          <a:ext cx="213" cy="3475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395207</xdr:colOff>
      <xdr:row>22</xdr:row>
      <xdr:rowOff>116238</xdr:rowOff>
    </xdr:from>
    <xdr:to>
      <xdr:col>15</xdr:col>
      <xdr:colOff>217580</xdr:colOff>
      <xdr:row>22</xdr:row>
      <xdr:rowOff>124957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616D2D1-4121-413A-B573-642BF9887F8F}"/>
            </a:ext>
          </a:extLst>
        </xdr:cNvPr>
        <xdr:cNvCxnSpPr/>
      </xdr:nvCxnSpPr>
      <xdr:spPr>
        <a:xfrm>
          <a:off x="8686800" y="4150963"/>
          <a:ext cx="615370" cy="87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5631</xdr:colOff>
      <xdr:row>21</xdr:row>
      <xdr:rowOff>15240</xdr:rowOff>
    </xdr:from>
    <xdr:to>
      <xdr:col>16</xdr:col>
      <xdr:colOff>5959</xdr:colOff>
      <xdr:row>22</xdr:row>
      <xdr:rowOff>146454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BE73DF6-7F30-49B1-9522-88E580431A4C}"/>
            </a:ext>
          </a:extLst>
        </xdr:cNvPr>
        <xdr:cNvCxnSpPr/>
      </xdr:nvCxnSpPr>
      <xdr:spPr>
        <a:xfrm flipH="1" flipV="1">
          <a:off x="9883217" y="3866569"/>
          <a:ext cx="328" cy="31461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392727</xdr:colOff>
      <xdr:row>21</xdr:row>
      <xdr:rowOff>12390</xdr:rowOff>
    </xdr:from>
    <xdr:to>
      <xdr:col>16</xdr:col>
      <xdr:colOff>12525</xdr:colOff>
      <xdr:row>21</xdr:row>
      <xdr:rowOff>12657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0D62BE6-1975-4919-BC81-55576B44AFB3}"/>
            </a:ext>
          </a:extLst>
        </xdr:cNvPr>
        <xdr:cNvCxnSpPr/>
      </xdr:nvCxnSpPr>
      <xdr:spPr>
        <a:xfrm flipV="1">
          <a:off x="8684320" y="3863719"/>
          <a:ext cx="1205791" cy="26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421341</xdr:colOff>
      <xdr:row>24</xdr:row>
      <xdr:rowOff>282587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BF8B946-423F-439C-99CE-B72CA020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788024" cy="261341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9495F6A-E390-4EAF-865D-C0243E117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2F6A7F-33C3-40F5-AEEA-C7CFCF3D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E2C331-A3D6-4A0A-8DE1-317D049B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E4C99D27-F24C-463B-B322-9628D2F82F4F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43C57FE-D2E4-4F87-A181-332C159D61B3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1CE920C-FAC2-43DF-8179-3C4C9457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39C6956-E72B-4F70-9C8F-98D7A148A6B2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B282C59-5BA8-4BE5-8353-56340CEFA3A9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294299</xdr:colOff>
      <xdr:row>22</xdr:row>
      <xdr:rowOff>54864</xdr:rowOff>
    </xdr:from>
    <xdr:to>
      <xdr:col>15</xdr:col>
      <xdr:colOff>295656</xdr:colOff>
      <xdr:row>22</xdr:row>
      <xdr:rowOff>100686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29448BB-DA6F-458A-98F8-0C0D8F7B8031}"/>
            </a:ext>
          </a:extLst>
        </xdr:cNvPr>
        <xdr:cNvCxnSpPr/>
      </xdr:nvCxnSpPr>
      <xdr:spPr>
        <a:xfrm flipV="1">
          <a:off x="9398675" y="4078224"/>
          <a:ext cx="1357" cy="458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377952</xdr:colOff>
      <xdr:row>22</xdr:row>
      <xdr:rowOff>53724</xdr:rowOff>
    </xdr:from>
    <xdr:to>
      <xdr:col>15</xdr:col>
      <xdr:colOff>301211</xdr:colOff>
      <xdr:row>22</xdr:row>
      <xdr:rowOff>54864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7DB587E-3AD7-44B3-AD0B-7D15B3764C09}"/>
            </a:ext>
          </a:extLst>
        </xdr:cNvPr>
        <xdr:cNvCxnSpPr/>
      </xdr:nvCxnSpPr>
      <xdr:spPr>
        <a:xfrm flipV="1">
          <a:off x="8689848" y="4077084"/>
          <a:ext cx="715739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7BE99F1-2F3A-4936-ABFB-DE0B8C60E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1AD2987A-F29A-41FB-B262-CA356EFBE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438B45-755C-4B3B-883C-4FCE4918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672790</xdr:colOff>
      <xdr:row>19</xdr:row>
      <xdr:rowOff>178420</xdr:rowOff>
    </xdr:from>
    <xdr:to>
      <xdr:col>16</xdr:col>
      <xdr:colOff>673100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B791BEA-02BC-4922-A3D9-4E73D7F2D81B}"/>
            </a:ext>
          </a:extLst>
        </xdr:cNvPr>
        <xdr:cNvCxnSpPr/>
      </xdr:nvCxnSpPr>
      <xdr:spPr>
        <a:xfrm flipH="1" flipV="1">
          <a:off x="10563922" y="3639015"/>
          <a:ext cx="310" cy="28662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443593</xdr:colOff>
      <xdr:row>20</xdr:row>
      <xdr:rowOff>365</xdr:rowOff>
    </xdr:from>
    <xdr:to>
      <xdr:col>16</xdr:col>
      <xdr:colOff>673151</xdr:colOff>
      <xdr:row>20</xdr:row>
      <xdr:rowOff>2722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FD5AD4F-597E-4D9B-BA59-7D43CB3FCAAA}"/>
            </a:ext>
          </a:extLst>
        </xdr:cNvPr>
        <xdr:cNvCxnSpPr/>
      </xdr:nvCxnSpPr>
      <xdr:spPr>
        <a:xfrm flipV="1">
          <a:off x="8733064" y="3647079"/>
          <a:ext cx="1813430" cy="2357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53522C9-F619-4B90-B0CA-19660B18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504825</xdr:colOff>
      <xdr:row>37</xdr:row>
      <xdr:rowOff>85568</xdr:rowOff>
    </xdr:from>
    <xdr:to>
      <xdr:col>15</xdr:col>
      <xdr:colOff>389549</xdr:colOff>
      <xdr:row>37</xdr:row>
      <xdr:rowOff>90488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1CA79D01-5354-46EB-BCC9-A5B66360CFD6}"/>
            </a:ext>
          </a:extLst>
        </xdr:cNvPr>
        <xdr:cNvCxnSpPr/>
      </xdr:nvCxnSpPr>
      <xdr:spPr>
        <a:xfrm flipV="1">
          <a:off x="8805863" y="6953093"/>
          <a:ext cx="675299" cy="4920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D1F4F20-6DDC-4A3F-9141-255F254C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21</xdr:col>
      <xdr:colOff>352425</xdr:colOff>
      <xdr:row>17</xdr:row>
      <xdr:rowOff>80963</xdr:rowOff>
    </xdr:from>
    <xdr:to>
      <xdr:col>21</xdr:col>
      <xdr:colOff>354504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1FAF4E0-1902-42E6-B4BC-792FCD7AE96E}"/>
            </a:ext>
          </a:extLst>
        </xdr:cNvPr>
        <xdr:cNvCxnSpPr/>
      </xdr:nvCxnSpPr>
      <xdr:spPr>
        <a:xfrm flipH="1" flipV="1">
          <a:off x="14202240" y="3177285"/>
          <a:ext cx="2079" cy="65977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423862</xdr:colOff>
      <xdr:row>17</xdr:row>
      <xdr:rowOff>81227</xdr:rowOff>
    </xdr:from>
    <xdr:to>
      <xdr:col>21</xdr:col>
      <xdr:colOff>356114</xdr:colOff>
      <xdr:row>17</xdr:row>
      <xdr:rowOff>85725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B647C08A-7BCC-40F8-9A0E-E9DDA79A0E89}"/>
            </a:ext>
          </a:extLst>
        </xdr:cNvPr>
        <xdr:cNvCxnSpPr/>
      </xdr:nvCxnSpPr>
      <xdr:spPr>
        <a:xfrm flipV="1">
          <a:off x="12690203" y="3177549"/>
          <a:ext cx="1515726" cy="449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8965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4F8E452-F6B4-41C9-B299-20018C0B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1"/>
          <a:ext cx="3178885" cy="2328216"/>
        </a:xfrm>
        <a:prstGeom prst="rect">
          <a:avLst/>
        </a:prstGeom>
      </xdr:spPr>
    </xdr:pic>
    <xdr:clientData/>
  </xdr:twoCellAnchor>
  <xdr:twoCellAnchor>
    <xdr:from>
      <xdr:col>21</xdr:col>
      <xdr:colOff>572429</xdr:colOff>
      <xdr:row>30</xdr:row>
      <xdr:rowOff>81775</xdr:rowOff>
    </xdr:from>
    <xdr:to>
      <xdr:col>21</xdr:col>
      <xdr:colOff>573654</xdr:colOff>
      <xdr:row>36</xdr:row>
      <xdr:rowOff>40107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105F042D-A928-40C2-8905-DD2A493F35B9}"/>
            </a:ext>
          </a:extLst>
        </xdr:cNvPr>
        <xdr:cNvCxnSpPr/>
      </xdr:nvCxnSpPr>
      <xdr:spPr>
        <a:xfrm flipH="1" flipV="1">
          <a:off x="14422244" y="5713141"/>
          <a:ext cx="1225" cy="105115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386576</xdr:colOff>
      <xdr:row>30</xdr:row>
      <xdr:rowOff>81775</xdr:rowOff>
    </xdr:from>
    <xdr:to>
      <xdr:col>21</xdr:col>
      <xdr:colOff>565631</xdr:colOff>
      <xdr:row>30</xdr:row>
      <xdr:rowOff>83709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E7FE3013-C08D-4A75-9F1E-2D3F83A0732A}"/>
            </a:ext>
          </a:extLst>
        </xdr:cNvPr>
        <xdr:cNvCxnSpPr/>
      </xdr:nvCxnSpPr>
      <xdr:spPr>
        <a:xfrm>
          <a:off x="12652917" y="5713141"/>
          <a:ext cx="1762529" cy="19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33453</xdr:colOff>
      <xdr:row>33</xdr:row>
      <xdr:rowOff>63190</xdr:rowOff>
    </xdr:from>
    <xdr:to>
      <xdr:col>21</xdr:col>
      <xdr:colOff>36400</xdr:colOff>
      <xdr:row>36</xdr:row>
      <xdr:rowOff>36810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C3F9DDA3-7C63-4CDB-B1E5-99C13F9ADBB7}"/>
            </a:ext>
          </a:extLst>
        </xdr:cNvPr>
        <xdr:cNvCxnSpPr/>
      </xdr:nvCxnSpPr>
      <xdr:spPr>
        <a:xfrm flipH="1" flipV="1">
          <a:off x="13883268" y="6240966"/>
          <a:ext cx="2947" cy="52002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386576</xdr:colOff>
      <xdr:row>33</xdr:row>
      <xdr:rowOff>63190</xdr:rowOff>
    </xdr:from>
    <xdr:to>
      <xdr:col>21</xdr:col>
      <xdr:colOff>36450</xdr:colOff>
      <xdr:row>33</xdr:row>
      <xdr:rowOff>68609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1CE13CFA-0811-4B30-8D61-801B732AED9D}"/>
            </a:ext>
          </a:extLst>
        </xdr:cNvPr>
        <xdr:cNvCxnSpPr/>
      </xdr:nvCxnSpPr>
      <xdr:spPr>
        <a:xfrm>
          <a:off x="12652917" y="6240966"/>
          <a:ext cx="1233348" cy="541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561396</xdr:colOff>
      <xdr:row>20</xdr:row>
      <xdr:rowOff>11151</xdr:rowOff>
    </xdr:from>
    <xdr:to>
      <xdr:col>20</xdr:col>
      <xdr:colOff>564995</xdr:colOff>
      <xdr:row>21</xdr:row>
      <xdr:rowOff>11033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8F6694D1-E4B2-4F33-82ED-E898803D15F7}"/>
            </a:ext>
          </a:extLst>
        </xdr:cNvPr>
        <xdr:cNvCxnSpPr/>
      </xdr:nvCxnSpPr>
      <xdr:spPr>
        <a:xfrm flipV="1">
          <a:off x="13619474" y="3653883"/>
          <a:ext cx="3599" cy="182018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431181</xdr:colOff>
      <xdr:row>20</xdr:row>
      <xdr:rowOff>7434</xdr:rowOff>
    </xdr:from>
    <xdr:to>
      <xdr:col>20</xdr:col>
      <xdr:colOff>563005</xdr:colOff>
      <xdr:row>20</xdr:row>
      <xdr:rowOff>9434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FE8EC1A6-8A33-4180-956C-B5D4E0BC87DA}"/>
            </a:ext>
          </a:extLst>
        </xdr:cNvPr>
        <xdr:cNvCxnSpPr/>
      </xdr:nvCxnSpPr>
      <xdr:spPr>
        <a:xfrm>
          <a:off x="12697522" y="3650166"/>
          <a:ext cx="923561" cy="200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644434</xdr:colOff>
      <xdr:row>19</xdr:row>
      <xdr:rowOff>63190</xdr:rowOff>
    </xdr:from>
    <xdr:to>
      <xdr:col>21</xdr:col>
      <xdr:colOff>646770</xdr:colOff>
      <xdr:row>21</xdr:row>
      <xdr:rowOff>12198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D0A3CDDD-434C-4F09-B946-DC47966BC0E1}"/>
            </a:ext>
          </a:extLst>
        </xdr:cNvPr>
        <xdr:cNvCxnSpPr/>
      </xdr:nvCxnSpPr>
      <xdr:spPr>
        <a:xfrm flipV="1">
          <a:off x="14494249" y="3523785"/>
          <a:ext cx="2336" cy="31328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420030</xdr:colOff>
      <xdr:row>19</xdr:row>
      <xdr:rowOff>66355</xdr:rowOff>
    </xdr:from>
    <xdr:to>
      <xdr:col>21</xdr:col>
      <xdr:colOff>646043</xdr:colOff>
      <xdr:row>19</xdr:row>
      <xdr:rowOff>70625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341165D8-B805-4A54-AE21-58FE489FBDFA}"/>
            </a:ext>
          </a:extLst>
        </xdr:cNvPr>
        <xdr:cNvCxnSpPr/>
      </xdr:nvCxnSpPr>
      <xdr:spPr>
        <a:xfrm flipV="1">
          <a:off x="12686371" y="3526950"/>
          <a:ext cx="1809487" cy="427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297180</xdr:colOff>
      <xdr:row>24</xdr:row>
      <xdr:rowOff>190214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FCC7619-7F66-4EF5-A961-94BE937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674620" cy="25676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04A0810-D18D-4A57-A5E4-3482191D3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350808</xdr:colOff>
      <xdr:row>22</xdr:row>
      <xdr:rowOff>11486</xdr:rowOff>
    </xdr:from>
    <xdr:to>
      <xdr:col>15</xdr:col>
      <xdr:colOff>304800</xdr:colOff>
      <xdr:row>22</xdr:row>
      <xdr:rowOff>11502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DCA20B9-74C3-4FE7-8451-9B5384747B2C}"/>
            </a:ext>
          </a:extLst>
        </xdr:cNvPr>
        <xdr:cNvCxnSpPr/>
      </xdr:nvCxnSpPr>
      <xdr:spPr>
        <a:xfrm>
          <a:off x="8643668" y="4060150"/>
          <a:ext cx="747623" cy="1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193303</xdr:colOff>
      <xdr:row>21</xdr:row>
      <xdr:rowOff>179286</xdr:rowOff>
    </xdr:from>
    <xdr:to>
      <xdr:col>15</xdr:col>
      <xdr:colOff>194310</xdr:colOff>
      <xdr:row>22</xdr:row>
      <xdr:rowOff>24765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7F358D9-15A5-4FD3-8449-A195E6CB522E}"/>
            </a:ext>
          </a:extLst>
        </xdr:cNvPr>
        <xdr:cNvCxnSpPr/>
      </xdr:nvCxnSpPr>
      <xdr:spPr>
        <a:xfrm flipH="1" flipV="1">
          <a:off x="9283963" y="4019766"/>
          <a:ext cx="1007" cy="283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350520</xdr:colOff>
      <xdr:row>21</xdr:row>
      <xdr:rowOff>177165</xdr:rowOff>
    </xdr:from>
    <xdr:to>
      <xdr:col>15</xdr:col>
      <xdr:colOff>198010</xdr:colOff>
      <xdr:row>21</xdr:row>
      <xdr:rowOff>178691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8A9191FB-2672-425E-8FAF-3AF61809BD5D}"/>
            </a:ext>
          </a:extLst>
        </xdr:cNvPr>
        <xdr:cNvCxnSpPr/>
      </xdr:nvCxnSpPr>
      <xdr:spPr>
        <a:xfrm>
          <a:off x="8648700" y="4017645"/>
          <a:ext cx="639970" cy="152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639189</xdr:colOff>
      <xdr:row>24</xdr:row>
      <xdr:rowOff>323525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A6BC55A-DF0B-44F7-AF5A-3906CEC4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016629" cy="2700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305131</xdr:colOff>
      <xdr:row>24</xdr:row>
      <xdr:rowOff>224669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326D743-54CD-4760-80AD-EF873EB5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682571" cy="260210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40F8870-34D3-4B8A-851C-FEAA7CCD8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EA510F-8C4D-46AE-9D89-245B33E8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734568</xdr:colOff>
      <xdr:row>22</xdr:row>
      <xdr:rowOff>94488</xdr:rowOff>
    </xdr:from>
    <xdr:to>
      <xdr:col>19</xdr:col>
      <xdr:colOff>737616</xdr:colOff>
      <xdr:row>22</xdr:row>
      <xdr:rowOff>134114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2A36040-9C4B-48F5-ABF2-DA73A4D96020}"/>
            </a:ext>
          </a:extLst>
        </xdr:cNvPr>
        <xdr:cNvCxnSpPr/>
      </xdr:nvCxnSpPr>
      <xdr:spPr>
        <a:xfrm flipH="1" flipV="1">
          <a:off x="13008864" y="4117848"/>
          <a:ext cx="3048" cy="39626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374904</xdr:colOff>
      <xdr:row>22</xdr:row>
      <xdr:rowOff>93514</xdr:rowOff>
    </xdr:from>
    <xdr:to>
      <xdr:col>19</xdr:col>
      <xdr:colOff>737639</xdr:colOff>
      <xdr:row>22</xdr:row>
      <xdr:rowOff>94488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63D7D91-8253-4D3C-8074-DFD459C179F4}"/>
            </a:ext>
          </a:extLst>
        </xdr:cNvPr>
        <xdr:cNvCxnSpPr/>
      </xdr:nvCxnSpPr>
      <xdr:spPr>
        <a:xfrm flipV="1">
          <a:off x="12649200" y="4116874"/>
          <a:ext cx="362735" cy="97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656987</xdr:colOff>
      <xdr:row>21</xdr:row>
      <xdr:rowOff>143428</xdr:rowOff>
    </xdr:from>
    <xdr:to>
      <xdr:col>15</xdr:col>
      <xdr:colOff>657010</xdr:colOff>
      <xdr:row>22</xdr:row>
      <xdr:rowOff>51917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256E928-39E8-498C-B0FB-8F17D45A65AF}"/>
            </a:ext>
          </a:extLst>
        </xdr:cNvPr>
        <xdr:cNvCxnSpPr/>
      </xdr:nvCxnSpPr>
      <xdr:spPr>
        <a:xfrm flipH="1" flipV="1">
          <a:off x="9761363" y="3983908"/>
          <a:ext cx="23" cy="9136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356616</xdr:colOff>
      <xdr:row>21</xdr:row>
      <xdr:rowOff>145164</xdr:rowOff>
    </xdr:from>
    <xdr:to>
      <xdr:col>15</xdr:col>
      <xdr:colOff>660875</xdr:colOff>
      <xdr:row>21</xdr:row>
      <xdr:rowOff>146304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CC6A6FA-1457-44AC-AADA-505C64BBA9B9}"/>
            </a:ext>
          </a:extLst>
        </xdr:cNvPr>
        <xdr:cNvCxnSpPr/>
      </xdr:nvCxnSpPr>
      <xdr:spPr>
        <a:xfrm flipV="1">
          <a:off x="8668512" y="3985644"/>
          <a:ext cx="1096739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499872</xdr:colOff>
      <xdr:row>37</xdr:row>
      <xdr:rowOff>89917</xdr:rowOff>
    </xdr:from>
    <xdr:to>
      <xdr:col>16</xdr:col>
      <xdr:colOff>81424</xdr:colOff>
      <xdr:row>37</xdr:row>
      <xdr:rowOff>91440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1C83AF1-D1D4-4635-BDDA-6BFA5FDF40CF}"/>
            </a:ext>
          </a:extLst>
        </xdr:cNvPr>
        <xdr:cNvCxnSpPr/>
      </xdr:nvCxnSpPr>
      <xdr:spPr>
        <a:xfrm flipV="1">
          <a:off x="8811768" y="7024117"/>
          <a:ext cx="1166512" cy="152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96019A-4D3D-4C20-AD3D-DBCA862D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22</xdr:col>
      <xdr:colOff>696368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1AC9230-35ED-4BB4-9647-7BD94EB9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492252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11</xdr:row>
      <xdr:rowOff>0</xdr:rowOff>
    </xdr:from>
    <xdr:to>
      <xdr:col>22</xdr:col>
      <xdr:colOff>586741</xdr:colOff>
      <xdr:row>24</xdr:row>
      <xdr:rowOff>303354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F39B1A6-A733-4BF4-AD23-2A8C125D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1" y="2011680"/>
          <a:ext cx="2964180" cy="268079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313082</xdr:colOff>
      <xdr:row>24</xdr:row>
      <xdr:rowOff>259124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CF949FA-846A-410F-8D9B-C54D0522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8180" y="2011680"/>
          <a:ext cx="2690522" cy="263656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695F41B-309A-4E94-A575-283AB1A5C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225136</xdr:colOff>
      <xdr:row>21</xdr:row>
      <xdr:rowOff>138546</xdr:rowOff>
    </xdr:from>
    <xdr:to>
      <xdr:col>20</xdr:col>
      <xdr:colOff>225140</xdr:colOff>
      <xdr:row>22</xdr:row>
      <xdr:rowOff>107374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486E04E-6719-4512-890E-0D0C4C97C425}"/>
            </a:ext>
          </a:extLst>
        </xdr:cNvPr>
        <xdr:cNvCxnSpPr/>
      </xdr:nvCxnSpPr>
      <xdr:spPr>
        <a:xfrm flipH="1" flipV="1">
          <a:off x="13293436" y="3993573"/>
          <a:ext cx="4" cy="152401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360222</xdr:colOff>
      <xdr:row>21</xdr:row>
      <xdr:rowOff>138548</xdr:rowOff>
    </xdr:from>
    <xdr:to>
      <xdr:col>20</xdr:col>
      <xdr:colOff>225579</xdr:colOff>
      <xdr:row>21</xdr:row>
      <xdr:rowOff>140762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4C1574D-A61F-424E-9510-42AC85EA8E55}"/>
            </a:ext>
          </a:extLst>
        </xdr:cNvPr>
        <xdr:cNvCxnSpPr/>
      </xdr:nvCxnSpPr>
      <xdr:spPr>
        <a:xfrm>
          <a:off x="12635349" y="3993575"/>
          <a:ext cx="658530" cy="221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685800</xdr:colOff>
      <xdr:row>22</xdr:row>
      <xdr:rowOff>9144</xdr:rowOff>
    </xdr:from>
    <xdr:to>
      <xdr:col>15</xdr:col>
      <xdr:colOff>687491</xdr:colOff>
      <xdr:row>22</xdr:row>
      <xdr:rowOff>79350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1105616-0636-47B2-A48F-E8EBB075C581}"/>
            </a:ext>
          </a:extLst>
        </xdr:cNvPr>
        <xdr:cNvCxnSpPr/>
      </xdr:nvCxnSpPr>
      <xdr:spPr>
        <a:xfrm flipH="1" flipV="1">
          <a:off x="9790176" y="4032504"/>
          <a:ext cx="1691" cy="702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353568</xdr:colOff>
      <xdr:row>22</xdr:row>
      <xdr:rowOff>4956</xdr:rowOff>
    </xdr:from>
    <xdr:to>
      <xdr:col>15</xdr:col>
      <xdr:colOff>691355</xdr:colOff>
      <xdr:row>22</xdr:row>
      <xdr:rowOff>6096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9C2FE933-7F4D-4BA8-9C08-21C90B92C288}"/>
            </a:ext>
          </a:extLst>
        </xdr:cNvPr>
        <xdr:cNvCxnSpPr/>
      </xdr:nvCxnSpPr>
      <xdr:spPr>
        <a:xfrm flipV="1">
          <a:off x="8665464" y="4028316"/>
          <a:ext cx="1130267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747622</xdr:colOff>
      <xdr:row>21</xdr:row>
      <xdr:rowOff>77638</xdr:rowOff>
    </xdr:from>
    <xdr:to>
      <xdr:col>15</xdr:col>
      <xdr:colOff>747636</xdr:colOff>
      <xdr:row>22</xdr:row>
      <xdr:rowOff>77627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A0CE09AA-7248-4E26-8C5D-E4ED1468D363}"/>
            </a:ext>
          </a:extLst>
        </xdr:cNvPr>
        <xdr:cNvCxnSpPr/>
      </xdr:nvCxnSpPr>
      <xdr:spPr>
        <a:xfrm flipH="1" flipV="1">
          <a:off x="9834113" y="3942272"/>
          <a:ext cx="14" cy="18401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365185</xdr:colOff>
      <xdr:row>21</xdr:row>
      <xdr:rowOff>74762</xdr:rowOff>
    </xdr:from>
    <xdr:to>
      <xdr:col>15</xdr:col>
      <xdr:colOff>752343</xdr:colOff>
      <xdr:row>21</xdr:row>
      <xdr:rowOff>75119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6023285-4F8E-4602-A503-E674DDD1FFCC}"/>
            </a:ext>
          </a:extLst>
        </xdr:cNvPr>
        <xdr:cNvCxnSpPr/>
      </xdr:nvCxnSpPr>
      <xdr:spPr>
        <a:xfrm>
          <a:off x="8658045" y="3939396"/>
          <a:ext cx="1180789" cy="35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607275</xdr:colOff>
      <xdr:row>37</xdr:row>
      <xdr:rowOff>52098</xdr:rowOff>
    </xdr:from>
    <xdr:to>
      <xdr:col>15</xdr:col>
      <xdr:colOff>608631</xdr:colOff>
      <xdr:row>37</xdr:row>
      <xdr:rowOff>107064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8C87C71-9ADE-441B-B39C-EA0C7689EEFE}"/>
            </a:ext>
          </a:extLst>
        </xdr:cNvPr>
        <xdr:cNvCxnSpPr/>
      </xdr:nvCxnSpPr>
      <xdr:spPr>
        <a:xfrm flipV="1">
          <a:off x="9709711" y="7010543"/>
          <a:ext cx="1356" cy="5496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37</xdr:row>
      <xdr:rowOff>54696</xdr:rowOff>
    </xdr:from>
    <xdr:to>
      <xdr:col>15</xdr:col>
      <xdr:colOff>611138</xdr:colOff>
      <xdr:row>37</xdr:row>
      <xdr:rowOff>59795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5796F44B-0058-4BFF-AAC0-F594088FB297}"/>
            </a:ext>
          </a:extLst>
        </xdr:cNvPr>
        <xdr:cNvCxnSpPr/>
      </xdr:nvCxnSpPr>
      <xdr:spPr>
        <a:xfrm>
          <a:off x="8788160" y="7030590"/>
          <a:ext cx="909469" cy="509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568620</xdr:colOff>
      <xdr:row>22</xdr:row>
      <xdr:rowOff>48768</xdr:rowOff>
    </xdr:from>
    <xdr:to>
      <xdr:col>14</xdr:col>
      <xdr:colOff>569976</xdr:colOff>
      <xdr:row>22</xdr:row>
      <xdr:rowOff>82398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7A3EFA2-C020-4A57-99AE-91F5F4A0A8CB}"/>
            </a:ext>
          </a:extLst>
        </xdr:cNvPr>
        <xdr:cNvCxnSpPr/>
      </xdr:nvCxnSpPr>
      <xdr:spPr>
        <a:xfrm flipV="1">
          <a:off x="8880516" y="4072128"/>
          <a:ext cx="1356" cy="336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362122</xdr:colOff>
      <xdr:row>22</xdr:row>
      <xdr:rowOff>49358</xdr:rowOff>
    </xdr:from>
    <xdr:to>
      <xdr:col>14</xdr:col>
      <xdr:colOff>574941</xdr:colOff>
      <xdr:row>22</xdr:row>
      <xdr:rowOff>51266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1E37EA57-A8D2-4422-B3AE-E3FA63D62D85}"/>
            </a:ext>
          </a:extLst>
        </xdr:cNvPr>
        <xdr:cNvCxnSpPr/>
      </xdr:nvCxnSpPr>
      <xdr:spPr>
        <a:xfrm>
          <a:off x="8653174" y="4051087"/>
          <a:ext cx="212819" cy="190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360218</xdr:colOff>
      <xdr:row>22</xdr:row>
      <xdr:rowOff>96982</xdr:rowOff>
    </xdr:from>
    <xdr:to>
      <xdr:col>19</xdr:col>
      <xdr:colOff>540328</xdr:colOff>
      <xdr:row>22</xdr:row>
      <xdr:rowOff>96982</xdr:rowOff>
    </xdr:to>
    <xdr:cxnSp macro="">
      <xdr:nvCxnSpPr>
        <xdr:cNvPr id="62" name="Conector recto 61">
          <a:extLst>
            <a:ext uri="{FF2B5EF4-FFF2-40B4-BE49-F238E27FC236}">
              <a16:creationId xmlns:a16="http://schemas.microsoft.com/office/drawing/2014/main" id="{3402E8B5-081B-49B3-A518-73616947F801}"/>
            </a:ext>
          </a:extLst>
        </xdr:cNvPr>
        <xdr:cNvCxnSpPr/>
      </xdr:nvCxnSpPr>
      <xdr:spPr>
        <a:xfrm>
          <a:off x="12635345" y="4135582"/>
          <a:ext cx="180110" cy="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321033</xdr:colOff>
      <xdr:row>24</xdr:row>
      <xdr:rowOff>293579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23B103E-9B63-4F25-BC60-D130C4C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698473" cy="267101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2750D8-130D-4812-9F91-F95934C9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36079B-DBD0-46F8-A78B-50AE763D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F9A4FC-5FD5-4F76-9868-5FFF18B7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B2140E3-CD25-46E1-9B54-0A2B119D6448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99A02B7-7C48-4AD5-8384-54D0C6F1EFF8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3648DB0-545E-43DE-9C72-AC0E1EE2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6F6B5DA-3277-4581-8587-C0B7D3D9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E6C1BA7-291B-4715-80F9-8AD4519CA7F5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FCC74FA-982E-40DD-9C21-F0AB51FF49B8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7BACA6EA-825E-40ED-8688-7190EB9E1F8A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DA359C8-B4CB-4422-85B3-28E687BF4964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F103CE7-8E25-45E6-824D-E4BE480E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03A21BE-2C1B-42AE-A8CE-B3BDED81F920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207851B-30DF-4D69-A9FB-0F98004A3B42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22</xdr:row>
      <xdr:rowOff>100522</xdr:rowOff>
    </xdr:from>
    <xdr:to>
      <xdr:col>15</xdr:col>
      <xdr:colOff>301557</xdr:colOff>
      <xdr:row>22</xdr:row>
      <xdr:rowOff>100890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72666F5-168E-4B7B-9986-182EE44DF03F}"/>
            </a:ext>
          </a:extLst>
        </xdr:cNvPr>
        <xdr:cNvCxnSpPr/>
      </xdr:nvCxnSpPr>
      <xdr:spPr>
        <a:xfrm flipV="1">
          <a:off x="8654987" y="4095348"/>
          <a:ext cx="741932" cy="36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602347</xdr:colOff>
      <xdr:row>36</xdr:row>
      <xdr:rowOff>136187</xdr:rowOff>
    </xdr:from>
    <xdr:to>
      <xdr:col>15</xdr:col>
      <xdr:colOff>603115</xdr:colOff>
      <xdr:row>37</xdr:row>
      <xdr:rowOff>99003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20E2D5A-3D31-4B89-9B0E-7B2DD8584B43}"/>
            </a:ext>
          </a:extLst>
        </xdr:cNvPr>
        <xdr:cNvCxnSpPr/>
      </xdr:nvCxnSpPr>
      <xdr:spPr>
        <a:xfrm flipV="1">
          <a:off x="9697709" y="6841787"/>
          <a:ext cx="768" cy="14439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492868</xdr:colOff>
      <xdr:row>36</xdr:row>
      <xdr:rowOff>139054</xdr:rowOff>
    </xdr:from>
    <xdr:to>
      <xdr:col>15</xdr:col>
      <xdr:colOff>608913</xdr:colOff>
      <xdr:row>36</xdr:row>
      <xdr:rowOff>142674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C3393B4-1A9A-4DC5-96E5-B56A6B5EE66D}"/>
            </a:ext>
          </a:extLst>
        </xdr:cNvPr>
        <xdr:cNvCxnSpPr/>
      </xdr:nvCxnSpPr>
      <xdr:spPr>
        <a:xfrm flipV="1">
          <a:off x="8797047" y="6844654"/>
          <a:ext cx="907228" cy="362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363767</xdr:colOff>
      <xdr:row>22</xdr:row>
      <xdr:rowOff>84671</xdr:rowOff>
    </xdr:from>
    <xdr:to>
      <xdr:col>15</xdr:col>
      <xdr:colOff>136187</xdr:colOff>
      <xdr:row>22</xdr:row>
      <xdr:rowOff>90785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3DF888C-9EF5-4786-99E6-9AC3DBE6D092}"/>
            </a:ext>
          </a:extLst>
        </xdr:cNvPr>
        <xdr:cNvCxnSpPr/>
      </xdr:nvCxnSpPr>
      <xdr:spPr>
        <a:xfrm>
          <a:off x="8667946" y="4079497"/>
          <a:ext cx="563603" cy="611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502593</xdr:colOff>
      <xdr:row>37</xdr:row>
      <xdr:rowOff>90790</xdr:rowOff>
    </xdr:from>
    <xdr:to>
      <xdr:col>16</xdr:col>
      <xdr:colOff>48638</xdr:colOff>
      <xdr:row>37</xdr:row>
      <xdr:rowOff>90791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6F336AA2-8CEB-43CB-997A-4FBE738A5DDB}"/>
            </a:ext>
          </a:extLst>
        </xdr:cNvPr>
        <xdr:cNvCxnSpPr/>
      </xdr:nvCxnSpPr>
      <xdr:spPr>
        <a:xfrm>
          <a:off x="8806772" y="6977973"/>
          <a:ext cx="1128411" cy="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793630</xdr:colOff>
      <xdr:row>11</xdr:row>
      <xdr:rowOff>0</xdr:rowOff>
    </xdr:from>
    <xdr:to>
      <xdr:col>18</xdr:col>
      <xdr:colOff>49518</xdr:colOff>
      <xdr:row>24</xdr:row>
      <xdr:rowOff>80395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721A522-8210-46CC-B484-FD2C0375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2860" y="2024332"/>
          <a:ext cx="3224039" cy="247278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8B6B168-D533-49A7-88A9-3932BC4CF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9C1EDD-CC12-4079-838F-7D82BC84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8533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D94E065-4C74-448F-9F0F-B7C67747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1E6A2B2-4179-462C-B2EA-4E38EFF439A8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32D3A85-B76B-40D5-8340-9D29ACAAE6A9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82969A1-CA0D-4890-808A-08A3853F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51A6AC36-FFDA-4420-BDFE-9DDAB0112A96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C37D7C-94AE-4713-93C0-25D61F474AA4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5995C04F-3074-4F33-831F-9973D7A90E72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9246DE5-0E25-4E85-99EE-B0BFD5F76FA8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B2CB825-3441-46A4-84C9-DD79966E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27D7D115-0568-45C1-9226-6D79DCCA219E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3DBDF85-C10E-468F-AA68-7F7422BECAA5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537723</xdr:colOff>
      <xdr:row>21</xdr:row>
      <xdr:rowOff>66127</xdr:rowOff>
    </xdr:from>
    <xdr:to>
      <xdr:col>14</xdr:col>
      <xdr:colOff>537745</xdr:colOff>
      <xdr:row>21</xdr:row>
      <xdr:rowOff>158645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4308241-602F-4C44-AD28-731B351831ED}"/>
            </a:ext>
          </a:extLst>
        </xdr:cNvPr>
        <xdr:cNvCxnSpPr/>
      </xdr:nvCxnSpPr>
      <xdr:spPr>
        <a:xfrm flipH="1" flipV="1">
          <a:off x="8830583" y="3930761"/>
          <a:ext cx="22" cy="925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391065</xdr:colOff>
      <xdr:row>21</xdr:row>
      <xdr:rowOff>74759</xdr:rowOff>
    </xdr:from>
    <xdr:to>
      <xdr:col>14</xdr:col>
      <xdr:colOff>538562</xdr:colOff>
      <xdr:row>21</xdr:row>
      <xdr:rowOff>76314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69719F5-6A7A-42FC-9CF1-80048F543777}"/>
            </a:ext>
          </a:extLst>
        </xdr:cNvPr>
        <xdr:cNvCxnSpPr/>
      </xdr:nvCxnSpPr>
      <xdr:spPr>
        <a:xfrm>
          <a:off x="8683925" y="3939393"/>
          <a:ext cx="147497" cy="155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159173</xdr:colOff>
      <xdr:row>17</xdr:row>
      <xdr:rowOff>17253</xdr:rowOff>
    </xdr:from>
    <xdr:to>
      <xdr:col>16</xdr:col>
      <xdr:colOff>161026</xdr:colOff>
      <xdr:row>21</xdr:row>
      <xdr:rowOff>151697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5B9E3E7-8A72-4763-906F-01DD042DCA3F}"/>
            </a:ext>
          </a:extLst>
        </xdr:cNvPr>
        <xdr:cNvCxnSpPr/>
      </xdr:nvCxnSpPr>
      <xdr:spPr>
        <a:xfrm flipV="1">
          <a:off x="10039294" y="3145766"/>
          <a:ext cx="1853" cy="87056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393940</xdr:colOff>
      <xdr:row>17</xdr:row>
      <xdr:rowOff>20514</xdr:rowOff>
    </xdr:from>
    <xdr:to>
      <xdr:col>16</xdr:col>
      <xdr:colOff>165738</xdr:colOff>
      <xdr:row>17</xdr:row>
      <xdr:rowOff>23004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3E2FB86-9F67-46AB-8FAE-0DB2737AD840}"/>
            </a:ext>
          </a:extLst>
        </xdr:cNvPr>
        <xdr:cNvCxnSpPr/>
      </xdr:nvCxnSpPr>
      <xdr:spPr>
        <a:xfrm flipV="1">
          <a:off x="8686800" y="3149027"/>
          <a:ext cx="1359059" cy="249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434229</xdr:colOff>
      <xdr:row>19</xdr:row>
      <xdr:rowOff>140898</xdr:rowOff>
    </xdr:from>
    <xdr:to>
      <xdr:col>15</xdr:col>
      <xdr:colOff>437073</xdr:colOff>
      <xdr:row>21</xdr:row>
      <xdr:rowOff>155769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14A40308-79B5-402D-9476-368E6E0A5D5D}"/>
            </a:ext>
          </a:extLst>
        </xdr:cNvPr>
        <xdr:cNvCxnSpPr/>
      </xdr:nvCxnSpPr>
      <xdr:spPr>
        <a:xfrm flipV="1">
          <a:off x="9520720" y="3637472"/>
          <a:ext cx="2844" cy="38293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405440</xdr:colOff>
      <xdr:row>19</xdr:row>
      <xdr:rowOff>143773</xdr:rowOff>
    </xdr:from>
    <xdr:to>
      <xdr:col>15</xdr:col>
      <xdr:colOff>440795</xdr:colOff>
      <xdr:row>19</xdr:row>
      <xdr:rowOff>145334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769387D5-B728-432E-9BCC-1A06AB30957F}"/>
            </a:ext>
          </a:extLst>
        </xdr:cNvPr>
        <xdr:cNvCxnSpPr/>
      </xdr:nvCxnSpPr>
      <xdr:spPr>
        <a:xfrm>
          <a:off x="8698300" y="3640347"/>
          <a:ext cx="828986" cy="156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213360</xdr:colOff>
      <xdr:row>37</xdr:row>
      <xdr:rowOff>21336</xdr:rowOff>
    </xdr:from>
    <xdr:to>
      <xdr:col>15</xdr:col>
      <xdr:colOff>213911</xdr:colOff>
      <xdr:row>37</xdr:row>
      <xdr:rowOff>104182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ADE0F0AF-8215-420F-BC2F-C1FDEFDDA549}"/>
            </a:ext>
          </a:extLst>
        </xdr:cNvPr>
        <xdr:cNvCxnSpPr/>
      </xdr:nvCxnSpPr>
      <xdr:spPr>
        <a:xfrm flipH="1" flipV="1">
          <a:off x="9317736" y="6955536"/>
          <a:ext cx="551" cy="8284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496824</xdr:colOff>
      <xdr:row>37</xdr:row>
      <xdr:rowOff>21336</xdr:rowOff>
    </xdr:from>
    <xdr:to>
      <xdr:col>15</xdr:col>
      <xdr:colOff>217776</xdr:colOff>
      <xdr:row>37</xdr:row>
      <xdr:rowOff>21852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45DF08DE-4B84-4BB0-AAE8-4D7976996796}"/>
            </a:ext>
          </a:extLst>
        </xdr:cNvPr>
        <xdr:cNvCxnSpPr/>
      </xdr:nvCxnSpPr>
      <xdr:spPr>
        <a:xfrm>
          <a:off x="8808720" y="6955536"/>
          <a:ext cx="513432" cy="51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176596</xdr:colOff>
      <xdr:row>37</xdr:row>
      <xdr:rowOff>71402</xdr:rowOff>
    </xdr:from>
    <xdr:to>
      <xdr:col>16</xdr:col>
      <xdr:colOff>177059</xdr:colOff>
      <xdr:row>37</xdr:row>
      <xdr:rowOff>106886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DE7381A6-CE29-4611-B357-4F22CAAD6D60}"/>
            </a:ext>
          </a:extLst>
        </xdr:cNvPr>
        <xdr:cNvCxnSpPr/>
      </xdr:nvCxnSpPr>
      <xdr:spPr>
        <a:xfrm flipV="1">
          <a:off x="10056838" y="6989503"/>
          <a:ext cx="463" cy="3548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500129</xdr:colOff>
      <xdr:row>37</xdr:row>
      <xdr:rowOff>72981</xdr:rowOff>
    </xdr:from>
    <xdr:to>
      <xdr:col>16</xdr:col>
      <xdr:colOff>180781</xdr:colOff>
      <xdr:row>37</xdr:row>
      <xdr:rowOff>75837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7FEB0F37-E115-46B3-8252-1B41AFC83F99}"/>
            </a:ext>
          </a:extLst>
        </xdr:cNvPr>
        <xdr:cNvCxnSpPr/>
      </xdr:nvCxnSpPr>
      <xdr:spPr>
        <a:xfrm>
          <a:off x="8796270" y="6991082"/>
          <a:ext cx="1264753" cy="285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791935</xdr:colOff>
      <xdr:row>11</xdr:row>
      <xdr:rowOff>0</xdr:rowOff>
    </xdr:from>
    <xdr:to>
      <xdr:col>17</xdr:col>
      <xdr:colOff>328984</xdr:colOff>
      <xdr:row>24</xdr:row>
      <xdr:rowOff>328034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DF6E518-9753-42C8-91A9-75919340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9471" y="2005693"/>
          <a:ext cx="2704792" cy="269839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CFD0767-3D68-4BA1-8EEA-2CB3C9E4B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66E624-8CD5-4B69-B8B0-25D5FDE8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525611</xdr:colOff>
      <xdr:row>37</xdr:row>
      <xdr:rowOff>65052</xdr:rowOff>
    </xdr:from>
    <xdr:to>
      <xdr:col>15</xdr:col>
      <xdr:colOff>527082</xdr:colOff>
      <xdr:row>37</xdr:row>
      <xdr:rowOff>103999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4852A38D-C0D0-4BD1-8710-E45EC53426D4}"/>
            </a:ext>
          </a:extLst>
        </xdr:cNvPr>
        <xdr:cNvCxnSpPr/>
      </xdr:nvCxnSpPr>
      <xdr:spPr>
        <a:xfrm flipV="1">
          <a:off x="9608159" y="6964839"/>
          <a:ext cx="1471" cy="3894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37</xdr:row>
      <xdr:rowOff>69012</xdr:rowOff>
    </xdr:from>
    <xdr:to>
      <xdr:col>15</xdr:col>
      <xdr:colOff>531870</xdr:colOff>
      <xdr:row>37</xdr:row>
      <xdr:rowOff>73742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AF9A9E03-F779-45DB-BF76-458801668FB6}"/>
            </a:ext>
          </a:extLst>
        </xdr:cNvPr>
        <xdr:cNvCxnSpPr/>
      </xdr:nvCxnSpPr>
      <xdr:spPr>
        <a:xfrm flipV="1">
          <a:off x="8790039" y="6968799"/>
          <a:ext cx="824379" cy="47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1</xdr:rowOff>
    </xdr:from>
    <xdr:to>
      <xdr:col>17</xdr:col>
      <xdr:colOff>259976</xdr:colOff>
      <xdr:row>24</xdr:row>
      <xdr:rowOff>317447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54BACD5-209D-4625-95CC-EBAEDEA7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6"/>
          <a:ext cx="2626659" cy="264827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CF009D4-E35C-4B41-BA96-536D7B218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287D52-4586-4228-9829-0AB81E5D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359517</xdr:colOff>
      <xdr:row>22</xdr:row>
      <xdr:rowOff>108857</xdr:rowOff>
    </xdr:from>
    <xdr:to>
      <xdr:col>15</xdr:col>
      <xdr:colOff>378279</xdr:colOff>
      <xdr:row>22</xdr:row>
      <xdr:rowOff>110875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909982F0-EC47-4553-A293-7E94D5FA7284}"/>
            </a:ext>
          </a:extLst>
        </xdr:cNvPr>
        <xdr:cNvCxnSpPr/>
      </xdr:nvCxnSpPr>
      <xdr:spPr>
        <a:xfrm flipV="1">
          <a:off x="8648988" y="4120243"/>
          <a:ext cx="810698" cy="20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594692</xdr:colOff>
      <xdr:row>24</xdr:row>
      <xdr:rowOff>337809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7DDC4C-7B00-4480-AAB2-76FBC6F7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972132" cy="27152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267927</xdr:colOff>
      <xdr:row>25</xdr:row>
      <xdr:rowOff>1381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742907D-690A-4AE9-90B2-A48BF5FC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645367" cy="272934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E8F2A39-4BC1-4EF8-8960-F1473E03B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59E1F2-68E0-484B-BF2D-75785ABD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161285-3EF1-4FCD-88A2-2CE4B1F5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9150" y="4909457"/>
          <a:ext cx="3217261" cy="2450759"/>
        </a:xfrm>
        <a:prstGeom prst="rect">
          <a:avLst/>
        </a:prstGeom>
      </xdr:spPr>
    </xdr:pic>
    <xdr:clientData/>
  </xdr:twoCellAnchor>
  <xdr:twoCellAnchor>
    <xdr:from>
      <xdr:col>20</xdr:col>
      <xdr:colOff>342900</xdr:colOff>
      <xdr:row>34</xdr:row>
      <xdr:rowOff>176893</xdr:rowOff>
    </xdr:from>
    <xdr:to>
      <xdr:col>20</xdr:col>
      <xdr:colOff>342914</xdr:colOff>
      <xdr:row>36</xdr:row>
      <xdr:rowOff>152400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E7FE5D1-A0FE-478E-90CE-BD3106645985}"/>
            </a:ext>
          </a:extLst>
        </xdr:cNvPr>
        <xdr:cNvCxnSpPr/>
      </xdr:nvCxnSpPr>
      <xdr:spPr>
        <a:xfrm flipH="1" flipV="1">
          <a:off x="13383986" y="6545036"/>
          <a:ext cx="14" cy="34017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394607</xdr:colOff>
      <xdr:row>35</xdr:row>
      <xdr:rowOff>0</xdr:rowOff>
    </xdr:from>
    <xdr:to>
      <xdr:col>20</xdr:col>
      <xdr:colOff>343043</xdr:colOff>
      <xdr:row>35</xdr:row>
      <xdr:rowOff>477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6CEEE28-8830-4C82-8997-0FC7479E48D7}"/>
            </a:ext>
          </a:extLst>
        </xdr:cNvPr>
        <xdr:cNvCxnSpPr/>
      </xdr:nvCxnSpPr>
      <xdr:spPr>
        <a:xfrm>
          <a:off x="12643757" y="6550479"/>
          <a:ext cx="740372" cy="4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502595</xdr:colOff>
      <xdr:row>22</xdr:row>
      <xdr:rowOff>22697</xdr:rowOff>
    </xdr:from>
    <xdr:to>
      <xdr:col>15</xdr:col>
      <xdr:colOff>502921</xdr:colOff>
      <xdr:row>22</xdr:row>
      <xdr:rowOff>155299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ABF9F42-CB82-4069-9AAC-D15B30E39590}"/>
            </a:ext>
          </a:extLst>
        </xdr:cNvPr>
        <xdr:cNvCxnSpPr/>
      </xdr:nvCxnSpPr>
      <xdr:spPr>
        <a:xfrm flipH="1" flipV="1">
          <a:off x="9597957" y="4017523"/>
          <a:ext cx="326" cy="13260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22</xdr:row>
      <xdr:rowOff>24998</xdr:rowOff>
    </xdr:from>
    <xdr:to>
      <xdr:col>15</xdr:col>
      <xdr:colOff>506979</xdr:colOff>
      <xdr:row>22</xdr:row>
      <xdr:rowOff>38904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96E9489-157F-4A0E-B456-1BB6B3EDF7FA}"/>
            </a:ext>
          </a:extLst>
        </xdr:cNvPr>
        <xdr:cNvCxnSpPr/>
      </xdr:nvCxnSpPr>
      <xdr:spPr>
        <a:xfrm flipV="1">
          <a:off x="8660860" y="4019824"/>
          <a:ext cx="941481" cy="139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294314</xdr:colOff>
      <xdr:row>19</xdr:row>
      <xdr:rowOff>128545</xdr:rowOff>
    </xdr:from>
    <xdr:to>
      <xdr:col>16</xdr:col>
      <xdr:colOff>296173</xdr:colOff>
      <xdr:row>22</xdr:row>
      <xdr:rowOff>150846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7881280-DD6D-4A42-B42E-03BB5911D952}"/>
            </a:ext>
          </a:extLst>
        </xdr:cNvPr>
        <xdr:cNvCxnSpPr/>
      </xdr:nvCxnSpPr>
      <xdr:spPr>
        <a:xfrm flipV="1">
          <a:off x="10180859" y="3578622"/>
          <a:ext cx="1859" cy="56705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359432</xdr:colOff>
      <xdr:row>19</xdr:row>
      <xdr:rowOff>125669</xdr:rowOff>
    </xdr:from>
    <xdr:to>
      <xdr:col>16</xdr:col>
      <xdr:colOff>300880</xdr:colOff>
      <xdr:row>19</xdr:row>
      <xdr:rowOff>126044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FF42570-D455-42B7-BAD9-53E3B3184CCF}"/>
            </a:ext>
          </a:extLst>
        </xdr:cNvPr>
        <xdr:cNvCxnSpPr/>
      </xdr:nvCxnSpPr>
      <xdr:spPr>
        <a:xfrm>
          <a:off x="8663611" y="3575746"/>
          <a:ext cx="1523814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356678</xdr:colOff>
      <xdr:row>22</xdr:row>
      <xdr:rowOff>139422</xdr:rowOff>
    </xdr:from>
    <xdr:to>
      <xdr:col>14</xdr:col>
      <xdr:colOff>385864</xdr:colOff>
      <xdr:row>22</xdr:row>
      <xdr:rowOff>139429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D94D5F77-9347-485A-ABC6-FD0590F36680}"/>
            </a:ext>
          </a:extLst>
        </xdr:cNvPr>
        <xdr:cNvCxnSpPr/>
      </xdr:nvCxnSpPr>
      <xdr:spPr>
        <a:xfrm>
          <a:off x="8660857" y="4134248"/>
          <a:ext cx="29186" cy="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514709</xdr:colOff>
      <xdr:row>37</xdr:row>
      <xdr:rowOff>69012</xdr:rowOff>
    </xdr:from>
    <xdr:to>
      <xdr:col>15</xdr:col>
      <xdr:colOff>515888</xdr:colOff>
      <xdr:row>37</xdr:row>
      <xdr:rowOff>105964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24887625-399B-4900-8971-A69F250250DA}"/>
            </a:ext>
          </a:extLst>
        </xdr:cNvPr>
        <xdr:cNvCxnSpPr/>
      </xdr:nvCxnSpPr>
      <xdr:spPr>
        <a:xfrm flipH="1" flipV="1">
          <a:off x="9601200" y="7044906"/>
          <a:ext cx="1179" cy="3695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37</xdr:row>
      <xdr:rowOff>68099</xdr:rowOff>
    </xdr:from>
    <xdr:to>
      <xdr:col>15</xdr:col>
      <xdr:colOff>519946</xdr:colOff>
      <xdr:row>37</xdr:row>
      <xdr:rowOff>69012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C149CBA6-D4D1-45A7-9244-6062E1140948}"/>
            </a:ext>
          </a:extLst>
        </xdr:cNvPr>
        <xdr:cNvCxnSpPr/>
      </xdr:nvCxnSpPr>
      <xdr:spPr>
        <a:xfrm flipV="1">
          <a:off x="8796068" y="7043993"/>
          <a:ext cx="810369" cy="91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498022</xdr:colOff>
      <xdr:row>37</xdr:row>
      <xdr:rowOff>85301</xdr:rowOff>
    </xdr:from>
    <xdr:to>
      <xdr:col>16</xdr:col>
      <xdr:colOff>77021</xdr:colOff>
      <xdr:row>37</xdr:row>
      <xdr:rowOff>87086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A29D9706-0FA0-4098-888E-C9D52D1547F1}"/>
            </a:ext>
          </a:extLst>
        </xdr:cNvPr>
        <xdr:cNvCxnSpPr/>
      </xdr:nvCxnSpPr>
      <xdr:spPr>
        <a:xfrm flipV="1">
          <a:off x="8787493" y="7000451"/>
          <a:ext cx="1162871" cy="178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1</xdr:rowOff>
    </xdr:from>
    <xdr:to>
      <xdr:col>22</xdr:col>
      <xdr:colOff>472440</xdr:colOff>
      <xdr:row>24</xdr:row>
      <xdr:rowOff>252127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AB21610-BCC5-410B-9BB4-F6137377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1"/>
          <a:ext cx="2849880" cy="26295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1</xdr:rowOff>
    </xdr:from>
    <xdr:to>
      <xdr:col>17</xdr:col>
      <xdr:colOff>198120</xdr:colOff>
      <xdr:row>24</xdr:row>
      <xdr:rowOff>306005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41FB0DA-253C-47AE-A244-DF594CB8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1"/>
          <a:ext cx="2575560" cy="268344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0666EA8-86DD-4E43-8208-F2A3F7EA2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B1A19E-5EAC-4D2E-A793-E15C36C4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774192</xdr:colOff>
      <xdr:row>22</xdr:row>
      <xdr:rowOff>30480</xdr:rowOff>
    </xdr:from>
    <xdr:to>
      <xdr:col>19</xdr:col>
      <xdr:colOff>774192</xdr:colOff>
      <xdr:row>22</xdr:row>
      <xdr:rowOff>73154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96C9A9-B16A-41BE-AF98-84B2C385807F}"/>
            </a:ext>
          </a:extLst>
        </xdr:cNvPr>
        <xdr:cNvCxnSpPr/>
      </xdr:nvCxnSpPr>
      <xdr:spPr>
        <a:xfrm flipV="1">
          <a:off x="13048488" y="4053840"/>
          <a:ext cx="0" cy="4267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344424</xdr:colOff>
      <xdr:row>22</xdr:row>
      <xdr:rowOff>32554</xdr:rowOff>
    </xdr:from>
    <xdr:to>
      <xdr:col>19</xdr:col>
      <xdr:colOff>774215</xdr:colOff>
      <xdr:row>22</xdr:row>
      <xdr:rowOff>39624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292260A-0910-4C1F-B73A-A222CD2B46D2}"/>
            </a:ext>
          </a:extLst>
        </xdr:cNvPr>
        <xdr:cNvCxnSpPr/>
      </xdr:nvCxnSpPr>
      <xdr:spPr>
        <a:xfrm flipV="1">
          <a:off x="12618720" y="4055914"/>
          <a:ext cx="429791" cy="707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BE1338B-DEAE-4759-9B0D-F6788F53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74296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746760</xdr:colOff>
      <xdr:row>34</xdr:row>
      <xdr:rowOff>6096</xdr:rowOff>
    </xdr:from>
    <xdr:to>
      <xdr:col>20</xdr:col>
      <xdr:colOff>746760</xdr:colOff>
      <xdr:row>36</xdr:row>
      <xdr:rowOff>149352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6F3CF68-AFC5-4F59-ACDB-496012A5A2E3}"/>
            </a:ext>
          </a:extLst>
        </xdr:cNvPr>
        <xdr:cNvCxnSpPr/>
      </xdr:nvCxnSpPr>
      <xdr:spPr>
        <a:xfrm flipV="1">
          <a:off x="13813536" y="6391656"/>
          <a:ext cx="0" cy="50901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34</xdr:row>
      <xdr:rowOff>12884</xdr:rowOff>
    </xdr:from>
    <xdr:to>
      <xdr:col>20</xdr:col>
      <xdr:colOff>748849</xdr:colOff>
      <xdr:row>34</xdr:row>
      <xdr:rowOff>18288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A2213E8-0225-4652-B046-2C731B1AEF2A}"/>
            </a:ext>
          </a:extLst>
        </xdr:cNvPr>
        <xdr:cNvCxnSpPr/>
      </xdr:nvCxnSpPr>
      <xdr:spPr>
        <a:xfrm flipV="1">
          <a:off x="12667488" y="6398444"/>
          <a:ext cx="1148137" cy="540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421822</xdr:colOff>
      <xdr:row>22</xdr:row>
      <xdr:rowOff>5443</xdr:rowOff>
    </xdr:from>
    <xdr:to>
      <xdr:col>15</xdr:col>
      <xdr:colOff>422316</xdr:colOff>
      <xdr:row>22</xdr:row>
      <xdr:rowOff>115600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0F85F01-332E-4F86-91CE-35A08CC71868}"/>
            </a:ext>
          </a:extLst>
        </xdr:cNvPr>
        <xdr:cNvCxnSpPr/>
      </xdr:nvCxnSpPr>
      <xdr:spPr>
        <a:xfrm flipH="1" flipV="1">
          <a:off x="9503229" y="4016829"/>
          <a:ext cx="494" cy="11015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22</xdr:row>
      <xdr:rowOff>10075</xdr:rowOff>
    </xdr:from>
    <xdr:to>
      <xdr:col>15</xdr:col>
      <xdr:colOff>423131</xdr:colOff>
      <xdr:row>22</xdr:row>
      <xdr:rowOff>10888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9AA4F55-0B6E-4090-9EFC-1FCABFA847D0}"/>
            </a:ext>
          </a:extLst>
        </xdr:cNvPr>
        <xdr:cNvCxnSpPr/>
      </xdr:nvCxnSpPr>
      <xdr:spPr>
        <a:xfrm flipV="1">
          <a:off x="8632371" y="4021461"/>
          <a:ext cx="872167" cy="8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345622</xdr:colOff>
      <xdr:row>22</xdr:row>
      <xdr:rowOff>97971</xdr:rowOff>
    </xdr:from>
    <xdr:to>
      <xdr:col>15</xdr:col>
      <xdr:colOff>248968</xdr:colOff>
      <xdr:row>22</xdr:row>
      <xdr:rowOff>99885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8A457D32-F60F-4A8E-91A2-C3EB1987DE64}"/>
            </a:ext>
          </a:extLst>
        </xdr:cNvPr>
        <xdr:cNvCxnSpPr/>
      </xdr:nvCxnSpPr>
      <xdr:spPr>
        <a:xfrm>
          <a:off x="8635093" y="4109357"/>
          <a:ext cx="695282" cy="191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500743</xdr:colOff>
      <xdr:row>37</xdr:row>
      <xdr:rowOff>84364</xdr:rowOff>
    </xdr:from>
    <xdr:to>
      <xdr:col>16</xdr:col>
      <xdr:colOff>110162</xdr:colOff>
      <xdr:row>37</xdr:row>
      <xdr:rowOff>84608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FA91BA83-3462-4331-8D6A-E90E61EC95F1}"/>
            </a:ext>
          </a:extLst>
        </xdr:cNvPr>
        <xdr:cNvCxnSpPr/>
      </xdr:nvCxnSpPr>
      <xdr:spPr>
        <a:xfrm>
          <a:off x="8790214" y="6999514"/>
          <a:ext cx="1193291" cy="24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149147</xdr:colOff>
      <xdr:row>24</xdr:row>
      <xdr:rowOff>139478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ED896C9-ACF2-4765-BB3B-904D44D1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319067" cy="251691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206071</xdr:colOff>
      <xdr:row>24</xdr:row>
      <xdr:rowOff>340459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D1D6981-2A0B-49A4-921A-18C38066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1052" y="2000865"/>
          <a:ext cx="2580561" cy="270511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948AFFB-3645-4CE6-9CF9-A18A99DD1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67DC47-DF70-4289-8F0B-A3F07653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7689" y="4968933"/>
          <a:ext cx="3256012" cy="2541858"/>
        </a:xfrm>
        <a:prstGeom prst="rect">
          <a:avLst/>
        </a:prstGeom>
      </xdr:spPr>
    </xdr:pic>
    <xdr:clientData/>
  </xdr:twoCellAnchor>
  <xdr:twoCellAnchor>
    <xdr:from>
      <xdr:col>21</xdr:col>
      <xdr:colOff>366794</xdr:colOff>
      <xdr:row>21</xdr:row>
      <xdr:rowOff>147234</xdr:rowOff>
    </xdr:from>
    <xdr:to>
      <xdr:col>21</xdr:col>
      <xdr:colOff>369385</xdr:colOff>
      <xdr:row>21</xdr:row>
      <xdr:rowOff>180812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365FC6D-1A19-4B62-9CD9-1E46BA43F994}"/>
            </a:ext>
          </a:extLst>
        </xdr:cNvPr>
        <xdr:cNvCxnSpPr/>
      </xdr:nvCxnSpPr>
      <xdr:spPr>
        <a:xfrm flipH="1" flipV="1">
          <a:off x="14209363" y="3998563"/>
          <a:ext cx="2591" cy="33578"/>
        </a:xfrm>
        <a:prstGeom prst="line">
          <a:avLst/>
        </a:prstGeom>
        <a:ln>
          <a:solidFill>
            <a:srgbClr val="FFC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421038</xdr:colOff>
      <xdr:row>21</xdr:row>
      <xdr:rowOff>149817</xdr:rowOff>
    </xdr:from>
    <xdr:to>
      <xdr:col>21</xdr:col>
      <xdr:colOff>366359</xdr:colOff>
      <xdr:row>21</xdr:row>
      <xdr:rowOff>153021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312D64D-CAA9-418C-A2D4-1CFA9A84D859}"/>
            </a:ext>
          </a:extLst>
        </xdr:cNvPr>
        <xdr:cNvCxnSpPr/>
      </xdr:nvCxnSpPr>
      <xdr:spPr>
        <a:xfrm>
          <a:off x="12677614" y="4001146"/>
          <a:ext cx="1531314" cy="3204"/>
        </a:xfrm>
        <a:prstGeom prst="line">
          <a:avLst/>
        </a:prstGeom>
        <a:ln>
          <a:solidFill>
            <a:srgbClr val="FFC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412955</xdr:colOff>
      <xdr:row>22</xdr:row>
      <xdr:rowOff>34413</xdr:rowOff>
    </xdr:from>
    <xdr:to>
      <xdr:col>15</xdr:col>
      <xdr:colOff>413863</xdr:colOff>
      <xdr:row>22</xdr:row>
      <xdr:rowOff>144039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ACB32D2-3A09-4505-8C94-2204525C1DA3}"/>
            </a:ext>
          </a:extLst>
        </xdr:cNvPr>
        <xdr:cNvCxnSpPr/>
      </xdr:nvCxnSpPr>
      <xdr:spPr>
        <a:xfrm flipH="1" flipV="1">
          <a:off x="9495503" y="4036142"/>
          <a:ext cx="908" cy="10962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341671</xdr:colOff>
      <xdr:row>22</xdr:row>
      <xdr:rowOff>37592</xdr:rowOff>
    </xdr:from>
    <xdr:to>
      <xdr:col>15</xdr:col>
      <xdr:colOff>417137</xdr:colOff>
      <xdr:row>22</xdr:row>
      <xdr:rowOff>39329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3A0B222-4115-4D90-990C-323082C4BA01}"/>
            </a:ext>
          </a:extLst>
        </xdr:cNvPr>
        <xdr:cNvCxnSpPr/>
      </xdr:nvCxnSpPr>
      <xdr:spPr>
        <a:xfrm flipV="1">
          <a:off x="8632723" y="4039321"/>
          <a:ext cx="866962" cy="173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4265</xdr:colOff>
      <xdr:row>20</xdr:row>
      <xdr:rowOff>71284</xdr:rowOff>
    </xdr:from>
    <xdr:to>
      <xdr:col>16</xdr:col>
      <xdr:colOff>4916</xdr:colOff>
      <xdr:row>22</xdr:row>
      <xdr:rowOff>145286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C3E0A767-586B-4B51-93DC-8631CDB7F8E2}"/>
            </a:ext>
          </a:extLst>
        </xdr:cNvPr>
        <xdr:cNvCxnSpPr/>
      </xdr:nvCxnSpPr>
      <xdr:spPr>
        <a:xfrm flipV="1">
          <a:off x="9878310" y="3709219"/>
          <a:ext cx="651" cy="4377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346587</xdr:colOff>
      <xdr:row>20</xdr:row>
      <xdr:rowOff>73742</xdr:rowOff>
    </xdr:from>
    <xdr:to>
      <xdr:col>16</xdr:col>
      <xdr:colOff>10831</xdr:colOff>
      <xdr:row>20</xdr:row>
      <xdr:rowOff>78693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ABC3945-F99C-4D8D-8668-7CD38A84D43E}"/>
            </a:ext>
          </a:extLst>
        </xdr:cNvPr>
        <xdr:cNvCxnSpPr/>
      </xdr:nvCxnSpPr>
      <xdr:spPr>
        <a:xfrm>
          <a:off x="8637639" y="3711677"/>
          <a:ext cx="1247237" cy="495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496529</xdr:colOff>
      <xdr:row>37</xdr:row>
      <xdr:rowOff>68826</xdr:rowOff>
    </xdr:from>
    <xdr:to>
      <xdr:col>15</xdr:col>
      <xdr:colOff>497439</xdr:colOff>
      <xdr:row>37</xdr:row>
      <xdr:rowOff>102274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7F59C380-3410-46D1-B10E-10F39F3649F2}"/>
            </a:ext>
          </a:extLst>
        </xdr:cNvPr>
        <xdr:cNvCxnSpPr/>
      </xdr:nvCxnSpPr>
      <xdr:spPr>
        <a:xfrm flipH="1" flipV="1">
          <a:off x="9579077" y="6968613"/>
          <a:ext cx="910" cy="334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37</xdr:row>
      <xdr:rowOff>71284</xdr:rowOff>
    </xdr:from>
    <xdr:to>
      <xdr:col>15</xdr:col>
      <xdr:colOff>498255</xdr:colOff>
      <xdr:row>37</xdr:row>
      <xdr:rowOff>72026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6DB6E0C3-1420-4ECE-8435-4A0BBAA65061}"/>
            </a:ext>
          </a:extLst>
        </xdr:cNvPr>
        <xdr:cNvCxnSpPr/>
      </xdr:nvCxnSpPr>
      <xdr:spPr>
        <a:xfrm>
          <a:off x="8792497" y="6971071"/>
          <a:ext cx="788306" cy="74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7C23D9D3-58E0-4501-94B6-0463ABEA7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E343DD-9766-47C3-8105-89DF0560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1717" y="2038279"/>
          <a:ext cx="3325586" cy="246034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08169DA-6BF2-4F07-A115-7319A35E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21</xdr:col>
      <xdr:colOff>297872</xdr:colOff>
      <xdr:row>17</xdr:row>
      <xdr:rowOff>117764</xdr:rowOff>
    </xdr:from>
    <xdr:to>
      <xdr:col>21</xdr:col>
      <xdr:colOff>299542</xdr:colOff>
      <xdr:row>21</xdr:row>
      <xdr:rowOff>12193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C1192F8-347E-4C74-8020-211D7C0E09B0}"/>
            </a:ext>
          </a:extLst>
        </xdr:cNvPr>
        <xdr:cNvCxnSpPr/>
      </xdr:nvCxnSpPr>
      <xdr:spPr>
        <a:xfrm flipH="1" flipV="1">
          <a:off x="14159345" y="3238500"/>
          <a:ext cx="1670" cy="62872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426028</xdr:colOff>
      <xdr:row>17</xdr:row>
      <xdr:rowOff>124691</xdr:rowOff>
    </xdr:from>
    <xdr:to>
      <xdr:col>21</xdr:col>
      <xdr:colOff>301151</xdr:colOff>
      <xdr:row>17</xdr:row>
      <xdr:rowOff>125825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6AD7A91-118D-4C31-A49D-6CCEF9E1284D}"/>
            </a:ext>
          </a:extLst>
        </xdr:cNvPr>
        <xdr:cNvCxnSpPr/>
      </xdr:nvCxnSpPr>
      <xdr:spPr>
        <a:xfrm>
          <a:off x="12701155" y="3245427"/>
          <a:ext cx="1461469" cy="113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59632</xdr:colOff>
      <xdr:row>26</xdr:row>
      <xdr:rowOff>1</xdr:rowOff>
    </xdr:from>
    <xdr:to>
      <xdr:col>18</xdr:col>
      <xdr:colOff>68597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5EED3E5-9FDD-4F1B-9D11-A2D03786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8745" y="4989444"/>
          <a:ext cx="3189487" cy="2360022"/>
        </a:xfrm>
        <a:prstGeom prst="rect">
          <a:avLst/>
        </a:prstGeom>
      </xdr:spPr>
    </xdr:pic>
    <xdr:clientData/>
  </xdr:twoCellAnchor>
  <xdr:twoCellAnchor>
    <xdr:from>
      <xdr:col>16</xdr:col>
      <xdr:colOff>592282</xdr:colOff>
      <xdr:row>30</xdr:row>
      <xdr:rowOff>103910</xdr:rowOff>
    </xdr:from>
    <xdr:to>
      <xdr:col>16</xdr:col>
      <xdr:colOff>597050</xdr:colOff>
      <xdr:row>36</xdr:row>
      <xdr:rowOff>43570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3A3E1B4-E730-43C1-B949-4B9B0838D85F}"/>
            </a:ext>
          </a:extLst>
        </xdr:cNvPr>
        <xdr:cNvCxnSpPr/>
      </xdr:nvCxnSpPr>
      <xdr:spPr>
        <a:xfrm flipH="1" flipV="1">
          <a:off x="10487891" y="5777346"/>
          <a:ext cx="4768" cy="104109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439881</xdr:colOff>
      <xdr:row>30</xdr:row>
      <xdr:rowOff>107373</xdr:rowOff>
    </xdr:from>
    <xdr:to>
      <xdr:col>16</xdr:col>
      <xdr:colOff>592491</xdr:colOff>
      <xdr:row>30</xdr:row>
      <xdr:rowOff>109719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6DE8B46B-F276-4CF6-8B14-9E84D5782B85}"/>
            </a:ext>
          </a:extLst>
        </xdr:cNvPr>
        <xdr:cNvCxnSpPr/>
      </xdr:nvCxnSpPr>
      <xdr:spPr>
        <a:xfrm>
          <a:off x="8749145" y="5780809"/>
          <a:ext cx="1738955" cy="23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160020</xdr:colOff>
      <xdr:row>24</xdr:row>
      <xdr:rowOff>317559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CEF6C34-86A4-4F9D-9A5F-C4054DA6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537460" cy="269499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480392</xdr:colOff>
      <xdr:row>24</xdr:row>
      <xdr:rowOff>286581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11274B4-AC0D-4F6B-8A18-EA6F7CF1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2857832" cy="26640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7EBA747-1EEC-4F20-941D-864774661F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07CD22-98D5-45DB-AFB8-CF5BE645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449451</xdr:colOff>
      <xdr:row>21</xdr:row>
      <xdr:rowOff>12915</xdr:rowOff>
    </xdr:from>
    <xdr:to>
      <xdr:col>20</xdr:col>
      <xdr:colOff>449462</xdr:colOff>
      <xdr:row>22</xdr:row>
      <xdr:rowOff>95572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FE1E80B-BF72-457C-9906-EE0DBCDEC85C}"/>
            </a:ext>
          </a:extLst>
        </xdr:cNvPr>
        <xdr:cNvCxnSpPr/>
      </xdr:nvCxnSpPr>
      <xdr:spPr>
        <a:xfrm flipH="1" flipV="1">
          <a:off x="13499024" y="3864244"/>
          <a:ext cx="11" cy="26605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346129</xdr:colOff>
      <xdr:row>21</xdr:row>
      <xdr:rowOff>10457</xdr:rowOff>
    </xdr:from>
    <xdr:to>
      <xdr:col>20</xdr:col>
      <xdr:colOff>449023</xdr:colOff>
      <xdr:row>21</xdr:row>
      <xdr:rowOff>18826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221848E-1A0E-4296-B162-F0FA655F2DCF}"/>
            </a:ext>
          </a:extLst>
        </xdr:cNvPr>
        <xdr:cNvCxnSpPr/>
      </xdr:nvCxnSpPr>
      <xdr:spPr>
        <a:xfrm>
          <a:off x="12594664" y="3830289"/>
          <a:ext cx="894391" cy="836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591299</xdr:colOff>
      <xdr:row>22</xdr:row>
      <xdr:rowOff>49078</xdr:rowOff>
    </xdr:from>
    <xdr:to>
      <xdr:col>15</xdr:col>
      <xdr:colOff>591518</xdr:colOff>
      <xdr:row>22</xdr:row>
      <xdr:rowOff>125165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0B658C5-9FA9-4156-9E54-6C18589D48E5}"/>
            </a:ext>
          </a:extLst>
        </xdr:cNvPr>
        <xdr:cNvCxnSpPr/>
      </xdr:nvCxnSpPr>
      <xdr:spPr>
        <a:xfrm flipV="1">
          <a:off x="9675889" y="4083803"/>
          <a:ext cx="219" cy="7608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333214</xdr:colOff>
      <xdr:row>22</xdr:row>
      <xdr:rowOff>49078</xdr:rowOff>
    </xdr:from>
    <xdr:to>
      <xdr:col>15</xdr:col>
      <xdr:colOff>597281</xdr:colOff>
      <xdr:row>22</xdr:row>
      <xdr:rowOff>55214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9EFA949-1949-4285-BECD-4C782A66CBA5}"/>
            </a:ext>
          </a:extLst>
        </xdr:cNvPr>
        <xdr:cNvCxnSpPr/>
      </xdr:nvCxnSpPr>
      <xdr:spPr>
        <a:xfrm>
          <a:off x="8624807" y="4083803"/>
          <a:ext cx="1057064" cy="61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503695</xdr:colOff>
      <xdr:row>37</xdr:row>
      <xdr:rowOff>83648</xdr:rowOff>
    </xdr:from>
    <xdr:to>
      <xdr:col>16</xdr:col>
      <xdr:colOff>137495</xdr:colOff>
      <xdr:row>37</xdr:row>
      <xdr:rowOff>87824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C50532D5-7BB1-4976-8B00-4C4ECB968EFB}"/>
            </a:ext>
          </a:extLst>
        </xdr:cNvPr>
        <xdr:cNvCxnSpPr/>
      </xdr:nvCxnSpPr>
      <xdr:spPr>
        <a:xfrm flipV="1">
          <a:off x="8795288" y="7037221"/>
          <a:ext cx="1219793" cy="417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434340</xdr:colOff>
      <xdr:row>24</xdr:row>
      <xdr:rowOff>270185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484A179-D870-4B44-AF12-C3D0AC73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11780" cy="2647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167971</xdr:colOff>
      <xdr:row>25</xdr:row>
      <xdr:rowOff>1494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EB8361E-7F6F-4E1A-A42E-48E56D88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545411" cy="2729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32BBFA5-8C29-4550-842B-A35F971ED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3E651B-7639-4978-890D-FA7AB9AB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9497" y="5021572"/>
          <a:ext cx="3264546" cy="2571727"/>
        </a:xfrm>
        <a:prstGeom prst="rect">
          <a:avLst/>
        </a:prstGeom>
      </xdr:spPr>
    </xdr:pic>
    <xdr:clientData/>
  </xdr:twoCellAnchor>
  <xdr:twoCellAnchor>
    <xdr:from>
      <xdr:col>15</xdr:col>
      <xdr:colOff>532043</xdr:colOff>
      <xdr:row>21</xdr:row>
      <xdr:rowOff>179832</xdr:rowOff>
    </xdr:from>
    <xdr:to>
      <xdr:col>15</xdr:col>
      <xdr:colOff>533400</xdr:colOff>
      <xdr:row>22</xdr:row>
      <xdr:rowOff>152502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7292576-F09E-451B-A5C3-229839F21D36}"/>
            </a:ext>
          </a:extLst>
        </xdr:cNvPr>
        <xdr:cNvCxnSpPr/>
      </xdr:nvCxnSpPr>
      <xdr:spPr>
        <a:xfrm flipV="1">
          <a:off x="9636419" y="4020312"/>
          <a:ext cx="1357" cy="15555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335280</xdr:colOff>
      <xdr:row>21</xdr:row>
      <xdr:rowOff>181740</xdr:rowOff>
    </xdr:from>
    <xdr:to>
      <xdr:col>15</xdr:col>
      <xdr:colOff>535907</xdr:colOff>
      <xdr:row>22</xdr:row>
      <xdr:rowOff>3048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E6AC71E-399C-49C9-BB98-B8D7CF00C271}"/>
            </a:ext>
          </a:extLst>
        </xdr:cNvPr>
        <xdr:cNvCxnSpPr/>
      </xdr:nvCxnSpPr>
      <xdr:spPr>
        <a:xfrm flipV="1">
          <a:off x="8647176" y="4022220"/>
          <a:ext cx="993107" cy="41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132271</xdr:colOff>
      <xdr:row>22</xdr:row>
      <xdr:rowOff>37381</xdr:rowOff>
    </xdr:from>
    <xdr:to>
      <xdr:col>15</xdr:col>
      <xdr:colOff>132755</xdr:colOff>
      <xdr:row>22</xdr:row>
      <xdr:rowOff>164694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2DC210F4-5BA7-4DEE-8109-04C7BD50571B}"/>
            </a:ext>
          </a:extLst>
        </xdr:cNvPr>
        <xdr:cNvCxnSpPr/>
      </xdr:nvCxnSpPr>
      <xdr:spPr>
        <a:xfrm flipH="1" flipV="1">
          <a:off x="9218762" y="4086045"/>
          <a:ext cx="484" cy="12731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339306</xdr:colOff>
      <xdr:row>22</xdr:row>
      <xdr:rowOff>42681</xdr:rowOff>
    </xdr:from>
    <xdr:to>
      <xdr:col>15</xdr:col>
      <xdr:colOff>136619</xdr:colOff>
      <xdr:row>22</xdr:row>
      <xdr:rowOff>46008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9DA68A42-B264-470A-8743-69ED7EA33954}"/>
            </a:ext>
          </a:extLst>
        </xdr:cNvPr>
        <xdr:cNvCxnSpPr/>
      </xdr:nvCxnSpPr>
      <xdr:spPr>
        <a:xfrm flipV="1">
          <a:off x="8632166" y="4091345"/>
          <a:ext cx="590944" cy="33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460075</xdr:colOff>
      <xdr:row>37</xdr:row>
      <xdr:rowOff>77638</xdr:rowOff>
    </xdr:from>
    <xdr:to>
      <xdr:col>15</xdr:col>
      <xdr:colOff>461698</xdr:colOff>
      <xdr:row>37</xdr:row>
      <xdr:rowOff>106034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2AB4C295-21E8-4AAC-B082-2EF4F3093692}"/>
            </a:ext>
          </a:extLst>
        </xdr:cNvPr>
        <xdr:cNvCxnSpPr/>
      </xdr:nvCxnSpPr>
      <xdr:spPr>
        <a:xfrm flipH="1" flipV="1">
          <a:off x="9546566" y="7053532"/>
          <a:ext cx="1623" cy="2839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497457</xdr:colOff>
      <xdr:row>37</xdr:row>
      <xdr:rowOff>80514</xdr:rowOff>
    </xdr:from>
    <xdr:to>
      <xdr:col>15</xdr:col>
      <xdr:colOff>465562</xdr:colOff>
      <xdr:row>37</xdr:row>
      <xdr:rowOff>81786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D351C9FB-0011-4DD1-B8E6-86C2327E8A75}"/>
            </a:ext>
          </a:extLst>
        </xdr:cNvPr>
        <xdr:cNvCxnSpPr/>
      </xdr:nvCxnSpPr>
      <xdr:spPr>
        <a:xfrm>
          <a:off x="8790317" y="7056408"/>
          <a:ext cx="761736" cy="127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791736</xdr:colOff>
      <xdr:row>26</xdr:row>
      <xdr:rowOff>0</xdr:rowOff>
    </xdr:from>
    <xdr:to>
      <xdr:col>23</xdr:col>
      <xdr:colOff>63093</xdr:colOff>
      <xdr:row>39</xdr:row>
      <xdr:rowOff>124516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B1AFF4C1-6E91-49BD-B5C0-CF7311E2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6341" y="4902820"/>
          <a:ext cx="3230040" cy="2492291"/>
        </a:xfrm>
        <a:prstGeom prst="rect">
          <a:avLst/>
        </a:prstGeom>
      </xdr:spPr>
    </xdr:pic>
    <xdr:clientData/>
  </xdr:twoCellAnchor>
  <xdr:twoCellAnchor>
    <xdr:from>
      <xdr:col>21</xdr:col>
      <xdr:colOff>256907</xdr:colOff>
      <xdr:row>31</xdr:row>
      <xdr:rowOff>162732</xdr:rowOff>
    </xdr:from>
    <xdr:to>
      <xdr:col>21</xdr:col>
      <xdr:colOff>258306</xdr:colOff>
      <xdr:row>37</xdr:row>
      <xdr:rowOff>477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256AE0E7-AC23-47C5-8FE4-C90F4D0D2E6C}"/>
            </a:ext>
          </a:extLst>
        </xdr:cNvPr>
        <xdr:cNvCxnSpPr/>
      </xdr:nvCxnSpPr>
      <xdr:spPr>
        <a:xfrm flipV="1">
          <a:off x="14099476" y="6015925"/>
          <a:ext cx="1399" cy="9381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395207</xdr:colOff>
      <xdr:row>31</xdr:row>
      <xdr:rowOff>162732</xdr:rowOff>
    </xdr:from>
    <xdr:to>
      <xdr:col>21</xdr:col>
      <xdr:colOff>259226</xdr:colOff>
      <xdr:row>31</xdr:row>
      <xdr:rowOff>165878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84903F66-1484-40A8-9F0D-1C0D08D4CBA0}"/>
            </a:ext>
          </a:extLst>
        </xdr:cNvPr>
        <xdr:cNvCxnSpPr/>
      </xdr:nvCxnSpPr>
      <xdr:spPr>
        <a:xfrm>
          <a:off x="12651783" y="6015925"/>
          <a:ext cx="1450012" cy="314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339371</xdr:colOff>
      <xdr:row>22</xdr:row>
      <xdr:rowOff>14063</xdr:rowOff>
    </xdr:from>
    <xdr:to>
      <xdr:col>19</xdr:col>
      <xdr:colOff>546895</xdr:colOff>
      <xdr:row>22</xdr:row>
      <xdr:rowOff>17309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F9C5BD17-E59A-490E-8C15-DDFAC10E239F}"/>
            </a:ext>
          </a:extLst>
        </xdr:cNvPr>
        <xdr:cNvCxnSpPr/>
      </xdr:nvCxnSpPr>
      <xdr:spPr>
        <a:xfrm flipV="1">
          <a:off x="12595765" y="4027978"/>
          <a:ext cx="207524" cy="3246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540360</xdr:colOff>
      <xdr:row>22</xdr:row>
      <xdr:rowOff>9727</xdr:rowOff>
    </xdr:from>
    <xdr:to>
      <xdr:col>19</xdr:col>
      <xdr:colOff>540409</xdr:colOff>
      <xdr:row>22</xdr:row>
      <xdr:rowOff>80296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FD605673-1274-45A8-A3F5-8E1E596D7E3B}"/>
            </a:ext>
          </a:extLst>
        </xdr:cNvPr>
        <xdr:cNvCxnSpPr/>
      </xdr:nvCxnSpPr>
      <xdr:spPr>
        <a:xfrm flipV="1">
          <a:off x="12796754" y="4023642"/>
          <a:ext cx="49" cy="7056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159749</xdr:colOff>
      <xdr:row>24</xdr:row>
      <xdr:rowOff>173933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453CCC-3D2D-4D7E-9A9A-FA35A506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329669" cy="25513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92842</xdr:colOff>
      <xdr:row>24</xdr:row>
      <xdr:rowOff>297180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E82B396-D590-4AF7-8C98-E1231894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470282" cy="267462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14BDBEA-DCE6-4D9A-B7F9-3502F0BB1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C9D51B-95F6-4461-BDED-9E6C161F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245807</xdr:colOff>
      <xdr:row>22</xdr:row>
      <xdr:rowOff>39329</xdr:rowOff>
    </xdr:from>
    <xdr:to>
      <xdr:col>15</xdr:col>
      <xdr:colOff>249179</xdr:colOff>
      <xdr:row>22</xdr:row>
      <xdr:rowOff>104708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344B878-FEB1-40B5-B5F5-D00F0BD1C80A}"/>
            </a:ext>
          </a:extLst>
        </xdr:cNvPr>
        <xdr:cNvCxnSpPr/>
      </xdr:nvCxnSpPr>
      <xdr:spPr>
        <a:xfrm flipH="1" flipV="1">
          <a:off x="9328355" y="4041058"/>
          <a:ext cx="3372" cy="6537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326922</xdr:colOff>
      <xdr:row>22</xdr:row>
      <xdr:rowOff>41787</xdr:rowOff>
    </xdr:from>
    <xdr:to>
      <xdr:col>15</xdr:col>
      <xdr:colOff>252453</xdr:colOff>
      <xdr:row>22</xdr:row>
      <xdr:rowOff>44964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D26F637-76E9-4401-8E90-BCBDDF422C2B}"/>
            </a:ext>
          </a:extLst>
        </xdr:cNvPr>
        <xdr:cNvCxnSpPr/>
      </xdr:nvCxnSpPr>
      <xdr:spPr>
        <a:xfrm>
          <a:off x="8617974" y="4043516"/>
          <a:ext cx="717027" cy="317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</xdr:colOff>
      <xdr:row>11</xdr:row>
      <xdr:rowOff>1</xdr:rowOff>
    </xdr:from>
    <xdr:to>
      <xdr:col>16</xdr:col>
      <xdr:colOff>754381</xdr:colOff>
      <xdr:row>24</xdr:row>
      <xdr:rowOff>179805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2C67816-DCE2-4A89-9879-64389401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1" y="2011681"/>
          <a:ext cx="2339340" cy="255724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4FB94CF-F8A0-47C4-8901-6A528BF5A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4E2977-DF47-4050-A6EE-1689E3A4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FA7DD6-F3B6-4992-805B-7F13A00F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520504</xdr:colOff>
      <xdr:row>19</xdr:row>
      <xdr:rowOff>39858</xdr:rowOff>
    </xdr:from>
    <xdr:to>
      <xdr:col>20</xdr:col>
      <xdr:colOff>522844</xdr:colOff>
      <xdr:row>21</xdr:row>
      <xdr:rowOff>16417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11F6009-98BD-4A85-933C-31B8FD041187}"/>
            </a:ext>
          </a:extLst>
        </xdr:cNvPr>
        <xdr:cNvCxnSpPr/>
      </xdr:nvCxnSpPr>
      <xdr:spPr>
        <a:xfrm flipH="1" flipV="1">
          <a:off x="13572978" y="3514578"/>
          <a:ext cx="2340" cy="342319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19</xdr:row>
      <xdr:rowOff>44548</xdr:rowOff>
    </xdr:from>
    <xdr:to>
      <xdr:col>20</xdr:col>
      <xdr:colOff>519820</xdr:colOff>
      <xdr:row>19</xdr:row>
      <xdr:rowOff>47568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7AA7518-37FA-451B-AFC0-63FB46D3F0E6}"/>
            </a:ext>
          </a:extLst>
        </xdr:cNvPr>
        <xdr:cNvCxnSpPr/>
      </xdr:nvCxnSpPr>
      <xdr:spPr>
        <a:xfrm>
          <a:off x="12686714" y="3519268"/>
          <a:ext cx="885580" cy="3020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132F008-24E9-4F5E-9FFA-2CE0F1B4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220362</xdr:colOff>
      <xdr:row>31</xdr:row>
      <xdr:rowOff>172994</xdr:rowOff>
    </xdr:from>
    <xdr:to>
      <xdr:col>21</xdr:col>
      <xdr:colOff>222442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F2AD1C4-E326-42F1-BF0A-607074331C6A}"/>
            </a:ext>
          </a:extLst>
        </xdr:cNvPr>
        <xdr:cNvCxnSpPr/>
      </xdr:nvCxnSpPr>
      <xdr:spPr>
        <a:xfrm flipH="1" flipV="1">
          <a:off x="14070227" y="6021859"/>
          <a:ext cx="2080" cy="89214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393357</xdr:colOff>
      <xdr:row>31</xdr:row>
      <xdr:rowOff>172994</xdr:rowOff>
    </xdr:from>
    <xdr:to>
      <xdr:col>21</xdr:col>
      <xdr:colOff>224761</xdr:colOff>
      <xdr:row>31</xdr:row>
      <xdr:rowOff>175084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5013777-2F85-453C-9627-29B9E1DDA49F}"/>
            </a:ext>
          </a:extLst>
        </xdr:cNvPr>
        <xdr:cNvCxnSpPr/>
      </xdr:nvCxnSpPr>
      <xdr:spPr>
        <a:xfrm>
          <a:off x="12657438" y="6021859"/>
          <a:ext cx="1417188" cy="209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326572</xdr:colOff>
      <xdr:row>21</xdr:row>
      <xdr:rowOff>160564</xdr:rowOff>
    </xdr:from>
    <xdr:to>
      <xdr:col>15</xdr:col>
      <xdr:colOff>327833</xdr:colOff>
      <xdr:row>22</xdr:row>
      <xdr:rowOff>14464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403FF66-61A3-40D8-B7DE-E587FE7E40DC}"/>
            </a:ext>
          </a:extLst>
        </xdr:cNvPr>
        <xdr:cNvCxnSpPr/>
      </xdr:nvCxnSpPr>
      <xdr:spPr>
        <a:xfrm flipH="1" flipV="1">
          <a:off x="9407979" y="3989614"/>
          <a:ext cx="1261" cy="362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21</xdr:row>
      <xdr:rowOff>164532</xdr:rowOff>
    </xdr:from>
    <xdr:to>
      <xdr:col>15</xdr:col>
      <xdr:colOff>328649</xdr:colOff>
      <xdr:row>21</xdr:row>
      <xdr:rowOff>168729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4FE5366-C4B2-46FE-AD6B-378C1747F73A}"/>
            </a:ext>
          </a:extLst>
        </xdr:cNvPr>
        <xdr:cNvCxnSpPr/>
      </xdr:nvCxnSpPr>
      <xdr:spPr>
        <a:xfrm flipV="1">
          <a:off x="8594271" y="3993582"/>
          <a:ext cx="815785" cy="419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408214</xdr:colOff>
      <xdr:row>21</xdr:row>
      <xdr:rowOff>59871</xdr:rowOff>
    </xdr:from>
    <xdr:to>
      <xdr:col>15</xdr:col>
      <xdr:colOff>409477</xdr:colOff>
      <xdr:row>22</xdr:row>
      <xdr:rowOff>11747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B91D0DA1-A048-49A8-B923-D96167DB30DF}"/>
            </a:ext>
          </a:extLst>
        </xdr:cNvPr>
        <xdr:cNvCxnSpPr/>
      </xdr:nvCxnSpPr>
      <xdr:spPr>
        <a:xfrm flipH="1" flipV="1">
          <a:off x="9489621" y="3888921"/>
          <a:ext cx="1263" cy="13421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310243</xdr:colOff>
      <xdr:row>21</xdr:row>
      <xdr:rowOff>66570</xdr:rowOff>
    </xdr:from>
    <xdr:to>
      <xdr:col>15</xdr:col>
      <xdr:colOff>410293</xdr:colOff>
      <xdr:row>21</xdr:row>
      <xdr:rowOff>68036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48E972C-7391-4FD9-A9C7-8963B7A24695}"/>
            </a:ext>
          </a:extLst>
        </xdr:cNvPr>
        <xdr:cNvCxnSpPr/>
      </xdr:nvCxnSpPr>
      <xdr:spPr>
        <a:xfrm flipV="1">
          <a:off x="8599714" y="3895620"/>
          <a:ext cx="891986" cy="146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626772</xdr:colOff>
      <xdr:row>21</xdr:row>
      <xdr:rowOff>150253</xdr:rowOff>
    </xdr:from>
    <xdr:to>
      <xdr:col>14</xdr:col>
      <xdr:colOff>627193</xdr:colOff>
      <xdr:row>22</xdr:row>
      <xdr:rowOff>19906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3BF68DF3-BBA5-480F-93A9-E736B7543094}"/>
            </a:ext>
          </a:extLst>
        </xdr:cNvPr>
        <xdr:cNvCxnSpPr/>
      </xdr:nvCxnSpPr>
      <xdr:spPr>
        <a:xfrm flipH="1" flipV="1">
          <a:off x="8922913" y="3981718"/>
          <a:ext cx="421" cy="5210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310738</xdr:colOff>
      <xdr:row>21</xdr:row>
      <xdr:rowOff>150660</xdr:rowOff>
    </xdr:from>
    <xdr:to>
      <xdr:col>14</xdr:col>
      <xdr:colOff>631966</xdr:colOff>
      <xdr:row>21</xdr:row>
      <xdr:rowOff>152400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E53C042-3F5E-4652-9E5F-AEB4F5DA67D6}"/>
            </a:ext>
          </a:extLst>
        </xdr:cNvPr>
        <xdr:cNvCxnSpPr/>
      </xdr:nvCxnSpPr>
      <xdr:spPr>
        <a:xfrm flipV="1">
          <a:off x="8605652" y="3974515"/>
          <a:ext cx="321228" cy="174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156358</xdr:colOff>
      <xdr:row>36</xdr:row>
      <xdr:rowOff>162296</xdr:rowOff>
    </xdr:from>
    <xdr:to>
      <xdr:col>16</xdr:col>
      <xdr:colOff>156634</xdr:colOff>
      <xdr:row>37</xdr:row>
      <xdr:rowOff>100046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2E4519C-4F9F-47DA-95A5-5FA1EED4CD22}"/>
            </a:ext>
          </a:extLst>
        </xdr:cNvPr>
        <xdr:cNvCxnSpPr/>
      </xdr:nvCxnSpPr>
      <xdr:spPr>
        <a:xfrm flipH="1" flipV="1">
          <a:off x="10034649" y="6885709"/>
          <a:ext cx="276" cy="119838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498764</xdr:colOff>
      <xdr:row>36</xdr:row>
      <xdr:rowOff>170701</xdr:rowOff>
    </xdr:from>
    <xdr:to>
      <xdr:col>16</xdr:col>
      <xdr:colOff>157449</xdr:colOff>
      <xdr:row>36</xdr:row>
      <xdr:rowOff>172192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575CC016-72EB-4562-811F-2135B28B6D45}"/>
            </a:ext>
          </a:extLst>
        </xdr:cNvPr>
        <xdr:cNvCxnSpPr/>
      </xdr:nvCxnSpPr>
      <xdr:spPr>
        <a:xfrm flipV="1">
          <a:off x="8793678" y="6894114"/>
          <a:ext cx="1242062" cy="149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590306</xdr:colOff>
      <xdr:row>34</xdr:row>
      <xdr:rowOff>77274</xdr:rowOff>
    </xdr:from>
    <xdr:to>
      <xdr:col>20</xdr:col>
      <xdr:colOff>594575</xdr:colOff>
      <xdr:row>36</xdr:row>
      <xdr:rowOff>152396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855395B7-ECFC-41C2-9FA5-86239A8A3DF3}"/>
            </a:ext>
          </a:extLst>
        </xdr:cNvPr>
        <xdr:cNvCxnSpPr/>
      </xdr:nvCxnSpPr>
      <xdr:spPr>
        <a:xfrm flipV="1">
          <a:off x="13638751" y="6448023"/>
          <a:ext cx="4269" cy="44002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399245</xdr:colOff>
      <xdr:row>34</xdr:row>
      <xdr:rowOff>68688</xdr:rowOff>
    </xdr:from>
    <xdr:to>
      <xdr:col>20</xdr:col>
      <xdr:colOff>591833</xdr:colOff>
      <xdr:row>34</xdr:row>
      <xdr:rowOff>81933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F8BF8366-B69B-4B15-AE5C-6855EF4D0432}"/>
            </a:ext>
          </a:extLst>
        </xdr:cNvPr>
        <xdr:cNvCxnSpPr/>
      </xdr:nvCxnSpPr>
      <xdr:spPr>
        <a:xfrm>
          <a:off x="12655639" y="6439437"/>
          <a:ext cx="984639" cy="1324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442292</xdr:colOff>
      <xdr:row>24</xdr:row>
      <xdr:rowOff>304640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8A680EA-13A1-419F-A46D-532254E0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19732" cy="268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759681</xdr:colOff>
      <xdr:row>24</xdr:row>
      <xdr:rowOff>214259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800C052-1F1F-4307-A0B6-289DB977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344641" cy="25916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44A3B84-CD69-4C62-953A-EBEA2C222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9E2ACD-D21F-46F1-8812-7D9E273B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359044</xdr:colOff>
      <xdr:row>22</xdr:row>
      <xdr:rowOff>18082</xdr:rowOff>
    </xdr:from>
    <xdr:to>
      <xdr:col>20</xdr:col>
      <xdr:colOff>359062</xdr:colOff>
      <xdr:row>22</xdr:row>
      <xdr:rowOff>113654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13992D6-8790-4D25-B643-438CF98D643F}"/>
            </a:ext>
          </a:extLst>
        </xdr:cNvPr>
        <xdr:cNvCxnSpPr/>
      </xdr:nvCxnSpPr>
      <xdr:spPr>
        <a:xfrm flipH="1" flipV="1">
          <a:off x="13408617" y="4052807"/>
          <a:ext cx="18" cy="9557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353878</xdr:colOff>
      <xdr:row>22</xdr:row>
      <xdr:rowOff>23869</xdr:rowOff>
    </xdr:from>
    <xdr:to>
      <xdr:col>20</xdr:col>
      <xdr:colOff>356036</xdr:colOff>
      <xdr:row>22</xdr:row>
      <xdr:rowOff>28414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0C4945F-224C-4DEF-89FF-AD269D765857}"/>
            </a:ext>
          </a:extLst>
        </xdr:cNvPr>
        <xdr:cNvCxnSpPr/>
      </xdr:nvCxnSpPr>
      <xdr:spPr>
        <a:xfrm flipV="1">
          <a:off x="12610454" y="4058594"/>
          <a:ext cx="795155" cy="4545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349954</xdr:colOff>
      <xdr:row>22</xdr:row>
      <xdr:rowOff>0</xdr:rowOff>
    </xdr:from>
    <xdr:to>
      <xdr:col>15</xdr:col>
      <xdr:colOff>351504</xdr:colOff>
      <xdr:row>22</xdr:row>
      <xdr:rowOff>43260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83A1BD6-504B-46B9-9A1E-E72B2C9DAD03}"/>
            </a:ext>
          </a:extLst>
        </xdr:cNvPr>
        <xdr:cNvCxnSpPr/>
      </xdr:nvCxnSpPr>
      <xdr:spPr>
        <a:xfrm flipV="1">
          <a:off x="9432502" y="4001729"/>
          <a:ext cx="1550" cy="4326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22</xdr:row>
      <xdr:rowOff>7374</xdr:rowOff>
    </xdr:from>
    <xdr:to>
      <xdr:col>15</xdr:col>
      <xdr:colOff>350770</xdr:colOff>
      <xdr:row>22</xdr:row>
      <xdr:rowOff>8096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6C30045-423A-468C-A642-BB57215B9914}"/>
            </a:ext>
          </a:extLst>
        </xdr:cNvPr>
        <xdr:cNvCxnSpPr/>
      </xdr:nvCxnSpPr>
      <xdr:spPr>
        <a:xfrm>
          <a:off x="8600768" y="4009103"/>
          <a:ext cx="832550" cy="7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646471</xdr:colOff>
      <xdr:row>20</xdr:row>
      <xdr:rowOff>176981</xdr:rowOff>
    </xdr:from>
    <xdr:to>
      <xdr:col>15</xdr:col>
      <xdr:colOff>648287</xdr:colOff>
      <xdr:row>22</xdr:row>
      <xdr:rowOff>46967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99D0FD0-6E81-43D2-B047-A1730248B3A4}"/>
            </a:ext>
          </a:extLst>
        </xdr:cNvPr>
        <xdr:cNvCxnSpPr/>
      </xdr:nvCxnSpPr>
      <xdr:spPr>
        <a:xfrm flipH="1" flipV="1">
          <a:off x="9729019" y="3814916"/>
          <a:ext cx="1816" cy="23378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167149</xdr:rowOff>
    </xdr:from>
    <xdr:to>
      <xdr:col>15</xdr:col>
      <xdr:colOff>654853</xdr:colOff>
      <xdr:row>20</xdr:row>
      <xdr:rowOff>177017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1D58908-48D5-4234-865D-42478D5BD2AE}"/>
            </a:ext>
          </a:extLst>
        </xdr:cNvPr>
        <xdr:cNvCxnSpPr/>
      </xdr:nvCxnSpPr>
      <xdr:spPr>
        <a:xfrm>
          <a:off x="8603226" y="3805084"/>
          <a:ext cx="1134175" cy="986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154212</xdr:colOff>
      <xdr:row>36</xdr:row>
      <xdr:rowOff>172065</xdr:rowOff>
    </xdr:from>
    <xdr:to>
      <xdr:col>16</xdr:col>
      <xdr:colOff>154858</xdr:colOff>
      <xdr:row>37</xdr:row>
      <xdr:rowOff>110890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253A9FBA-79E1-438A-A0CC-E1E9C73099E2}"/>
            </a:ext>
          </a:extLst>
        </xdr:cNvPr>
        <xdr:cNvCxnSpPr/>
      </xdr:nvCxnSpPr>
      <xdr:spPr>
        <a:xfrm flipV="1">
          <a:off x="10028257" y="6889955"/>
          <a:ext cx="646" cy="12072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36</xdr:row>
      <xdr:rowOff>172065</xdr:rowOff>
    </xdr:from>
    <xdr:to>
      <xdr:col>16</xdr:col>
      <xdr:colOff>158320</xdr:colOff>
      <xdr:row>36</xdr:row>
      <xdr:rowOff>174568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82934177-F155-43F7-871D-2C49CF314635}"/>
            </a:ext>
          </a:extLst>
        </xdr:cNvPr>
        <xdr:cNvCxnSpPr/>
      </xdr:nvCxnSpPr>
      <xdr:spPr>
        <a:xfrm>
          <a:off x="8792497" y="6889955"/>
          <a:ext cx="1239868" cy="250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754380</xdr:colOff>
      <xdr:row>24</xdr:row>
      <xdr:rowOff>179804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002E0CD-63BE-473F-BC07-F772A52C1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4641" cy="25916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76621B0-28AA-4A24-8A6A-E52F7144D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80673D-4BFE-4F38-8768-92A223D6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646C23D-8E40-4781-8833-A2299B1F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96FBB8E-10BF-462B-908D-BE364E4B9B53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9B502B4-6A1B-4F80-8D90-D62564281ABF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B651EB6-34EB-4AA4-8AFF-EB340B6B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5B72A30-3491-45C1-9D59-0E032405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77FA8B8A-5FC0-4F00-93F0-02FF9BD36138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2C7BDDF-F242-4C42-B8D7-24808B0AD783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3E845CC7-7B89-49E3-9328-5079ACA9D273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5D76540E-235F-4190-A4F3-3E6FFBFE9985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EC9F1BC-9AB4-4FAF-A46D-0E56CE14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7667648-C033-4567-B65D-0264F970709C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63C8B73-B510-4030-935F-E43211F4B0CF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135194</xdr:colOff>
      <xdr:row>21</xdr:row>
      <xdr:rowOff>66368</xdr:rowOff>
    </xdr:from>
    <xdr:to>
      <xdr:col>15</xdr:col>
      <xdr:colOff>138562</xdr:colOff>
      <xdr:row>22</xdr:row>
      <xdr:rowOff>16226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CD4B565-63D4-46F2-995C-42EFCACD6E91}"/>
            </a:ext>
          </a:extLst>
        </xdr:cNvPr>
        <xdr:cNvCxnSpPr/>
      </xdr:nvCxnSpPr>
      <xdr:spPr>
        <a:xfrm flipH="1" flipV="1">
          <a:off x="9217742" y="3886200"/>
          <a:ext cx="3368" cy="13175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21</xdr:row>
      <xdr:rowOff>72014</xdr:rowOff>
    </xdr:from>
    <xdr:to>
      <xdr:col>15</xdr:col>
      <xdr:colOff>139378</xdr:colOff>
      <xdr:row>21</xdr:row>
      <xdr:rowOff>76200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9341A12-1A25-4F99-8443-1F2E46DF1A8C}"/>
            </a:ext>
          </a:extLst>
        </xdr:cNvPr>
        <xdr:cNvCxnSpPr/>
      </xdr:nvCxnSpPr>
      <xdr:spPr>
        <a:xfrm flipV="1">
          <a:off x="8600768" y="3891846"/>
          <a:ext cx="621158" cy="418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725837</xdr:colOff>
      <xdr:row>37</xdr:row>
      <xdr:rowOff>36163</xdr:rowOff>
    </xdr:from>
    <xdr:to>
      <xdr:col>15</xdr:col>
      <xdr:colOff>726945</xdr:colOff>
      <xdr:row>37</xdr:row>
      <xdr:rowOff>97859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76A13024-9771-42C0-B02F-0E33F17E437A}"/>
            </a:ext>
          </a:extLst>
        </xdr:cNvPr>
        <xdr:cNvCxnSpPr/>
      </xdr:nvCxnSpPr>
      <xdr:spPr>
        <a:xfrm flipH="1" flipV="1">
          <a:off x="9810427" y="6989736"/>
          <a:ext cx="1108" cy="616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498529</xdr:colOff>
      <xdr:row>37</xdr:row>
      <xdr:rowOff>41329</xdr:rowOff>
    </xdr:from>
    <xdr:to>
      <xdr:col>15</xdr:col>
      <xdr:colOff>727761</xdr:colOff>
      <xdr:row>37</xdr:row>
      <xdr:rowOff>42575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157C221-363B-473A-AB19-C4B7270B9DCE}"/>
            </a:ext>
          </a:extLst>
        </xdr:cNvPr>
        <xdr:cNvCxnSpPr/>
      </xdr:nvCxnSpPr>
      <xdr:spPr>
        <a:xfrm>
          <a:off x="8790122" y="6994902"/>
          <a:ext cx="1022229" cy="124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DB0D865-18CC-40EB-8ED6-E62A7FE9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 editAs="oneCell">
    <xdr:from>
      <xdr:col>13</xdr:col>
      <xdr:colOff>793376</xdr:colOff>
      <xdr:row>10</xdr:row>
      <xdr:rowOff>183776</xdr:rowOff>
    </xdr:from>
    <xdr:to>
      <xdr:col>16</xdr:col>
      <xdr:colOff>754380</xdr:colOff>
      <xdr:row>24</xdr:row>
      <xdr:rowOff>179804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0B7F58E-8F52-462D-A7A6-C184D475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835" y="2021541"/>
          <a:ext cx="2341133" cy="256889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31A589A-9F0D-4C66-9F9D-C9C3B64702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40B6E4-6D12-400C-A1C9-E31488089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126459</xdr:colOff>
      <xdr:row>19</xdr:row>
      <xdr:rowOff>139430</xdr:rowOff>
    </xdr:from>
    <xdr:to>
      <xdr:col>20</xdr:col>
      <xdr:colOff>126581</xdr:colOff>
      <xdr:row>21</xdr:row>
      <xdr:rowOff>161359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AC72595-8BE8-4F02-A8DB-FA0E03C11B60}"/>
            </a:ext>
          </a:extLst>
        </xdr:cNvPr>
        <xdr:cNvCxnSpPr/>
      </xdr:nvCxnSpPr>
      <xdr:spPr>
        <a:xfrm flipH="1" flipV="1">
          <a:off x="13177736" y="3589507"/>
          <a:ext cx="122" cy="38509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398834</xdr:colOff>
      <xdr:row>19</xdr:row>
      <xdr:rowOff>146443</xdr:rowOff>
    </xdr:from>
    <xdr:to>
      <xdr:col>20</xdr:col>
      <xdr:colOff>133148</xdr:colOff>
      <xdr:row>19</xdr:row>
      <xdr:rowOff>149157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818CA71-1CB3-4C45-8AD0-09547D617EC0}"/>
            </a:ext>
          </a:extLst>
        </xdr:cNvPr>
        <xdr:cNvCxnSpPr/>
      </xdr:nvCxnSpPr>
      <xdr:spPr>
        <a:xfrm flipV="1">
          <a:off x="12658928" y="3596520"/>
          <a:ext cx="525497" cy="271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300317</xdr:colOff>
      <xdr:row>21</xdr:row>
      <xdr:rowOff>163606</xdr:rowOff>
    </xdr:from>
    <xdr:to>
      <xdr:col>15</xdr:col>
      <xdr:colOff>300933</xdr:colOff>
      <xdr:row>22</xdr:row>
      <xdr:rowOff>17671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FAA32D8-3631-4C34-96B4-DCA248FCBEA8}"/>
            </a:ext>
          </a:extLst>
        </xdr:cNvPr>
        <xdr:cNvCxnSpPr/>
      </xdr:nvCxnSpPr>
      <xdr:spPr>
        <a:xfrm flipH="1" flipV="1">
          <a:off x="9390529" y="4022912"/>
          <a:ext cx="616" cy="3784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307041</xdr:colOff>
      <xdr:row>21</xdr:row>
      <xdr:rowOff>165847</xdr:rowOff>
    </xdr:from>
    <xdr:to>
      <xdr:col>15</xdr:col>
      <xdr:colOff>306231</xdr:colOff>
      <xdr:row>21</xdr:row>
      <xdr:rowOff>168378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6F6AE12-B61A-4032-AF6B-266A754A845F}"/>
            </a:ext>
          </a:extLst>
        </xdr:cNvPr>
        <xdr:cNvCxnSpPr/>
      </xdr:nvCxnSpPr>
      <xdr:spPr>
        <a:xfrm>
          <a:off x="8603876" y="4025153"/>
          <a:ext cx="792567" cy="253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251012</xdr:colOff>
      <xdr:row>19</xdr:row>
      <xdr:rowOff>94129</xdr:rowOff>
    </xdr:from>
    <xdr:to>
      <xdr:col>16</xdr:col>
      <xdr:colOff>251730</xdr:colOff>
      <xdr:row>22</xdr:row>
      <xdr:rowOff>18709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A05B1930-D73A-425D-B4E3-B98E8361412F}"/>
            </a:ext>
          </a:extLst>
        </xdr:cNvPr>
        <xdr:cNvCxnSpPr/>
      </xdr:nvCxnSpPr>
      <xdr:spPr>
        <a:xfrm flipH="1" flipV="1">
          <a:off x="10134600" y="3585882"/>
          <a:ext cx="718" cy="47590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316848</xdr:colOff>
      <xdr:row>19</xdr:row>
      <xdr:rowOff>98867</xdr:rowOff>
    </xdr:from>
    <xdr:to>
      <xdr:col>16</xdr:col>
      <xdr:colOff>258296</xdr:colOff>
      <xdr:row>19</xdr:row>
      <xdr:rowOff>99242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7B2768C-52A6-41D4-81BF-7FAD83FF644A}"/>
            </a:ext>
          </a:extLst>
        </xdr:cNvPr>
        <xdr:cNvCxnSpPr/>
      </xdr:nvCxnSpPr>
      <xdr:spPr>
        <a:xfrm>
          <a:off x="8613683" y="3590620"/>
          <a:ext cx="1528201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313764</xdr:colOff>
      <xdr:row>20</xdr:row>
      <xdr:rowOff>170330</xdr:rowOff>
    </xdr:from>
    <xdr:to>
      <xdr:col>15</xdr:col>
      <xdr:colOff>316618</xdr:colOff>
      <xdr:row>22</xdr:row>
      <xdr:rowOff>17670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895F6025-3074-4918-825B-BF5ED1AA7D9C}"/>
            </a:ext>
          </a:extLst>
        </xdr:cNvPr>
        <xdr:cNvCxnSpPr/>
      </xdr:nvCxnSpPr>
      <xdr:spPr>
        <a:xfrm flipH="1" flipV="1">
          <a:off x="9403976" y="3845859"/>
          <a:ext cx="2854" cy="2148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311524</xdr:colOff>
      <xdr:row>20</xdr:row>
      <xdr:rowOff>172564</xdr:rowOff>
    </xdr:from>
    <xdr:to>
      <xdr:col>15</xdr:col>
      <xdr:colOff>319675</xdr:colOff>
      <xdr:row>20</xdr:row>
      <xdr:rowOff>175099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24B10882-3A11-42D5-8E1B-8FD9B186C4E9}"/>
            </a:ext>
          </a:extLst>
        </xdr:cNvPr>
        <xdr:cNvCxnSpPr/>
      </xdr:nvCxnSpPr>
      <xdr:spPr>
        <a:xfrm>
          <a:off x="8608359" y="3848093"/>
          <a:ext cx="801528" cy="253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748553</xdr:colOff>
      <xdr:row>36</xdr:row>
      <xdr:rowOff>129988</xdr:rowOff>
    </xdr:from>
    <xdr:to>
      <xdr:col>16</xdr:col>
      <xdr:colOff>749168</xdr:colOff>
      <xdr:row>37</xdr:row>
      <xdr:rowOff>100611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B2BFA826-D9DC-4E54-812C-66E31B96FED0}"/>
            </a:ext>
          </a:extLst>
        </xdr:cNvPr>
        <xdr:cNvCxnSpPr/>
      </xdr:nvCxnSpPr>
      <xdr:spPr>
        <a:xfrm flipH="1" flipV="1">
          <a:off x="10632141" y="6911788"/>
          <a:ext cx="615" cy="1543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497541</xdr:colOff>
      <xdr:row>36</xdr:row>
      <xdr:rowOff>136712</xdr:rowOff>
    </xdr:from>
    <xdr:to>
      <xdr:col>16</xdr:col>
      <xdr:colOff>752225</xdr:colOff>
      <xdr:row>36</xdr:row>
      <xdr:rowOff>137011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810A1818-FF29-4821-9463-7E658B58453E}"/>
            </a:ext>
          </a:extLst>
        </xdr:cNvPr>
        <xdr:cNvCxnSpPr/>
      </xdr:nvCxnSpPr>
      <xdr:spPr>
        <a:xfrm>
          <a:off x="8794376" y="6918512"/>
          <a:ext cx="1841437" cy="2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450244</xdr:colOff>
      <xdr:row>24</xdr:row>
      <xdr:rowOff>339095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9F623E9-5C0D-4F16-8A8E-490B0EE8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27684" cy="2716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793376</xdr:colOff>
      <xdr:row>10</xdr:row>
      <xdr:rowOff>183776</xdr:rowOff>
    </xdr:from>
    <xdr:to>
      <xdr:col>16</xdr:col>
      <xdr:colOff>761435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9EDCFF-700B-4BA2-A6D7-FE0FBBB5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835" y="2021541"/>
          <a:ext cx="2348188" cy="26051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C5EAF79-BB7E-48D8-8CE2-AC2E27F3D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1A7BED-7076-475D-8BBB-B36CD259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353307</xdr:colOff>
      <xdr:row>22</xdr:row>
      <xdr:rowOff>117764</xdr:rowOff>
    </xdr:from>
    <xdr:to>
      <xdr:col>19</xdr:col>
      <xdr:colOff>547256</xdr:colOff>
      <xdr:row>22</xdr:row>
      <xdr:rowOff>117767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04D4915-DEB1-4B11-9AB4-CE482497B8A7}"/>
            </a:ext>
          </a:extLst>
        </xdr:cNvPr>
        <xdr:cNvCxnSpPr/>
      </xdr:nvCxnSpPr>
      <xdr:spPr>
        <a:xfrm flipV="1">
          <a:off x="12628434" y="4156364"/>
          <a:ext cx="193949" cy="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F2D3329-D923-4BA5-835B-F153E8436778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D61B514-C4FC-40F0-96CC-9985849DA495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9CE803B5-7614-4EB1-9EC4-2CA2D21A89AB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BCD182A-1B69-42E4-B0D6-52BE507D2112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487136</xdr:colOff>
      <xdr:row>21</xdr:row>
      <xdr:rowOff>163286</xdr:rowOff>
    </xdr:from>
    <xdr:to>
      <xdr:col>15</xdr:col>
      <xdr:colOff>488394</xdr:colOff>
      <xdr:row>22</xdr:row>
      <xdr:rowOff>47115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0AB9F36-67A6-4F78-A108-5303E6C4A988}"/>
            </a:ext>
          </a:extLst>
        </xdr:cNvPr>
        <xdr:cNvCxnSpPr/>
      </xdr:nvCxnSpPr>
      <xdr:spPr>
        <a:xfrm flipH="1" flipV="1">
          <a:off x="9568543" y="3992336"/>
          <a:ext cx="1258" cy="6616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312965</xdr:colOff>
      <xdr:row>21</xdr:row>
      <xdr:rowOff>164054</xdr:rowOff>
    </xdr:from>
    <xdr:to>
      <xdr:col>15</xdr:col>
      <xdr:colOff>494652</xdr:colOff>
      <xdr:row>21</xdr:row>
      <xdr:rowOff>165534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2A290D1-B2C8-4969-A7ED-A51F7D9464BB}"/>
            </a:ext>
          </a:extLst>
        </xdr:cNvPr>
        <xdr:cNvCxnSpPr/>
      </xdr:nvCxnSpPr>
      <xdr:spPr>
        <a:xfrm flipV="1">
          <a:off x="8609800" y="4023360"/>
          <a:ext cx="975064" cy="14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170351</xdr:colOff>
      <xdr:row>40</xdr:row>
      <xdr:rowOff>25508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844C03-2D24-4912-ADC7-AB390B70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340271" cy="2585828"/>
        </a:xfrm>
        <a:prstGeom prst="rect">
          <a:avLst/>
        </a:prstGeom>
      </xdr:spPr>
    </xdr:pic>
    <xdr:clientData/>
  </xdr:twoCellAnchor>
  <xdr:twoCellAnchor>
    <xdr:from>
      <xdr:col>15</xdr:col>
      <xdr:colOff>717001</xdr:colOff>
      <xdr:row>20</xdr:row>
      <xdr:rowOff>145677</xdr:rowOff>
    </xdr:from>
    <xdr:to>
      <xdr:col>15</xdr:col>
      <xdr:colOff>719417</xdr:colOff>
      <xdr:row>22</xdr:row>
      <xdr:rowOff>43810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BEB2C07F-AC6D-41CE-90E8-5E6A8697B764}"/>
            </a:ext>
          </a:extLst>
        </xdr:cNvPr>
        <xdr:cNvCxnSpPr/>
      </xdr:nvCxnSpPr>
      <xdr:spPr>
        <a:xfrm flipV="1">
          <a:off x="9807213" y="3821206"/>
          <a:ext cx="2416" cy="26568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313765</xdr:colOff>
      <xdr:row>20</xdr:row>
      <xdr:rowOff>145677</xdr:rowOff>
    </xdr:from>
    <xdr:to>
      <xdr:col>15</xdr:col>
      <xdr:colOff>723567</xdr:colOff>
      <xdr:row>20</xdr:row>
      <xdr:rowOff>151237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AA91A026-4B08-4ABB-AFE6-182CEC5C547A}"/>
            </a:ext>
          </a:extLst>
        </xdr:cNvPr>
        <xdr:cNvCxnSpPr/>
      </xdr:nvCxnSpPr>
      <xdr:spPr>
        <a:xfrm>
          <a:off x="8610600" y="3821206"/>
          <a:ext cx="1203179" cy="556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602702</xdr:colOff>
      <xdr:row>20</xdr:row>
      <xdr:rowOff>22412</xdr:rowOff>
    </xdr:from>
    <xdr:to>
      <xdr:col>15</xdr:col>
      <xdr:colOff>602876</xdr:colOff>
      <xdr:row>22</xdr:row>
      <xdr:rowOff>46052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913E8416-E9AE-4602-B1EF-14FFF098FFAC}"/>
            </a:ext>
          </a:extLst>
        </xdr:cNvPr>
        <xdr:cNvCxnSpPr/>
      </xdr:nvCxnSpPr>
      <xdr:spPr>
        <a:xfrm flipV="1">
          <a:off x="9692914" y="3697941"/>
          <a:ext cx="174" cy="3911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309283</xdr:colOff>
      <xdr:row>20</xdr:row>
      <xdr:rowOff>26895</xdr:rowOff>
    </xdr:from>
    <xdr:to>
      <xdr:col>15</xdr:col>
      <xdr:colOff>609268</xdr:colOff>
      <xdr:row>20</xdr:row>
      <xdr:rowOff>27975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D2E7358C-4830-459C-8C77-F3E02936D9DD}"/>
            </a:ext>
          </a:extLst>
        </xdr:cNvPr>
        <xdr:cNvCxnSpPr/>
      </xdr:nvCxnSpPr>
      <xdr:spPr>
        <a:xfrm>
          <a:off x="8606118" y="3702424"/>
          <a:ext cx="1093362" cy="108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593729</xdr:colOff>
      <xdr:row>37</xdr:row>
      <xdr:rowOff>53789</xdr:rowOff>
    </xdr:from>
    <xdr:to>
      <xdr:col>15</xdr:col>
      <xdr:colOff>593912</xdr:colOff>
      <xdr:row>37</xdr:row>
      <xdr:rowOff>102035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E85965F9-FBCA-43D9-9AF2-6BEF76FC662E}"/>
            </a:ext>
          </a:extLst>
        </xdr:cNvPr>
        <xdr:cNvCxnSpPr/>
      </xdr:nvCxnSpPr>
      <xdr:spPr>
        <a:xfrm flipV="1">
          <a:off x="9683941" y="7019365"/>
          <a:ext cx="183" cy="4824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502024</xdr:colOff>
      <xdr:row>37</xdr:row>
      <xdr:rowOff>58270</xdr:rowOff>
    </xdr:from>
    <xdr:to>
      <xdr:col>15</xdr:col>
      <xdr:colOff>595505</xdr:colOff>
      <xdr:row>37</xdr:row>
      <xdr:rowOff>59849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5E619CEE-A01F-42DD-832A-06776AA32A0E}"/>
            </a:ext>
          </a:extLst>
        </xdr:cNvPr>
        <xdr:cNvCxnSpPr/>
      </xdr:nvCxnSpPr>
      <xdr:spPr>
        <a:xfrm>
          <a:off x="8798859" y="7023846"/>
          <a:ext cx="886858" cy="157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519545</xdr:colOff>
      <xdr:row>37</xdr:row>
      <xdr:rowOff>3464</xdr:rowOff>
    </xdr:from>
    <xdr:to>
      <xdr:col>21</xdr:col>
      <xdr:colOff>519565</xdr:colOff>
      <xdr:row>37</xdr:row>
      <xdr:rowOff>51949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484087C6-FF4D-48AD-9E6B-2E67F3457A89}"/>
            </a:ext>
          </a:extLst>
        </xdr:cNvPr>
        <xdr:cNvCxnSpPr/>
      </xdr:nvCxnSpPr>
      <xdr:spPr>
        <a:xfrm flipH="1" flipV="1">
          <a:off x="14381018" y="6961909"/>
          <a:ext cx="20" cy="4848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37</xdr:row>
      <xdr:rowOff>9136</xdr:rowOff>
    </xdr:from>
    <xdr:to>
      <xdr:col>21</xdr:col>
      <xdr:colOff>516540</xdr:colOff>
      <xdr:row>37</xdr:row>
      <xdr:rowOff>13855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5710A26C-CEF8-4A84-B600-72E2D654E0D2}"/>
            </a:ext>
          </a:extLst>
        </xdr:cNvPr>
        <xdr:cNvCxnSpPr/>
      </xdr:nvCxnSpPr>
      <xdr:spPr>
        <a:xfrm flipV="1">
          <a:off x="12708082" y="6967581"/>
          <a:ext cx="1669931" cy="471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23DD96-A5BB-43E6-9D03-35863C27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201068</xdr:colOff>
      <xdr:row>24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118C311-694B-49DE-8EFF-A093045A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22980" y="201168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455063</xdr:colOff>
      <xdr:row>24</xdr:row>
      <xdr:rowOff>234150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0F117CB-4691-4167-8639-637C42D8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0" y="2011680"/>
          <a:ext cx="2832503" cy="261159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18935DC-1E46-44D7-8A2F-594AA698F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928DD6-535A-4229-9B46-AC699A08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754624</xdr:colOff>
      <xdr:row>20</xdr:row>
      <xdr:rowOff>181897</xdr:rowOff>
    </xdr:from>
    <xdr:to>
      <xdr:col>20</xdr:col>
      <xdr:colOff>754626</xdr:colOff>
      <xdr:row>22</xdr:row>
      <xdr:rowOff>98324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4BA384-720B-4F52-B3E9-A7F35FDA8DE5}"/>
            </a:ext>
          </a:extLst>
        </xdr:cNvPr>
        <xdr:cNvCxnSpPr/>
      </xdr:nvCxnSpPr>
      <xdr:spPr>
        <a:xfrm flipV="1">
          <a:off x="13794656" y="3819832"/>
          <a:ext cx="2" cy="28022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371168</xdr:colOff>
      <xdr:row>21</xdr:row>
      <xdr:rowOff>4908</xdr:rowOff>
    </xdr:from>
    <xdr:to>
      <xdr:col>20</xdr:col>
      <xdr:colOff>756515</xdr:colOff>
      <xdr:row>21</xdr:row>
      <xdr:rowOff>9247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21D2896-4DDB-4668-92EA-21243A5EB5C3}"/>
            </a:ext>
          </a:extLst>
        </xdr:cNvPr>
        <xdr:cNvCxnSpPr/>
      </xdr:nvCxnSpPr>
      <xdr:spPr>
        <a:xfrm>
          <a:off x="12619703" y="3824740"/>
          <a:ext cx="1176844" cy="433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4B57674-9656-4526-BEA5-B84B2E521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81116</xdr:colOff>
      <xdr:row>32</xdr:row>
      <xdr:rowOff>76200</xdr:rowOff>
    </xdr:from>
    <xdr:to>
      <xdr:col>21</xdr:col>
      <xdr:colOff>81122</xdr:colOff>
      <xdr:row>36</xdr:row>
      <xdr:rowOff>147484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F593BA2A-B54C-4448-BB2A-EC5ACD3DE815}"/>
            </a:ext>
          </a:extLst>
        </xdr:cNvPr>
        <xdr:cNvCxnSpPr/>
      </xdr:nvCxnSpPr>
      <xdr:spPr>
        <a:xfrm flipH="1" flipV="1">
          <a:off x="13912645" y="6066503"/>
          <a:ext cx="6" cy="79887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388375</xdr:colOff>
      <xdr:row>32</xdr:row>
      <xdr:rowOff>71284</xdr:rowOff>
    </xdr:from>
    <xdr:to>
      <xdr:col>21</xdr:col>
      <xdr:colOff>87045</xdr:colOff>
      <xdr:row>32</xdr:row>
      <xdr:rowOff>74048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954FA226-97D0-459B-B4AA-8C0D7B275085}"/>
            </a:ext>
          </a:extLst>
        </xdr:cNvPr>
        <xdr:cNvCxnSpPr/>
      </xdr:nvCxnSpPr>
      <xdr:spPr>
        <a:xfrm>
          <a:off x="12636910" y="6061587"/>
          <a:ext cx="1281664" cy="276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334297</xdr:colOff>
      <xdr:row>20</xdr:row>
      <xdr:rowOff>117988</xdr:rowOff>
    </xdr:from>
    <xdr:to>
      <xdr:col>25</xdr:col>
      <xdr:colOff>334593</xdr:colOff>
      <xdr:row>21</xdr:row>
      <xdr:rowOff>89611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3E181E5-A372-47C4-A99D-7111956AC9B0}"/>
            </a:ext>
          </a:extLst>
        </xdr:cNvPr>
        <xdr:cNvCxnSpPr/>
      </xdr:nvCxnSpPr>
      <xdr:spPr>
        <a:xfrm flipH="1" flipV="1">
          <a:off x="17331813" y="3755923"/>
          <a:ext cx="296" cy="15352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393291</xdr:colOff>
      <xdr:row>20</xdr:row>
      <xdr:rowOff>120298</xdr:rowOff>
    </xdr:from>
    <xdr:to>
      <xdr:col>25</xdr:col>
      <xdr:colOff>341160</xdr:colOff>
      <xdr:row>20</xdr:row>
      <xdr:rowOff>120446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3D98B61-C77C-40BB-9453-BAF5C99B2021}"/>
            </a:ext>
          </a:extLst>
        </xdr:cNvPr>
        <xdr:cNvCxnSpPr/>
      </xdr:nvCxnSpPr>
      <xdr:spPr>
        <a:xfrm flipV="1">
          <a:off x="16599310" y="3758233"/>
          <a:ext cx="739366" cy="14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760443</xdr:colOff>
      <xdr:row>20</xdr:row>
      <xdr:rowOff>95865</xdr:rowOff>
    </xdr:from>
    <xdr:to>
      <xdr:col>15</xdr:col>
      <xdr:colOff>762000</xdr:colOff>
      <xdr:row>22</xdr:row>
      <xdr:rowOff>16218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B089DC2-52C2-4F2B-BD1A-D6BB6F1C9EA3}"/>
            </a:ext>
          </a:extLst>
        </xdr:cNvPr>
        <xdr:cNvCxnSpPr/>
      </xdr:nvCxnSpPr>
      <xdr:spPr>
        <a:xfrm flipV="1">
          <a:off x="9842991" y="3733800"/>
          <a:ext cx="1557" cy="28414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314632</xdr:colOff>
      <xdr:row>20</xdr:row>
      <xdr:rowOff>98323</xdr:rowOff>
    </xdr:from>
    <xdr:to>
      <xdr:col>15</xdr:col>
      <xdr:colOff>763717</xdr:colOff>
      <xdr:row>20</xdr:row>
      <xdr:rowOff>101506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DB95C6F-B567-46E5-82F8-FD6FB443FC55}"/>
            </a:ext>
          </a:extLst>
        </xdr:cNvPr>
        <xdr:cNvCxnSpPr/>
      </xdr:nvCxnSpPr>
      <xdr:spPr>
        <a:xfrm>
          <a:off x="8605684" y="3736258"/>
          <a:ext cx="1240581" cy="31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60804</xdr:colOff>
      <xdr:row>18</xdr:row>
      <xdr:rowOff>127819</xdr:rowOff>
    </xdr:from>
    <xdr:to>
      <xdr:col>16</xdr:col>
      <xdr:colOff>66368</xdr:colOff>
      <xdr:row>22</xdr:row>
      <xdr:rowOff>17470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7396EE3-2A25-413B-B505-9CE2ABAADC4E}"/>
            </a:ext>
          </a:extLst>
        </xdr:cNvPr>
        <xdr:cNvCxnSpPr/>
      </xdr:nvCxnSpPr>
      <xdr:spPr>
        <a:xfrm flipV="1">
          <a:off x="9934849" y="3401961"/>
          <a:ext cx="5564" cy="61723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18</xdr:row>
      <xdr:rowOff>127819</xdr:rowOff>
    </xdr:from>
    <xdr:to>
      <xdr:col>16</xdr:col>
      <xdr:colOff>69828</xdr:colOff>
      <xdr:row>18</xdr:row>
      <xdr:rowOff>127862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D0F1A92-0C48-43AA-B014-06B671E8B05D}"/>
            </a:ext>
          </a:extLst>
        </xdr:cNvPr>
        <xdr:cNvCxnSpPr/>
      </xdr:nvCxnSpPr>
      <xdr:spPr>
        <a:xfrm>
          <a:off x="8600768" y="3401961"/>
          <a:ext cx="1343105" cy="4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664586</xdr:colOff>
      <xdr:row>36</xdr:row>
      <xdr:rowOff>120445</xdr:rowOff>
    </xdr:from>
    <xdr:to>
      <xdr:col>15</xdr:col>
      <xdr:colOff>668594</xdr:colOff>
      <xdr:row>37</xdr:row>
      <xdr:rowOff>97351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6F7A0D5C-33C8-40CA-A8E9-F82E64AAA566}"/>
            </a:ext>
          </a:extLst>
        </xdr:cNvPr>
        <xdr:cNvCxnSpPr/>
      </xdr:nvCxnSpPr>
      <xdr:spPr>
        <a:xfrm flipV="1">
          <a:off x="9747134" y="6838335"/>
          <a:ext cx="4008" cy="15880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36</xdr:row>
      <xdr:rowOff>122904</xdr:rowOff>
    </xdr:from>
    <xdr:to>
      <xdr:col>15</xdr:col>
      <xdr:colOff>667860</xdr:colOff>
      <xdr:row>36</xdr:row>
      <xdr:rowOff>123641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2CD8433-5420-4400-803B-A5472806F66A}"/>
            </a:ext>
          </a:extLst>
        </xdr:cNvPr>
        <xdr:cNvCxnSpPr/>
      </xdr:nvCxnSpPr>
      <xdr:spPr>
        <a:xfrm>
          <a:off x="8790039" y="6840794"/>
          <a:ext cx="960369" cy="737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498991</xdr:colOff>
      <xdr:row>37</xdr:row>
      <xdr:rowOff>86032</xdr:rowOff>
    </xdr:from>
    <xdr:to>
      <xdr:col>15</xdr:col>
      <xdr:colOff>353962</xdr:colOff>
      <xdr:row>37</xdr:row>
      <xdr:rowOff>86045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B2AB13AC-F411-452C-9BF6-F3327AFAF085}"/>
            </a:ext>
          </a:extLst>
        </xdr:cNvPr>
        <xdr:cNvCxnSpPr/>
      </xdr:nvCxnSpPr>
      <xdr:spPr>
        <a:xfrm flipV="1">
          <a:off x="8790043" y="6985819"/>
          <a:ext cx="646467" cy="1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761435</xdr:colOff>
      <xdr:row>24</xdr:row>
      <xdr:rowOff>216014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70DD9DB-D73B-4F56-9512-37B97C9C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411480</xdr:colOff>
      <xdr:row>24</xdr:row>
      <xdr:rowOff>328229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62AC68B-EB15-4DAA-AB0B-BE5F6335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306974-7E4B-4ADB-8D67-CC2702CD0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706984-8E45-457F-8169-5E176C2A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521208</xdr:colOff>
      <xdr:row>20</xdr:row>
      <xdr:rowOff>167640</xdr:rowOff>
    </xdr:from>
    <xdr:to>
      <xdr:col>20</xdr:col>
      <xdr:colOff>524256</xdr:colOff>
      <xdr:row>22</xdr:row>
      <xdr:rowOff>134112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C6EF826-ED77-4626-B48C-2666AB39B365}"/>
            </a:ext>
          </a:extLst>
        </xdr:cNvPr>
        <xdr:cNvCxnSpPr/>
      </xdr:nvCxnSpPr>
      <xdr:spPr>
        <a:xfrm flipH="1" flipV="1">
          <a:off x="13587984" y="3825240"/>
          <a:ext cx="3048" cy="33223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332232</xdr:colOff>
      <xdr:row>20</xdr:row>
      <xdr:rowOff>164592</xdr:rowOff>
    </xdr:from>
    <xdr:to>
      <xdr:col>20</xdr:col>
      <xdr:colOff>524279</xdr:colOff>
      <xdr:row>20</xdr:row>
      <xdr:rowOff>166666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1C73C03-FAAB-4DF1-BF1E-58D313D69DD4}"/>
            </a:ext>
          </a:extLst>
        </xdr:cNvPr>
        <xdr:cNvCxnSpPr/>
      </xdr:nvCxnSpPr>
      <xdr:spPr>
        <a:xfrm>
          <a:off x="12606528" y="3822192"/>
          <a:ext cx="984527" cy="207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72020</xdr:colOff>
      <xdr:row>22</xdr:row>
      <xdr:rowOff>8164</xdr:rowOff>
    </xdr:from>
    <xdr:to>
      <xdr:col>15</xdr:col>
      <xdr:colOff>73479</xdr:colOff>
      <xdr:row>22</xdr:row>
      <xdr:rowOff>41680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614103D-7CF1-4154-B5B3-6779AC689096}"/>
            </a:ext>
          </a:extLst>
        </xdr:cNvPr>
        <xdr:cNvCxnSpPr/>
      </xdr:nvCxnSpPr>
      <xdr:spPr>
        <a:xfrm flipV="1">
          <a:off x="9153427" y="4019550"/>
          <a:ext cx="1459" cy="3351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321129</xdr:colOff>
      <xdr:row>22</xdr:row>
      <xdr:rowOff>13607</xdr:rowOff>
    </xdr:from>
    <xdr:to>
      <xdr:col>15</xdr:col>
      <xdr:colOff>75557</xdr:colOff>
      <xdr:row>22</xdr:row>
      <xdr:rowOff>14854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B2A2C59-3B66-4393-AB33-9E5DEAC8305F}"/>
            </a:ext>
          </a:extLst>
        </xdr:cNvPr>
        <xdr:cNvCxnSpPr/>
      </xdr:nvCxnSpPr>
      <xdr:spPr>
        <a:xfrm>
          <a:off x="8610600" y="4024993"/>
          <a:ext cx="546364" cy="124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563336</xdr:colOff>
      <xdr:row>37</xdr:row>
      <xdr:rowOff>62593</xdr:rowOff>
    </xdr:from>
    <xdr:to>
      <xdr:col>15</xdr:col>
      <xdr:colOff>563339</xdr:colOff>
      <xdr:row>37</xdr:row>
      <xdr:rowOff>100686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B111A0B-051F-4A08-84F8-3953026B5432}"/>
            </a:ext>
          </a:extLst>
        </xdr:cNvPr>
        <xdr:cNvCxnSpPr/>
      </xdr:nvCxnSpPr>
      <xdr:spPr>
        <a:xfrm flipH="1" flipV="1">
          <a:off x="9644743" y="6977743"/>
          <a:ext cx="3" cy="3809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37</xdr:row>
      <xdr:rowOff>65314</xdr:rowOff>
    </xdr:from>
    <xdr:to>
      <xdr:col>15</xdr:col>
      <xdr:colOff>570305</xdr:colOff>
      <xdr:row>37</xdr:row>
      <xdr:rowOff>67341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B238F72B-A003-4871-AEB3-A97559B00ACA}"/>
            </a:ext>
          </a:extLst>
        </xdr:cNvPr>
        <xdr:cNvCxnSpPr/>
      </xdr:nvCxnSpPr>
      <xdr:spPr>
        <a:xfrm>
          <a:off x="8792936" y="6980464"/>
          <a:ext cx="858776" cy="20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52951</xdr:colOff>
      <xdr:row>11</xdr:row>
      <xdr:rowOff>46892</xdr:rowOff>
    </xdr:from>
    <xdr:to>
      <xdr:col>17</xdr:col>
      <xdr:colOff>743758</xdr:colOff>
      <xdr:row>23</xdr:row>
      <xdr:rowOff>171583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C890FD2-562B-4F19-9BA4-0D32F95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7028" y="2045677"/>
          <a:ext cx="3064730" cy="230518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F6F3CAD9-ACE3-425C-B354-DD80E6CF4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330926</xdr:colOff>
      <xdr:row>14</xdr:row>
      <xdr:rowOff>39189</xdr:rowOff>
    </xdr:from>
    <xdr:to>
      <xdr:col>17</xdr:col>
      <xdr:colOff>334913</xdr:colOff>
      <xdr:row>21</xdr:row>
      <xdr:rowOff>59086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8C98D18-ED5D-4790-A76A-E980C289CDE5}"/>
            </a:ext>
          </a:extLst>
        </xdr:cNvPr>
        <xdr:cNvCxnSpPr/>
      </xdr:nvCxnSpPr>
      <xdr:spPr>
        <a:xfrm flipH="1" flipV="1">
          <a:off x="11016343" y="2599509"/>
          <a:ext cx="3987" cy="130005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474617</xdr:colOff>
      <xdr:row>14</xdr:row>
      <xdr:rowOff>45559</xdr:rowOff>
    </xdr:from>
    <xdr:to>
      <xdr:col>17</xdr:col>
      <xdr:colOff>334994</xdr:colOff>
      <xdr:row>14</xdr:row>
      <xdr:rowOff>47897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830E390-DB6B-4644-9E7F-B49DC4EB226D}"/>
            </a:ext>
          </a:extLst>
        </xdr:cNvPr>
        <xdr:cNvCxnSpPr/>
      </xdr:nvCxnSpPr>
      <xdr:spPr>
        <a:xfrm flipV="1">
          <a:off x="8782594" y="2605879"/>
          <a:ext cx="2237817" cy="233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53004</xdr:colOff>
      <xdr:row>11</xdr:row>
      <xdr:rowOff>0</xdr:rowOff>
    </xdr:from>
    <xdr:to>
      <xdr:col>22</xdr:col>
      <xdr:colOff>537913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62BD0D7-233D-4EAD-A34C-74F1D4A3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37769" y="2040835"/>
          <a:ext cx="2870301" cy="2228135"/>
        </a:xfrm>
        <a:prstGeom prst="rect">
          <a:avLst/>
        </a:prstGeom>
      </xdr:spPr>
    </xdr:pic>
    <xdr:clientData/>
  </xdr:twoCellAnchor>
  <xdr:twoCellAnchor>
    <xdr:from>
      <xdr:col>19</xdr:col>
      <xdr:colOff>451449</xdr:colOff>
      <xdr:row>18</xdr:row>
      <xdr:rowOff>155276</xdr:rowOff>
    </xdr:from>
    <xdr:to>
      <xdr:col>19</xdr:col>
      <xdr:colOff>453710</xdr:colOff>
      <xdr:row>20</xdr:row>
      <xdr:rowOff>84379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9F01E3F-D88F-4FD4-90A8-5F931D09C1F7}"/>
            </a:ext>
          </a:extLst>
        </xdr:cNvPr>
        <xdr:cNvCxnSpPr/>
      </xdr:nvCxnSpPr>
      <xdr:spPr>
        <a:xfrm flipH="1" flipV="1">
          <a:off x="12712460" y="3467819"/>
          <a:ext cx="2261" cy="29716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18</xdr:col>
      <xdr:colOff>28757</xdr:colOff>
      <xdr:row>39</xdr:row>
      <xdr:rowOff>12924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5C92DEC-A2A9-4B11-B696-F8FFC2F5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5018" y="4849091"/>
          <a:ext cx="3187594" cy="2354342"/>
        </a:xfrm>
        <a:prstGeom prst="rect">
          <a:avLst/>
        </a:prstGeom>
      </xdr:spPr>
    </xdr:pic>
    <xdr:clientData/>
  </xdr:twoCellAnchor>
  <xdr:twoCellAnchor>
    <xdr:from>
      <xdr:col>17</xdr:col>
      <xdr:colOff>92927</xdr:colOff>
      <xdr:row>29</xdr:row>
      <xdr:rowOff>100361</xdr:rowOff>
    </xdr:from>
    <xdr:to>
      <xdr:col>17</xdr:col>
      <xdr:colOff>104411</xdr:colOff>
      <xdr:row>36</xdr:row>
      <xdr:rowOff>93050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F99BA8F9-BCF5-4360-AEFF-16EFA285A0C6}"/>
            </a:ext>
          </a:extLst>
        </xdr:cNvPr>
        <xdr:cNvCxnSpPr/>
      </xdr:nvCxnSpPr>
      <xdr:spPr>
        <a:xfrm flipH="1" flipV="1">
          <a:off x="10775795" y="5549590"/>
          <a:ext cx="11484" cy="126764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397726</xdr:colOff>
      <xdr:row>29</xdr:row>
      <xdr:rowOff>105688</xdr:rowOff>
    </xdr:from>
    <xdr:to>
      <xdr:col>17</xdr:col>
      <xdr:colOff>99852</xdr:colOff>
      <xdr:row>29</xdr:row>
      <xdr:rowOff>107795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1F6B0E3B-5FD8-4E4F-865B-DA6D819B8C80}"/>
            </a:ext>
          </a:extLst>
        </xdr:cNvPr>
        <xdr:cNvCxnSpPr/>
      </xdr:nvCxnSpPr>
      <xdr:spPr>
        <a:xfrm flipV="1">
          <a:off x="8705385" y="5554917"/>
          <a:ext cx="2077335" cy="210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490653</xdr:colOff>
      <xdr:row>32</xdr:row>
      <xdr:rowOff>55756</xdr:rowOff>
    </xdr:from>
    <xdr:to>
      <xdr:col>16</xdr:col>
      <xdr:colOff>498423</xdr:colOff>
      <xdr:row>36</xdr:row>
      <xdr:rowOff>96771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C9628AC8-2093-412C-82F8-9E113BB5F68B}"/>
            </a:ext>
          </a:extLst>
        </xdr:cNvPr>
        <xdr:cNvCxnSpPr/>
      </xdr:nvCxnSpPr>
      <xdr:spPr>
        <a:xfrm flipH="1" flipV="1">
          <a:off x="10381785" y="6051395"/>
          <a:ext cx="7770" cy="76956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397726</xdr:colOff>
      <xdr:row>32</xdr:row>
      <xdr:rowOff>61082</xdr:rowOff>
    </xdr:from>
    <xdr:to>
      <xdr:col>16</xdr:col>
      <xdr:colOff>493864</xdr:colOff>
      <xdr:row>32</xdr:row>
      <xdr:rowOff>66907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6B342D7E-8C6F-453F-99A7-B35023395E52}"/>
            </a:ext>
          </a:extLst>
        </xdr:cNvPr>
        <xdr:cNvCxnSpPr/>
      </xdr:nvCxnSpPr>
      <xdr:spPr>
        <a:xfrm flipV="1">
          <a:off x="8705385" y="6056721"/>
          <a:ext cx="1679611" cy="58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8F1F8CF-D2B5-4D97-BCD9-D1888EDC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403528</xdr:colOff>
      <xdr:row>24</xdr:row>
      <xdr:rowOff>293774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AAA023B-2F60-42B6-80F3-F77944FB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4765" y="2040835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EE37685-21F3-4142-8F26-14D7FFF3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0AA5E2-A71E-48E5-AD7D-72D04D9B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218535</xdr:colOff>
      <xdr:row>21</xdr:row>
      <xdr:rowOff>120770</xdr:rowOff>
    </xdr:from>
    <xdr:to>
      <xdr:col>20</xdr:col>
      <xdr:colOff>221449</xdr:colOff>
      <xdr:row>22</xdr:row>
      <xdr:rowOff>97745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53DA840-3519-40FB-8C33-B5955EFF0818}"/>
            </a:ext>
          </a:extLst>
        </xdr:cNvPr>
        <xdr:cNvCxnSpPr/>
      </xdr:nvCxnSpPr>
      <xdr:spPr>
        <a:xfrm flipH="1" flipV="1">
          <a:off x="13273177" y="3985404"/>
          <a:ext cx="2914" cy="16100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336431</xdr:colOff>
      <xdr:row>21</xdr:row>
      <xdr:rowOff>120770</xdr:rowOff>
    </xdr:from>
    <xdr:to>
      <xdr:col>20</xdr:col>
      <xdr:colOff>221299</xdr:colOff>
      <xdr:row>21</xdr:row>
      <xdr:rowOff>121320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D23AC40-D755-428C-BE40-7050E272AC9E}"/>
            </a:ext>
          </a:extLst>
        </xdr:cNvPr>
        <xdr:cNvCxnSpPr/>
      </xdr:nvCxnSpPr>
      <xdr:spPr>
        <a:xfrm>
          <a:off x="12597442" y="3985404"/>
          <a:ext cx="678499" cy="55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613410</xdr:colOff>
      <xdr:row>20</xdr:row>
      <xdr:rowOff>167640</xdr:rowOff>
    </xdr:from>
    <xdr:to>
      <xdr:col>15</xdr:col>
      <xdr:colOff>613577</xdr:colOff>
      <xdr:row>22</xdr:row>
      <xdr:rowOff>14199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33B7E51-A241-402C-98F9-1F93A9489CD4}"/>
            </a:ext>
          </a:extLst>
        </xdr:cNvPr>
        <xdr:cNvCxnSpPr/>
      </xdr:nvCxnSpPr>
      <xdr:spPr>
        <a:xfrm flipH="1" flipV="1">
          <a:off x="9704070" y="3825240"/>
          <a:ext cx="167" cy="2123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316230</xdr:colOff>
      <xdr:row>20</xdr:row>
      <xdr:rowOff>169167</xdr:rowOff>
    </xdr:from>
    <xdr:to>
      <xdr:col>15</xdr:col>
      <xdr:colOff>618203</xdr:colOff>
      <xdr:row>20</xdr:row>
      <xdr:rowOff>171450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E639427-D746-479E-B21A-8BACB0900B50}"/>
            </a:ext>
          </a:extLst>
        </xdr:cNvPr>
        <xdr:cNvCxnSpPr/>
      </xdr:nvCxnSpPr>
      <xdr:spPr>
        <a:xfrm flipV="1">
          <a:off x="8614410" y="3826767"/>
          <a:ext cx="1094453" cy="22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972C187-D766-4FB1-8A06-5E3D7271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42AF1B7-6D07-4A70-9223-EA2C49D20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AAC584-2BAD-493D-8BB2-365F0C8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412652</xdr:colOff>
      <xdr:row>21</xdr:row>
      <xdr:rowOff>154745</xdr:rowOff>
    </xdr:from>
    <xdr:to>
      <xdr:col>15</xdr:col>
      <xdr:colOff>413072</xdr:colOff>
      <xdr:row>22</xdr:row>
      <xdr:rowOff>19263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F97DB26-5C61-42D2-825A-0472585EED8E}"/>
            </a:ext>
          </a:extLst>
        </xdr:cNvPr>
        <xdr:cNvCxnSpPr/>
      </xdr:nvCxnSpPr>
      <xdr:spPr>
        <a:xfrm flipH="1" flipV="1">
          <a:off x="9502726" y="3995225"/>
          <a:ext cx="420" cy="473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311834</xdr:colOff>
      <xdr:row>21</xdr:row>
      <xdr:rowOff>147714</xdr:rowOff>
    </xdr:from>
    <xdr:to>
      <xdr:col>15</xdr:col>
      <xdr:colOff>418816</xdr:colOff>
      <xdr:row>21</xdr:row>
      <xdr:rowOff>151029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1B435AF-2733-4F28-8899-B3EF12D3B053}"/>
            </a:ext>
          </a:extLst>
        </xdr:cNvPr>
        <xdr:cNvCxnSpPr/>
      </xdr:nvCxnSpPr>
      <xdr:spPr>
        <a:xfrm>
          <a:off x="8609428" y="3988194"/>
          <a:ext cx="899462" cy="331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468923</xdr:colOff>
      <xdr:row>21</xdr:row>
      <xdr:rowOff>49237</xdr:rowOff>
    </xdr:from>
    <xdr:to>
      <xdr:col>15</xdr:col>
      <xdr:colOff>468924</xdr:colOff>
      <xdr:row>22</xdr:row>
      <xdr:rowOff>18756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21527A2-8A73-455A-A023-519B4417E8B5}"/>
            </a:ext>
          </a:extLst>
        </xdr:cNvPr>
        <xdr:cNvCxnSpPr/>
      </xdr:nvCxnSpPr>
      <xdr:spPr>
        <a:xfrm flipH="1" flipV="1">
          <a:off x="9558997" y="3889717"/>
          <a:ext cx="1" cy="15239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21</xdr:row>
      <xdr:rowOff>46073</xdr:rowOff>
    </xdr:from>
    <xdr:to>
      <xdr:col>15</xdr:col>
      <xdr:colOff>474383</xdr:colOff>
      <xdr:row>21</xdr:row>
      <xdr:rowOff>49237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41388E6-3C64-4B77-8A35-64975FD85B99}"/>
            </a:ext>
          </a:extLst>
        </xdr:cNvPr>
        <xdr:cNvCxnSpPr/>
      </xdr:nvCxnSpPr>
      <xdr:spPr>
        <a:xfrm flipV="1">
          <a:off x="8614117" y="3886553"/>
          <a:ext cx="950340" cy="316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7ADAED8-E4DC-4EDF-90E2-98E0F9C0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2688B0D-7865-4E3D-BB28-3B984DCA9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4E86E8-7869-4DCF-A240-00784C38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566237</xdr:colOff>
      <xdr:row>21</xdr:row>
      <xdr:rowOff>112647</xdr:rowOff>
    </xdr:from>
    <xdr:to>
      <xdr:col>15</xdr:col>
      <xdr:colOff>566260</xdr:colOff>
      <xdr:row>22</xdr:row>
      <xdr:rowOff>21135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6DEFAC4-3B28-454A-A6BD-333A68C68F18}"/>
            </a:ext>
          </a:extLst>
        </xdr:cNvPr>
        <xdr:cNvCxnSpPr/>
      </xdr:nvCxnSpPr>
      <xdr:spPr>
        <a:xfrm flipH="1" flipV="1">
          <a:off x="9648785" y="3932479"/>
          <a:ext cx="23" cy="9038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21</xdr:row>
      <xdr:rowOff>113071</xdr:rowOff>
    </xdr:from>
    <xdr:to>
      <xdr:col>15</xdr:col>
      <xdr:colOff>569535</xdr:colOff>
      <xdr:row>21</xdr:row>
      <xdr:rowOff>116251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63787D1-BBB8-4FD9-A65E-24665B4C88B6}"/>
            </a:ext>
          </a:extLst>
        </xdr:cNvPr>
        <xdr:cNvCxnSpPr/>
      </xdr:nvCxnSpPr>
      <xdr:spPr>
        <a:xfrm>
          <a:off x="8603226" y="3932903"/>
          <a:ext cx="1048857" cy="31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395095</xdr:colOff>
      <xdr:row>20</xdr:row>
      <xdr:rowOff>127820</xdr:rowOff>
    </xdr:from>
    <xdr:to>
      <xdr:col>15</xdr:col>
      <xdr:colOff>395749</xdr:colOff>
      <xdr:row>22</xdr:row>
      <xdr:rowOff>19928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0317AF0-C933-4A39-AAE4-96036F8035CA}"/>
            </a:ext>
          </a:extLst>
        </xdr:cNvPr>
        <xdr:cNvCxnSpPr/>
      </xdr:nvCxnSpPr>
      <xdr:spPr>
        <a:xfrm flipV="1">
          <a:off x="9477643" y="3765755"/>
          <a:ext cx="654" cy="25590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314632</xdr:colOff>
      <xdr:row>20</xdr:row>
      <xdr:rowOff>135194</xdr:rowOff>
    </xdr:from>
    <xdr:to>
      <xdr:col>15</xdr:col>
      <xdr:colOff>404119</xdr:colOff>
      <xdr:row>20</xdr:row>
      <xdr:rowOff>137685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B2BF3F9-693C-4401-B935-E94E9231E8B6}"/>
            </a:ext>
          </a:extLst>
        </xdr:cNvPr>
        <xdr:cNvCxnSpPr/>
      </xdr:nvCxnSpPr>
      <xdr:spPr>
        <a:xfrm>
          <a:off x="8605684" y="3773129"/>
          <a:ext cx="880983" cy="249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693175</xdr:colOff>
      <xdr:row>20</xdr:row>
      <xdr:rowOff>130278</xdr:rowOff>
    </xdr:from>
    <xdr:to>
      <xdr:col>15</xdr:col>
      <xdr:colOff>694081</xdr:colOff>
      <xdr:row>22</xdr:row>
      <xdr:rowOff>18682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E0E75465-709B-485B-A7CA-FE859FD03904}"/>
            </a:ext>
          </a:extLst>
        </xdr:cNvPr>
        <xdr:cNvCxnSpPr/>
      </xdr:nvCxnSpPr>
      <xdr:spPr>
        <a:xfrm flipH="1" flipV="1">
          <a:off x="9775723" y="3768213"/>
          <a:ext cx="906" cy="25219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20</xdr:row>
      <xdr:rowOff>137652</xdr:rowOff>
    </xdr:from>
    <xdr:to>
      <xdr:col>15</xdr:col>
      <xdr:colOff>697355</xdr:colOff>
      <xdr:row>20</xdr:row>
      <xdr:rowOff>138382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6040DF4C-8B59-4679-9764-F00BA85D842E}"/>
            </a:ext>
          </a:extLst>
        </xdr:cNvPr>
        <xdr:cNvCxnSpPr/>
      </xdr:nvCxnSpPr>
      <xdr:spPr>
        <a:xfrm>
          <a:off x="8600768" y="3775587"/>
          <a:ext cx="1179135" cy="73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235974</xdr:colOff>
      <xdr:row>36</xdr:row>
      <xdr:rowOff>145026</xdr:rowOff>
    </xdr:from>
    <xdr:to>
      <xdr:col>16</xdr:col>
      <xdr:colOff>236876</xdr:colOff>
      <xdr:row>37</xdr:row>
      <xdr:rowOff>104728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545EC1BC-B1D6-4B65-ACB6-D266839D818B}"/>
            </a:ext>
          </a:extLst>
        </xdr:cNvPr>
        <xdr:cNvCxnSpPr/>
      </xdr:nvCxnSpPr>
      <xdr:spPr>
        <a:xfrm flipH="1" flipV="1">
          <a:off x="10110019" y="6862916"/>
          <a:ext cx="902" cy="1415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503903</xdr:colOff>
      <xdr:row>36</xdr:row>
      <xdr:rowOff>149942</xdr:rowOff>
    </xdr:from>
    <xdr:to>
      <xdr:col>16</xdr:col>
      <xdr:colOff>240150</xdr:colOff>
      <xdr:row>36</xdr:row>
      <xdr:rowOff>150684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BF119EE-339B-4E69-ACDB-D74D38E53AB0}"/>
            </a:ext>
          </a:extLst>
        </xdr:cNvPr>
        <xdr:cNvCxnSpPr/>
      </xdr:nvCxnSpPr>
      <xdr:spPr>
        <a:xfrm>
          <a:off x="8794955" y="6867832"/>
          <a:ext cx="1319240" cy="74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1287542-1EF7-4C82-A6B0-C5628C55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696368</xdr:colOff>
      <xdr:row>24</xdr:row>
      <xdr:rowOff>50002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0F7CE22-43C7-4C02-BCCF-713BB9EE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8866F67-8822-419A-9CC6-93FF093EE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E2692-2102-4748-96A4-09B65C3B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230037</xdr:colOff>
      <xdr:row>20</xdr:row>
      <xdr:rowOff>126521</xdr:rowOff>
    </xdr:from>
    <xdr:to>
      <xdr:col>20</xdr:col>
      <xdr:colOff>232940</xdr:colOff>
      <xdr:row>21</xdr:row>
      <xdr:rowOff>92002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E79320A-3526-44CD-8E2A-34F83CDA882F}"/>
            </a:ext>
          </a:extLst>
        </xdr:cNvPr>
        <xdr:cNvCxnSpPr/>
      </xdr:nvCxnSpPr>
      <xdr:spPr>
        <a:xfrm flipH="1" flipV="1">
          <a:off x="13284679" y="3807125"/>
          <a:ext cx="2903" cy="14951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391064</xdr:colOff>
      <xdr:row>20</xdr:row>
      <xdr:rowOff>132271</xdr:rowOff>
    </xdr:from>
    <xdr:to>
      <xdr:col>20</xdr:col>
      <xdr:colOff>235666</xdr:colOff>
      <xdr:row>20</xdr:row>
      <xdr:rowOff>132828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8C00E45-D258-4855-B536-A477947B3A51}"/>
            </a:ext>
          </a:extLst>
        </xdr:cNvPr>
        <xdr:cNvCxnSpPr/>
      </xdr:nvCxnSpPr>
      <xdr:spPr>
        <a:xfrm>
          <a:off x="12652075" y="3812875"/>
          <a:ext cx="638233" cy="55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651384</xdr:colOff>
      <xdr:row>19</xdr:row>
      <xdr:rowOff>150055</xdr:rowOff>
    </xdr:from>
    <xdr:to>
      <xdr:col>15</xdr:col>
      <xdr:colOff>651803</xdr:colOff>
      <xdr:row>22</xdr:row>
      <xdr:rowOff>15812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13CA248-8AE5-457D-982A-4452E7DFE2C6}"/>
            </a:ext>
          </a:extLst>
        </xdr:cNvPr>
        <xdr:cNvCxnSpPr/>
      </xdr:nvCxnSpPr>
      <xdr:spPr>
        <a:xfrm flipV="1">
          <a:off x="9741458" y="3624775"/>
          <a:ext cx="419" cy="41439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19</xdr:row>
      <xdr:rowOff>152901</xdr:rowOff>
    </xdr:from>
    <xdr:to>
      <xdr:col>15</xdr:col>
      <xdr:colOff>652200</xdr:colOff>
      <xdr:row>19</xdr:row>
      <xdr:rowOff>157089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A770AA6-B867-4626-AABF-F4C20E5BEB66}"/>
            </a:ext>
          </a:extLst>
        </xdr:cNvPr>
        <xdr:cNvCxnSpPr/>
      </xdr:nvCxnSpPr>
      <xdr:spPr>
        <a:xfrm flipV="1">
          <a:off x="8614117" y="3627621"/>
          <a:ext cx="1128157" cy="418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108155</xdr:colOff>
      <xdr:row>20</xdr:row>
      <xdr:rowOff>22123</xdr:rowOff>
    </xdr:from>
    <xdr:to>
      <xdr:col>16</xdr:col>
      <xdr:colOff>109964</xdr:colOff>
      <xdr:row>22</xdr:row>
      <xdr:rowOff>17470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1193BA6F-9DA0-4099-A064-29E86CC57EF1}"/>
            </a:ext>
          </a:extLst>
        </xdr:cNvPr>
        <xdr:cNvCxnSpPr/>
      </xdr:nvCxnSpPr>
      <xdr:spPr>
        <a:xfrm flipH="1" flipV="1">
          <a:off x="9982200" y="3660058"/>
          <a:ext cx="1809" cy="35914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24581</xdr:rowOff>
    </xdr:from>
    <xdr:to>
      <xdr:col>16</xdr:col>
      <xdr:colOff>118988</xdr:colOff>
      <xdr:row>20</xdr:row>
      <xdr:rowOff>24617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A432D8BB-4467-4024-8AF3-479233DB788E}"/>
            </a:ext>
          </a:extLst>
        </xdr:cNvPr>
        <xdr:cNvCxnSpPr/>
      </xdr:nvCxnSpPr>
      <xdr:spPr>
        <a:xfrm>
          <a:off x="8603226" y="3662516"/>
          <a:ext cx="1389807" cy="3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316006</xdr:colOff>
      <xdr:row>21</xdr:row>
      <xdr:rowOff>182728</xdr:rowOff>
    </xdr:from>
    <xdr:to>
      <xdr:col>15</xdr:col>
      <xdr:colOff>224656</xdr:colOff>
      <xdr:row>21</xdr:row>
      <xdr:rowOff>183776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A20AB6EA-DA86-4B73-9464-45BAD68359D8}"/>
            </a:ext>
          </a:extLst>
        </xdr:cNvPr>
        <xdr:cNvCxnSpPr/>
      </xdr:nvCxnSpPr>
      <xdr:spPr>
        <a:xfrm flipV="1">
          <a:off x="8612841" y="4042034"/>
          <a:ext cx="702027" cy="104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229357</xdr:colOff>
      <xdr:row>36</xdr:row>
      <xdr:rowOff>150056</xdr:rowOff>
    </xdr:from>
    <xdr:to>
      <xdr:col>16</xdr:col>
      <xdr:colOff>229772</xdr:colOff>
      <xdr:row>37</xdr:row>
      <xdr:rowOff>102559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B4B88878-84B4-4093-9278-3693758A1870}"/>
            </a:ext>
          </a:extLst>
        </xdr:cNvPr>
        <xdr:cNvCxnSpPr/>
      </xdr:nvCxnSpPr>
      <xdr:spPr>
        <a:xfrm flipV="1">
          <a:off x="10111911" y="6902548"/>
          <a:ext cx="415" cy="13538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497058</xdr:colOff>
      <xdr:row>36</xdr:row>
      <xdr:rowOff>155242</xdr:rowOff>
    </xdr:from>
    <xdr:to>
      <xdr:col>16</xdr:col>
      <xdr:colOff>230173</xdr:colOff>
      <xdr:row>36</xdr:row>
      <xdr:rowOff>159434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7BF8B814-2040-4F8C-9880-915192560E3A}"/>
            </a:ext>
          </a:extLst>
        </xdr:cNvPr>
        <xdr:cNvCxnSpPr/>
      </xdr:nvCxnSpPr>
      <xdr:spPr>
        <a:xfrm flipV="1">
          <a:off x="8794652" y="6907734"/>
          <a:ext cx="1318075" cy="419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180535</xdr:colOff>
      <xdr:row>37</xdr:row>
      <xdr:rowOff>30480</xdr:rowOff>
    </xdr:from>
    <xdr:to>
      <xdr:col>15</xdr:col>
      <xdr:colOff>182461</xdr:colOff>
      <xdr:row>37</xdr:row>
      <xdr:rowOff>100213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3B55A6A-4B1B-47C4-AA4B-9D3C46636B91}"/>
            </a:ext>
          </a:extLst>
        </xdr:cNvPr>
        <xdr:cNvCxnSpPr/>
      </xdr:nvCxnSpPr>
      <xdr:spPr>
        <a:xfrm flipH="1" flipV="1">
          <a:off x="9270609" y="6965852"/>
          <a:ext cx="1926" cy="6973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499403</xdr:colOff>
      <xdr:row>37</xdr:row>
      <xdr:rowOff>32825</xdr:rowOff>
    </xdr:from>
    <xdr:to>
      <xdr:col>15</xdr:col>
      <xdr:colOff>183277</xdr:colOff>
      <xdr:row>37</xdr:row>
      <xdr:rowOff>33325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3EAC68BF-4E95-481B-AC39-73AD7FEBEA7F}"/>
            </a:ext>
          </a:extLst>
        </xdr:cNvPr>
        <xdr:cNvCxnSpPr/>
      </xdr:nvCxnSpPr>
      <xdr:spPr>
        <a:xfrm>
          <a:off x="8796997" y="6968197"/>
          <a:ext cx="476354" cy="500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761435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D68638A-9124-47D6-80B9-558F476F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20E2617-BEA8-4BEA-9C20-9DE5872D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226D41-F50C-418A-A100-2C3CC2E2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601000</xdr:colOff>
      <xdr:row>21</xdr:row>
      <xdr:rowOff>7749</xdr:rowOff>
    </xdr:from>
    <xdr:to>
      <xdr:col>15</xdr:col>
      <xdr:colOff>601851</xdr:colOff>
      <xdr:row>22</xdr:row>
      <xdr:rowOff>43624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E2C1572-8ADB-41E0-A289-6E27E0BE1A0C}"/>
            </a:ext>
          </a:extLst>
        </xdr:cNvPr>
        <xdr:cNvCxnSpPr/>
      </xdr:nvCxnSpPr>
      <xdr:spPr>
        <a:xfrm flipV="1">
          <a:off x="9685590" y="3859078"/>
          <a:ext cx="851" cy="21927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312549</xdr:colOff>
      <xdr:row>21</xdr:row>
      <xdr:rowOff>12915</xdr:rowOff>
    </xdr:from>
    <xdr:to>
      <xdr:col>15</xdr:col>
      <xdr:colOff>604691</xdr:colOff>
      <xdr:row>21</xdr:row>
      <xdr:rowOff>13058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9A17012-2A00-453A-BAB9-6F57BE7182EC}"/>
            </a:ext>
          </a:extLst>
        </xdr:cNvPr>
        <xdr:cNvCxnSpPr/>
      </xdr:nvCxnSpPr>
      <xdr:spPr>
        <a:xfrm>
          <a:off x="8604142" y="3864244"/>
          <a:ext cx="1085139" cy="14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552773</xdr:colOff>
      <xdr:row>20</xdr:row>
      <xdr:rowOff>67160</xdr:rowOff>
    </xdr:from>
    <xdr:to>
      <xdr:col>15</xdr:col>
      <xdr:colOff>552783</xdr:colOff>
      <xdr:row>22</xdr:row>
      <xdr:rowOff>46486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F12A26F-F157-4DFC-AEFE-491855CD2439}"/>
            </a:ext>
          </a:extLst>
        </xdr:cNvPr>
        <xdr:cNvCxnSpPr/>
      </xdr:nvCxnSpPr>
      <xdr:spPr>
        <a:xfrm flipH="1" flipV="1">
          <a:off x="9637363" y="3735092"/>
          <a:ext cx="10" cy="34611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315132</xdr:colOff>
      <xdr:row>20</xdr:row>
      <xdr:rowOff>73322</xdr:rowOff>
    </xdr:from>
    <xdr:to>
      <xdr:col>15</xdr:col>
      <xdr:colOff>556612</xdr:colOff>
      <xdr:row>20</xdr:row>
      <xdr:rowOff>74909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8A5C927-7631-4E0F-BEB1-F7AF5A566658}"/>
            </a:ext>
          </a:extLst>
        </xdr:cNvPr>
        <xdr:cNvCxnSpPr/>
      </xdr:nvCxnSpPr>
      <xdr:spPr>
        <a:xfrm flipV="1">
          <a:off x="8606725" y="3741254"/>
          <a:ext cx="1034477" cy="158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319178</xdr:colOff>
      <xdr:row>22</xdr:row>
      <xdr:rowOff>31623</xdr:rowOff>
    </xdr:from>
    <xdr:to>
      <xdr:col>15</xdr:col>
      <xdr:colOff>163902</xdr:colOff>
      <xdr:row>22</xdr:row>
      <xdr:rowOff>31630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5E119CB-237E-4DD3-90A4-5FE8450E3E5E}"/>
            </a:ext>
          </a:extLst>
        </xdr:cNvPr>
        <xdr:cNvCxnSpPr/>
      </xdr:nvCxnSpPr>
      <xdr:spPr>
        <a:xfrm flipV="1">
          <a:off x="8612038" y="4080287"/>
          <a:ext cx="638355" cy="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190291</xdr:colOff>
      <xdr:row>36</xdr:row>
      <xdr:rowOff>160149</xdr:rowOff>
    </xdr:from>
    <xdr:to>
      <xdr:col>16</xdr:col>
      <xdr:colOff>191146</xdr:colOff>
      <xdr:row>37</xdr:row>
      <xdr:rowOff>100462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D7BA6152-91CD-440D-BC62-C42F1C0755DF}"/>
            </a:ext>
          </a:extLst>
        </xdr:cNvPr>
        <xdr:cNvCxnSpPr/>
      </xdr:nvCxnSpPr>
      <xdr:spPr>
        <a:xfrm flipV="1">
          <a:off x="10067877" y="6930325"/>
          <a:ext cx="855" cy="12371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501112</xdr:colOff>
      <xdr:row>36</xdr:row>
      <xdr:rowOff>162732</xdr:rowOff>
    </xdr:from>
    <xdr:to>
      <xdr:col>16</xdr:col>
      <xdr:colOff>193982</xdr:colOff>
      <xdr:row>36</xdr:row>
      <xdr:rowOff>162884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9C8CD32F-E01F-4DAE-825D-8A880AA19173}"/>
            </a:ext>
          </a:extLst>
        </xdr:cNvPr>
        <xdr:cNvCxnSpPr/>
      </xdr:nvCxnSpPr>
      <xdr:spPr>
        <a:xfrm>
          <a:off x="8792705" y="6932908"/>
          <a:ext cx="1278863" cy="15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BAD8C4C-770F-45DC-B4C3-B57E1419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523E530-1EBC-4FFE-A442-158F49E78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7E1C13-640A-49B6-B88B-2128D92D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286504</xdr:colOff>
      <xdr:row>21</xdr:row>
      <xdr:rowOff>165315</xdr:rowOff>
    </xdr:from>
    <xdr:to>
      <xdr:col>15</xdr:col>
      <xdr:colOff>286718</xdr:colOff>
      <xdr:row>22</xdr:row>
      <xdr:rowOff>19264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25575F2-5764-4E97-B23B-AEC9C7DBFBF3}"/>
            </a:ext>
          </a:extLst>
        </xdr:cNvPr>
        <xdr:cNvCxnSpPr/>
      </xdr:nvCxnSpPr>
      <xdr:spPr>
        <a:xfrm flipV="1">
          <a:off x="9371094" y="4016644"/>
          <a:ext cx="214" cy="3734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317715</xdr:colOff>
      <xdr:row>21</xdr:row>
      <xdr:rowOff>171452</xdr:rowOff>
    </xdr:from>
    <xdr:to>
      <xdr:col>15</xdr:col>
      <xdr:colOff>289904</xdr:colOff>
      <xdr:row>21</xdr:row>
      <xdr:rowOff>173064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D0A0031-DA78-4FFD-B76F-3F3B4F3AC1D6}"/>
            </a:ext>
          </a:extLst>
        </xdr:cNvPr>
        <xdr:cNvCxnSpPr/>
      </xdr:nvCxnSpPr>
      <xdr:spPr>
        <a:xfrm flipV="1">
          <a:off x="8609308" y="4022781"/>
          <a:ext cx="765186" cy="161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216824</xdr:colOff>
      <xdr:row>19</xdr:row>
      <xdr:rowOff>123986</xdr:rowOff>
    </xdr:from>
    <xdr:to>
      <xdr:col>16</xdr:col>
      <xdr:colOff>219560</xdr:colOff>
      <xdr:row>22</xdr:row>
      <xdr:rowOff>18056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F0E8D2F-EC02-4FC0-B332-F36A23679AF9}"/>
            </a:ext>
          </a:extLst>
        </xdr:cNvPr>
        <xdr:cNvCxnSpPr/>
      </xdr:nvCxnSpPr>
      <xdr:spPr>
        <a:xfrm flipV="1">
          <a:off x="10094410" y="3608522"/>
          <a:ext cx="2736" cy="4442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320299</xdr:colOff>
      <xdr:row>19</xdr:row>
      <xdr:rowOff>121403</xdr:rowOff>
    </xdr:from>
    <xdr:to>
      <xdr:col>16</xdr:col>
      <xdr:colOff>223390</xdr:colOff>
      <xdr:row>19</xdr:row>
      <xdr:rowOff>127568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7A283EB-02AD-48CE-B5AD-44E111E913AE}"/>
            </a:ext>
          </a:extLst>
        </xdr:cNvPr>
        <xdr:cNvCxnSpPr/>
      </xdr:nvCxnSpPr>
      <xdr:spPr>
        <a:xfrm>
          <a:off x="8611892" y="3605939"/>
          <a:ext cx="1489084" cy="616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EC34F3D-1A25-4A38-9291-BBDCBB70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E3ADA42-B19D-4EF5-8F17-D66030D17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335796</xdr:colOff>
      <xdr:row>21</xdr:row>
      <xdr:rowOff>162732</xdr:rowOff>
    </xdr:from>
    <xdr:to>
      <xdr:col>15</xdr:col>
      <xdr:colOff>336467</xdr:colOff>
      <xdr:row>22</xdr:row>
      <xdr:rowOff>17761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213E879-3F11-4D09-8DD0-572449F3460A}"/>
            </a:ext>
          </a:extLst>
        </xdr:cNvPr>
        <xdr:cNvCxnSpPr/>
      </xdr:nvCxnSpPr>
      <xdr:spPr>
        <a:xfrm flipH="1" flipV="1">
          <a:off x="9420386" y="4014061"/>
          <a:ext cx="671" cy="3842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313134</xdr:colOff>
      <xdr:row>21</xdr:row>
      <xdr:rowOff>165464</xdr:rowOff>
    </xdr:from>
    <xdr:to>
      <xdr:col>15</xdr:col>
      <xdr:colOff>339865</xdr:colOff>
      <xdr:row>21</xdr:row>
      <xdr:rowOff>166777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8B1735D-648D-4695-96E2-AFCAD435EC6C}"/>
            </a:ext>
          </a:extLst>
        </xdr:cNvPr>
        <xdr:cNvCxnSpPr/>
      </xdr:nvCxnSpPr>
      <xdr:spPr>
        <a:xfrm flipV="1">
          <a:off x="8604727" y="4016793"/>
          <a:ext cx="819728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7601</xdr:colOff>
      <xdr:row>20</xdr:row>
      <xdr:rowOff>85241</xdr:rowOff>
    </xdr:from>
    <xdr:to>
      <xdr:col>16</xdr:col>
      <xdr:colOff>7750</xdr:colOff>
      <xdr:row>22</xdr:row>
      <xdr:rowOff>15473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E102EAF-CCE8-40CE-845F-2F6F852621C5}"/>
            </a:ext>
          </a:extLst>
        </xdr:cNvPr>
        <xdr:cNvCxnSpPr/>
      </xdr:nvCxnSpPr>
      <xdr:spPr>
        <a:xfrm flipV="1">
          <a:off x="9885187" y="3753173"/>
          <a:ext cx="149" cy="2970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315132</xdr:colOff>
      <xdr:row>20</xdr:row>
      <xdr:rowOff>86237</xdr:rowOff>
    </xdr:from>
    <xdr:to>
      <xdr:col>16</xdr:col>
      <xdr:colOff>14167</xdr:colOff>
      <xdr:row>20</xdr:row>
      <xdr:rowOff>90407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5AE44B8-87AB-4252-AD8D-A1C711137AC9}"/>
            </a:ext>
          </a:extLst>
        </xdr:cNvPr>
        <xdr:cNvCxnSpPr/>
      </xdr:nvCxnSpPr>
      <xdr:spPr>
        <a:xfrm flipV="1">
          <a:off x="8606725" y="3754169"/>
          <a:ext cx="1285028" cy="417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76D36FE-DAE3-43EC-8B88-A5967299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1</xdr:rowOff>
    </xdr:from>
    <xdr:to>
      <xdr:col>18</xdr:col>
      <xdr:colOff>320745</xdr:colOff>
      <xdr:row>24</xdr:row>
      <xdr:rowOff>238540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2C2AD3B-7CDE-48C1-A34A-E464672D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6"/>
          <a:ext cx="3501267" cy="265043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F412FB1-D2CC-4493-B807-B26F3957D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45C2F9-9CF4-4986-AF88-9546610F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648827</xdr:colOff>
      <xdr:row>21</xdr:row>
      <xdr:rowOff>136187</xdr:rowOff>
    </xdr:from>
    <xdr:to>
      <xdr:col>14</xdr:col>
      <xdr:colOff>651753</xdr:colOff>
      <xdr:row>22</xdr:row>
      <xdr:rowOff>96923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C669ABF-32A5-40C2-AAB1-FAB6D7986B59}"/>
            </a:ext>
          </a:extLst>
        </xdr:cNvPr>
        <xdr:cNvCxnSpPr/>
      </xdr:nvCxnSpPr>
      <xdr:spPr>
        <a:xfrm flipV="1">
          <a:off x="8953006" y="3949430"/>
          <a:ext cx="2926" cy="1423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366408</xdr:colOff>
      <xdr:row>21</xdr:row>
      <xdr:rowOff>139426</xdr:rowOff>
    </xdr:from>
    <xdr:to>
      <xdr:col>14</xdr:col>
      <xdr:colOff>652887</xdr:colOff>
      <xdr:row>21</xdr:row>
      <xdr:rowOff>141724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8C8A1AB-7059-4B62-9473-534048890AA1}"/>
            </a:ext>
          </a:extLst>
        </xdr:cNvPr>
        <xdr:cNvCxnSpPr/>
      </xdr:nvCxnSpPr>
      <xdr:spPr>
        <a:xfrm>
          <a:off x="8670587" y="3952669"/>
          <a:ext cx="286479" cy="22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D930D5A-AE9A-4D83-B7CD-34343F0E4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5BC3E89-2251-413B-B93A-D73B553CF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F2D146-E254-4521-A323-34DE09AC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10333</xdr:colOff>
      <xdr:row>20</xdr:row>
      <xdr:rowOff>72326</xdr:rowOff>
    </xdr:from>
    <xdr:to>
      <xdr:col>16</xdr:col>
      <xdr:colOff>11967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0EC0F6C-349F-421C-A853-9B728159123E}"/>
            </a:ext>
          </a:extLst>
        </xdr:cNvPr>
        <xdr:cNvCxnSpPr/>
      </xdr:nvCxnSpPr>
      <xdr:spPr>
        <a:xfrm flipH="1" flipV="1">
          <a:off x="9887919" y="3740258"/>
          <a:ext cx="1634" cy="21183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444285</xdr:colOff>
      <xdr:row>20</xdr:row>
      <xdr:rowOff>72326</xdr:rowOff>
    </xdr:from>
    <xdr:to>
      <xdr:col>16</xdr:col>
      <xdr:colOff>12017</xdr:colOff>
      <xdr:row>20</xdr:row>
      <xdr:rowOff>77344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FC82A19-4E4E-4D77-909E-80A0C7A5F93D}"/>
            </a:ext>
          </a:extLst>
        </xdr:cNvPr>
        <xdr:cNvCxnSpPr/>
      </xdr:nvCxnSpPr>
      <xdr:spPr>
        <a:xfrm>
          <a:off x="8735878" y="3740258"/>
          <a:ext cx="1153725" cy="501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976E9E0-BB70-49E2-9630-65F8461E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451104</xdr:colOff>
      <xdr:row>37</xdr:row>
      <xdr:rowOff>73152</xdr:rowOff>
    </xdr:from>
    <xdr:to>
      <xdr:col>15</xdr:col>
      <xdr:colOff>462718</xdr:colOff>
      <xdr:row>37</xdr:row>
      <xdr:rowOff>97984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C9B36243-4638-4FF7-9195-A455AB44172E}"/>
            </a:ext>
          </a:extLst>
        </xdr:cNvPr>
        <xdr:cNvCxnSpPr/>
      </xdr:nvCxnSpPr>
      <xdr:spPr>
        <a:xfrm flipH="1" flipV="1">
          <a:off x="9555480" y="7007352"/>
          <a:ext cx="11614" cy="2483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509016</xdr:colOff>
      <xdr:row>37</xdr:row>
      <xdr:rowOff>82700</xdr:rowOff>
    </xdr:from>
    <xdr:to>
      <xdr:col>15</xdr:col>
      <xdr:colOff>459842</xdr:colOff>
      <xdr:row>37</xdr:row>
      <xdr:rowOff>88392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DF98F5A-268B-4163-821E-9B23B9BE1CB2}"/>
            </a:ext>
          </a:extLst>
        </xdr:cNvPr>
        <xdr:cNvCxnSpPr/>
      </xdr:nvCxnSpPr>
      <xdr:spPr>
        <a:xfrm flipV="1">
          <a:off x="8820912" y="7016900"/>
          <a:ext cx="743306" cy="569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31F8D9F-2C8C-4AEA-BD98-97CE8944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353438</xdr:colOff>
      <xdr:row>17</xdr:row>
      <xdr:rowOff>94034</xdr:rowOff>
    </xdr:from>
    <xdr:to>
      <xdr:col>21</xdr:col>
      <xdr:colOff>355478</xdr:colOff>
      <xdr:row>21</xdr:row>
      <xdr:rowOff>12195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8DD74FE-28A1-4201-9E6E-492DF390179E}"/>
            </a:ext>
          </a:extLst>
        </xdr:cNvPr>
        <xdr:cNvCxnSpPr/>
      </xdr:nvCxnSpPr>
      <xdr:spPr>
        <a:xfrm flipH="1" flipV="1">
          <a:off x="14195898" y="3180945"/>
          <a:ext cx="2040" cy="6444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421532</xdr:colOff>
      <xdr:row>17</xdr:row>
      <xdr:rowOff>84306</xdr:rowOff>
    </xdr:from>
    <xdr:to>
      <xdr:col>21</xdr:col>
      <xdr:colOff>355559</xdr:colOff>
      <xdr:row>17</xdr:row>
      <xdr:rowOff>87135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9EE63FE-1D3E-4B86-ACB2-3414255F53F4}"/>
            </a:ext>
          </a:extLst>
        </xdr:cNvPr>
        <xdr:cNvCxnSpPr/>
      </xdr:nvCxnSpPr>
      <xdr:spPr>
        <a:xfrm>
          <a:off x="12681626" y="3171217"/>
          <a:ext cx="1516393" cy="282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279838</xdr:colOff>
      <xdr:row>35</xdr:row>
      <xdr:rowOff>152400</xdr:rowOff>
    </xdr:from>
    <xdr:to>
      <xdr:col>16</xdr:col>
      <xdr:colOff>280416</xdr:colOff>
      <xdr:row>37</xdr:row>
      <xdr:rowOff>97984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D6A8CCFF-4DFB-437D-AA57-E7CE45A90E4C}"/>
            </a:ext>
          </a:extLst>
        </xdr:cNvPr>
        <xdr:cNvCxnSpPr/>
      </xdr:nvCxnSpPr>
      <xdr:spPr>
        <a:xfrm flipV="1">
          <a:off x="10176694" y="6720840"/>
          <a:ext cx="578" cy="31134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509016</xdr:colOff>
      <xdr:row>35</xdr:row>
      <xdr:rowOff>149352</xdr:rowOff>
    </xdr:from>
    <xdr:to>
      <xdr:col>16</xdr:col>
      <xdr:colOff>276962</xdr:colOff>
      <xdr:row>35</xdr:row>
      <xdr:rowOff>149756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9FA54520-2F80-442C-A847-F170B695E630}"/>
            </a:ext>
          </a:extLst>
        </xdr:cNvPr>
        <xdr:cNvCxnSpPr/>
      </xdr:nvCxnSpPr>
      <xdr:spPr>
        <a:xfrm>
          <a:off x="8820912" y="6717792"/>
          <a:ext cx="1352906" cy="40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28758</xdr:colOff>
      <xdr:row>39</xdr:row>
      <xdr:rowOff>12924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52E7177-9543-4642-B1DE-ECD6219A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27859" y="4831976"/>
          <a:ext cx="3184334" cy="2343748"/>
        </a:xfrm>
        <a:prstGeom prst="rect">
          <a:avLst/>
        </a:prstGeom>
      </xdr:spPr>
    </xdr:pic>
    <xdr:clientData/>
  </xdr:twoCellAnchor>
  <xdr:twoCellAnchor>
    <xdr:from>
      <xdr:col>20</xdr:col>
      <xdr:colOff>755514</xdr:colOff>
      <xdr:row>32</xdr:row>
      <xdr:rowOff>97277</xdr:rowOff>
    </xdr:from>
    <xdr:to>
      <xdr:col>20</xdr:col>
      <xdr:colOff>759397</xdr:colOff>
      <xdr:row>36</xdr:row>
      <xdr:rowOff>93050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9DC11263-4BC7-4B8F-9353-4594692AF278}"/>
            </a:ext>
          </a:extLst>
        </xdr:cNvPr>
        <xdr:cNvCxnSpPr/>
      </xdr:nvCxnSpPr>
      <xdr:spPr>
        <a:xfrm flipH="1" flipV="1">
          <a:off x="13806791" y="6076545"/>
          <a:ext cx="3883" cy="72210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396240</xdr:colOff>
      <xdr:row>32</xdr:row>
      <xdr:rowOff>102454</xdr:rowOff>
    </xdr:from>
    <xdr:to>
      <xdr:col>20</xdr:col>
      <xdr:colOff>754838</xdr:colOff>
      <xdr:row>32</xdr:row>
      <xdr:rowOff>108857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DAC606D5-73B8-403E-B0BC-72FA2DDCAE4D}"/>
            </a:ext>
          </a:extLst>
        </xdr:cNvPr>
        <xdr:cNvCxnSpPr/>
      </xdr:nvCxnSpPr>
      <xdr:spPr>
        <a:xfrm flipV="1">
          <a:off x="12666617" y="6124431"/>
          <a:ext cx="1151078" cy="640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340468</xdr:colOff>
      <xdr:row>34</xdr:row>
      <xdr:rowOff>126460</xdr:rowOff>
    </xdr:from>
    <xdr:to>
      <xdr:col>20</xdr:col>
      <xdr:colOff>341670</xdr:colOff>
      <xdr:row>36</xdr:row>
      <xdr:rowOff>96773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2A7C002E-C6DC-4757-A3AB-090A49624DE7}"/>
            </a:ext>
          </a:extLst>
        </xdr:cNvPr>
        <xdr:cNvCxnSpPr/>
      </xdr:nvCxnSpPr>
      <xdr:spPr>
        <a:xfrm flipH="1" flipV="1">
          <a:off x="13391745" y="6468894"/>
          <a:ext cx="1202" cy="33347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387532</xdr:colOff>
      <xdr:row>34</xdr:row>
      <xdr:rowOff>130626</xdr:rowOff>
    </xdr:from>
    <xdr:to>
      <xdr:col>20</xdr:col>
      <xdr:colOff>343989</xdr:colOff>
      <xdr:row>34</xdr:row>
      <xdr:rowOff>134983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D4096272-41FB-4EB3-99D3-510F2F11EB3A}"/>
            </a:ext>
          </a:extLst>
        </xdr:cNvPr>
        <xdr:cNvCxnSpPr/>
      </xdr:nvCxnSpPr>
      <xdr:spPr>
        <a:xfrm flipV="1">
          <a:off x="12657909" y="6518363"/>
          <a:ext cx="748937" cy="435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403528</xdr:colOff>
      <xdr:row>24</xdr:row>
      <xdr:rowOff>293774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F3B751-7E1B-4D16-947F-A8E9A546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4765" y="2040835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783336</xdr:colOff>
      <xdr:row>11</xdr:row>
      <xdr:rowOff>6096</xdr:rowOff>
    </xdr:from>
    <xdr:to>
      <xdr:col>16</xdr:col>
      <xdr:colOff>746990</xdr:colOff>
      <xdr:row>24</xdr:row>
      <xdr:rowOff>187655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B6C4C4F-9627-44C9-84A9-8BBD26C0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2752" y="2017776"/>
          <a:ext cx="234109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ED68AAC-3829-48A9-945C-0448669A4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32E0A6-A5D7-4648-806B-CA56D71D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358307</xdr:colOff>
      <xdr:row>21</xdr:row>
      <xdr:rowOff>161544</xdr:rowOff>
    </xdr:from>
    <xdr:to>
      <xdr:col>15</xdr:col>
      <xdr:colOff>362712</xdr:colOff>
      <xdr:row>22</xdr:row>
      <xdr:rowOff>24486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447F62D-E70E-428A-8E2E-986F5EE148CB}"/>
            </a:ext>
          </a:extLst>
        </xdr:cNvPr>
        <xdr:cNvCxnSpPr/>
      </xdr:nvCxnSpPr>
      <xdr:spPr>
        <a:xfrm flipV="1">
          <a:off x="9462683" y="4002024"/>
          <a:ext cx="4405" cy="458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310896</xdr:colOff>
      <xdr:row>21</xdr:row>
      <xdr:rowOff>166500</xdr:rowOff>
    </xdr:from>
    <xdr:to>
      <xdr:col>15</xdr:col>
      <xdr:colOff>362171</xdr:colOff>
      <xdr:row>21</xdr:row>
      <xdr:rowOff>167640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3E7C03C-4CC8-4CD1-8DB5-FE697CB74AC5}"/>
            </a:ext>
          </a:extLst>
        </xdr:cNvPr>
        <xdr:cNvCxnSpPr/>
      </xdr:nvCxnSpPr>
      <xdr:spPr>
        <a:xfrm flipV="1">
          <a:off x="8622792" y="4006980"/>
          <a:ext cx="843755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580826</xdr:colOff>
      <xdr:row>20</xdr:row>
      <xdr:rowOff>12192</xdr:rowOff>
    </xdr:from>
    <xdr:to>
      <xdr:col>15</xdr:col>
      <xdr:colOff>585216</xdr:colOff>
      <xdr:row>22</xdr:row>
      <xdr:rowOff>26328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FD2D9B7-ACF9-4751-82BD-78FBB373DF98}"/>
            </a:ext>
          </a:extLst>
        </xdr:cNvPr>
        <xdr:cNvCxnSpPr/>
      </xdr:nvCxnSpPr>
      <xdr:spPr>
        <a:xfrm flipV="1">
          <a:off x="9685202" y="3669792"/>
          <a:ext cx="4390" cy="3798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20</xdr:row>
      <xdr:rowOff>18288</xdr:rowOff>
    </xdr:from>
    <xdr:to>
      <xdr:col>15</xdr:col>
      <xdr:colOff>587392</xdr:colOff>
      <xdr:row>20</xdr:row>
      <xdr:rowOff>19813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E08832B-F142-4FF0-9CD0-12391B9E08F4}"/>
            </a:ext>
          </a:extLst>
        </xdr:cNvPr>
        <xdr:cNvCxnSpPr/>
      </xdr:nvCxnSpPr>
      <xdr:spPr>
        <a:xfrm>
          <a:off x="8616696" y="3675888"/>
          <a:ext cx="1075072" cy="15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624840</xdr:colOff>
      <xdr:row>20</xdr:row>
      <xdr:rowOff>167640</xdr:rowOff>
    </xdr:from>
    <xdr:to>
      <xdr:col>15</xdr:col>
      <xdr:colOff>628070</xdr:colOff>
      <xdr:row>22</xdr:row>
      <xdr:rowOff>26328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D2ED5369-DEEA-4E43-B682-D8D0B4B2570C}"/>
            </a:ext>
          </a:extLst>
        </xdr:cNvPr>
        <xdr:cNvCxnSpPr/>
      </xdr:nvCxnSpPr>
      <xdr:spPr>
        <a:xfrm flipH="1" flipV="1">
          <a:off x="9729216" y="3825240"/>
          <a:ext cx="3230" cy="2244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310896</xdr:colOff>
      <xdr:row>20</xdr:row>
      <xdr:rowOff>170688</xdr:rowOff>
    </xdr:from>
    <xdr:to>
      <xdr:col>15</xdr:col>
      <xdr:colOff>630936</xdr:colOff>
      <xdr:row>20</xdr:row>
      <xdr:rowOff>173736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6A1A7DD9-AC90-4734-A7FF-ED3015BA4544}"/>
            </a:ext>
          </a:extLst>
        </xdr:cNvPr>
        <xdr:cNvCxnSpPr/>
      </xdr:nvCxnSpPr>
      <xdr:spPr>
        <a:xfrm>
          <a:off x="8622792" y="3828288"/>
          <a:ext cx="1112520" cy="30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764085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30CB352-A4CC-4D36-B4F2-5DFDB482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3A53D56-2D07-4E98-8328-1A8034C0A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A71DD5-B8B4-415C-A114-7D8F1B9B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375557</xdr:colOff>
      <xdr:row>22</xdr:row>
      <xdr:rowOff>0</xdr:rowOff>
    </xdr:from>
    <xdr:to>
      <xdr:col>15</xdr:col>
      <xdr:colOff>379538</xdr:colOff>
      <xdr:row>22</xdr:row>
      <xdr:rowOff>49844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F84F8DA-1B52-4765-A42B-C914A8F1B01F}"/>
            </a:ext>
          </a:extLst>
        </xdr:cNvPr>
        <xdr:cNvCxnSpPr/>
      </xdr:nvCxnSpPr>
      <xdr:spPr>
        <a:xfrm flipH="1" flipV="1">
          <a:off x="9456964" y="4011386"/>
          <a:ext cx="3981" cy="4984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318408</xdr:colOff>
      <xdr:row>22</xdr:row>
      <xdr:rowOff>3968</xdr:rowOff>
    </xdr:from>
    <xdr:to>
      <xdr:col>15</xdr:col>
      <xdr:colOff>383075</xdr:colOff>
      <xdr:row>22</xdr:row>
      <xdr:rowOff>5443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620BE18-DB13-488A-8543-16C0A65056C1}"/>
            </a:ext>
          </a:extLst>
        </xdr:cNvPr>
        <xdr:cNvCxnSpPr/>
      </xdr:nvCxnSpPr>
      <xdr:spPr>
        <a:xfrm flipV="1">
          <a:off x="8607879" y="4015354"/>
          <a:ext cx="856603" cy="147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702129</xdr:colOff>
      <xdr:row>20</xdr:row>
      <xdr:rowOff>155122</xdr:rowOff>
    </xdr:from>
    <xdr:to>
      <xdr:col>15</xdr:col>
      <xdr:colOff>702533</xdr:colOff>
      <xdr:row>22</xdr:row>
      <xdr:rowOff>43194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60BC520-E203-45DC-AE7F-AEBF36432A43}"/>
            </a:ext>
          </a:extLst>
        </xdr:cNvPr>
        <xdr:cNvCxnSpPr/>
      </xdr:nvCxnSpPr>
      <xdr:spPr>
        <a:xfrm flipH="1" flipV="1">
          <a:off x="9783536" y="3801836"/>
          <a:ext cx="404" cy="25274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318408</xdr:colOff>
      <xdr:row>20</xdr:row>
      <xdr:rowOff>159906</xdr:rowOff>
    </xdr:from>
    <xdr:to>
      <xdr:col>15</xdr:col>
      <xdr:colOff>709099</xdr:colOff>
      <xdr:row>20</xdr:row>
      <xdr:rowOff>160565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CBD7D91-1BB3-4599-8944-A157B7167FA0}"/>
            </a:ext>
          </a:extLst>
        </xdr:cNvPr>
        <xdr:cNvCxnSpPr/>
      </xdr:nvCxnSpPr>
      <xdr:spPr>
        <a:xfrm flipV="1">
          <a:off x="8607879" y="3806620"/>
          <a:ext cx="1182627" cy="6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FB259A0-ECCA-4686-A2CC-06996DA5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24384</xdr:colOff>
      <xdr:row>17</xdr:row>
      <xdr:rowOff>109728</xdr:rowOff>
    </xdr:from>
    <xdr:to>
      <xdr:col>21</xdr:col>
      <xdr:colOff>24384</xdr:colOff>
      <xdr:row>21</xdr:row>
      <xdr:rowOff>152400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D9E76E1C-2B9C-49AB-AE44-5D1B41F8F067}"/>
            </a:ext>
          </a:extLst>
        </xdr:cNvPr>
        <xdr:cNvCxnSpPr/>
      </xdr:nvCxnSpPr>
      <xdr:spPr>
        <a:xfrm flipV="1">
          <a:off x="13883640" y="3218688"/>
          <a:ext cx="0" cy="7741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17</xdr:row>
      <xdr:rowOff>103632</xdr:rowOff>
    </xdr:from>
    <xdr:to>
      <xdr:col>21</xdr:col>
      <xdr:colOff>26473</xdr:colOff>
      <xdr:row>17</xdr:row>
      <xdr:rowOff>110420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AED9F169-61B7-4318-9D1A-E2FF808D5767}"/>
            </a:ext>
          </a:extLst>
        </xdr:cNvPr>
        <xdr:cNvCxnSpPr/>
      </xdr:nvCxnSpPr>
      <xdr:spPr>
        <a:xfrm>
          <a:off x="12667488" y="3212592"/>
          <a:ext cx="1218241" cy="678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479380</xdr:colOff>
      <xdr:row>20</xdr:row>
      <xdr:rowOff>103415</xdr:rowOff>
    </xdr:from>
    <xdr:to>
      <xdr:col>15</xdr:col>
      <xdr:colOff>481693</xdr:colOff>
      <xdr:row>22</xdr:row>
      <xdr:rowOff>43196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1CDB90D4-CC22-4773-836E-691EAE18D266}"/>
            </a:ext>
          </a:extLst>
        </xdr:cNvPr>
        <xdr:cNvCxnSpPr/>
      </xdr:nvCxnSpPr>
      <xdr:spPr>
        <a:xfrm flipV="1">
          <a:off x="9560787" y="3750129"/>
          <a:ext cx="2313" cy="30445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315686</xdr:colOff>
      <xdr:row>20</xdr:row>
      <xdr:rowOff>103415</xdr:rowOff>
    </xdr:from>
    <xdr:to>
      <xdr:col>15</xdr:col>
      <xdr:colOff>485946</xdr:colOff>
      <xdr:row>20</xdr:row>
      <xdr:rowOff>108207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1A540C4-2866-4456-B108-3A60E2FE8A7C}"/>
            </a:ext>
          </a:extLst>
        </xdr:cNvPr>
        <xdr:cNvCxnSpPr/>
      </xdr:nvCxnSpPr>
      <xdr:spPr>
        <a:xfrm>
          <a:off x="8605157" y="3750129"/>
          <a:ext cx="962196" cy="479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510171</xdr:colOff>
      <xdr:row>37</xdr:row>
      <xdr:rowOff>70339</xdr:rowOff>
    </xdr:from>
    <xdr:to>
      <xdr:col>15</xdr:col>
      <xdr:colOff>511126</xdr:colOff>
      <xdr:row>37</xdr:row>
      <xdr:rowOff>101521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FAFDDE7-A3F4-4C45-8A29-3A9B322AFA08}"/>
            </a:ext>
          </a:extLst>
        </xdr:cNvPr>
        <xdr:cNvCxnSpPr/>
      </xdr:nvCxnSpPr>
      <xdr:spPr>
        <a:xfrm flipV="1">
          <a:off x="9600245" y="7005711"/>
          <a:ext cx="955" cy="3118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498022</xdr:colOff>
      <xdr:row>37</xdr:row>
      <xdr:rowOff>74693</xdr:rowOff>
    </xdr:from>
    <xdr:to>
      <xdr:col>15</xdr:col>
      <xdr:colOff>513707</xdr:colOff>
      <xdr:row>37</xdr:row>
      <xdr:rowOff>76200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4CD2364B-A15C-4689-AA3B-F1811D0E5FB4}"/>
            </a:ext>
          </a:extLst>
        </xdr:cNvPr>
        <xdr:cNvCxnSpPr/>
      </xdr:nvCxnSpPr>
      <xdr:spPr>
        <a:xfrm flipV="1">
          <a:off x="8787493" y="6989843"/>
          <a:ext cx="807621" cy="150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298704</xdr:colOff>
      <xdr:row>21</xdr:row>
      <xdr:rowOff>12192</xdr:rowOff>
    </xdr:from>
    <xdr:to>
      <xdr:col>20</xdr:col>
      <xdr:colOff>301752</xdr:colOff>
      <xdr:row>21</xdr:row>
      <xdr:rowOff>152400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4FEDB60F-0CF5-4C2B-A6DF-D4A20B7F75DC}"/>
            </a:ext>
          </a:extLst>
        </xdr:cNvPr>
        <xdr:cNvCxnSpPr/>
      </xdr:nvCxnSpPr>
      <xdr:spPr>
        <a:xfrm flipV="1">
          <a:off x="13365480" y="3852672"/>
          <a:ext cx="3048" cy="14020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402336</xdr:colOff>
      <xdr:row>21</xdr:row>
      <xdr:rowOff>15240</xdr:rowOff>
    </xdr:from>
    <xdr:to>
      <xdr:col>20</xdr:col>
      <xdr:colOff>303841</xdr:colOff>
      <xdr:row>21</xdr:row>
      <xdr:rowOff>15932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E255E2BC-77CC-4D0B-B954-AB9909A86A4F}"/>
            </a:ext>
          </a:extLst>
        </xdr:cNvPr>
        <xdr:cNvCxnSpPr/>
      </xdr:nvCxnSpPr>
      <xdr:spPr>
        <a:xfrm>
          <a:off x="12676632" y="3855720"/>
          <a:ext cx="693985" cy="6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BC80F61-3315-4248-8936-AD319E14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594" y="2011680"/>
          <a:ext cx="234374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580F330F-F799-4F6A-BD33-42CDA3C832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E9ED89-A3A5-4515-954F-95B4C2B0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480224</xdr:colOff>
      <xdr:row>21</xdr:row>
      <xdr:rowOff>133643</xdr:rowOff>
    </xdr:from>
    <xdr:to>
      <xdr:col>15</xdr:col>
      <xdr:colOff>480646</xdr:colOff>
      <xdr:row>22</xdr:row>
      <xdr:rowOff>18152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F353226-D087-4AC1-A09C-77E8DD3660FF}"/>
            </a:ext>
          </a:extLst>
        </xdr:cNvPr>
        <xdr:cNvCxnSpPr/>
      </xdr:nvCxnSpPr>
      <xdr:spPr>
        <a:xfrm flipV="1">
          <a:off x="9570298" y="3974123"/>
          <a:ext cx="422" cy="6738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314178</xdr:colOff>
      <xdr:row>21</xdr:row>
      <xdr:rowOff>128954</xdr:rowOff>
    </xdr:from>
    <xdr:to>
      <xdr:col>15</xdr:col>
      <xdr:colOff>485730</xdr:colOff>
      <xdr:row>21</xdr:row>
      <xdr:rowOff>136489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23B2DEA-C514-4413-9D50-B00D75EE96AB}"/>
            </a:ext>
          </a:extLst>
        </xdr:cNvPr>
        <xdr:cNvCxnSpPr/>
      </xdr:nvCxnSpPr>
      <xdr:spPr>
        <a:xfrm>
          <a:off x="8611772" y="3969434"/>
          <a:ext cx="964032" cy="753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227428</xdr:colOff>
      <xdr:row>19</xdr:row>
      <xdr:rowOff>114886</xdr:rowOff>
    </xdr:from>
    <xdr:to>
      <xdr:col>16</xdr:col>
      <xdr:colOff>231008</xdr:colOff>
      <xdr:row>22</xdr:row>
      <xdr:rowOff>19299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5C5190F-E67C-4FC1-B427-1DAC4DE957AB}"/>
            </a:ext>
          </a:extLst>
        </xdr:cNvPr>
        <xdr:cNvCxnSpPr/>
      </xdr:nvCxnSpPr>
      <xdr:spPr>
        <a:xfrm flipH="1" flipV="1">
          <a:off x="10109982" y="3589606"/>
          <a:ext cx="3580" cy="45305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19</xdr:row>
      <xdr:rowOff>119575</xdr:rowOff>
    </xdr:from>
    <xdr:to>
      <xdr:col>16</xdr:col>
      <xdr:colOff>235229</xdr:colOff>
      <xdr:row>19</xdr:row>
      <xdr:rowOff>121105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A3C5A26D-ED67-4C52-9BBD-528E04A75BD5}"/>
            </a:ext>
          </a:extLst>
        </xdr:cNvPr>
        <xdr:cNvCxnSpPr/>
      </xdr:nvCxnSpPr>
      <xdr:spPr>
        <a:xfrm>
          <a:off x="8614117" y="3594295"/>
          <a:ext cx="1503666" cy="15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7677B68-1CC2-4A6D-A3C0-DECCA996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325901</xdr:colOff>
      <xdr:row>19</xdr:row>
      <xdr:rowOff>39858</xdr:rowOff>
    </xdr:from>
    <xdr:to>
      <xdr:col>21</xdr:col>
      <xdr:colOff>326143</xdr:colOff>
      <xdr:row>21</xdr:row>
      <xdr:rowOff>148674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0494E487-0946-4140-B1FF-27DBF5DAD23D}"/>
            </a:ext>
          </a:extLst>
        </xdr:cNvPr>
        <xdr:cNvCxnSpPr/>
      </xdr:nvCxnSpPr>
      <xdr:spPr>
        <a:xfrm flipH="1" flipV="1">
          <a:off x="14170855" y="3514578"/>
          <a:ext cx="242" cy="47457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405618</xdr:colOff>
      <xdr:row>19</xdr:row>
      <xdr:rowOff>42198</xdr:rowOff>
    </xdr:from>
    <xdr:to>
      <xdr:col>21</xdr:col>
      <xdr:colOff>328462</xdr:colOff>
      <xdr:row>19</xdr:row>
      <xdr:rowOff>45941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253F0C7B-25D1-4389-8699-F006381A7FD0}"/>
            </a:ext>
          </a:extLst>
        </xdr:cNvPr>
        <xdr:cNvCxnSpPr/>
      </xdr:nvCxnSpPr>
      <xdr:spPr>
        <a:xfrm>
          <a:off x="12665612" y="3516918"/>
          <a:ext cx="1507804" cy="374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600221</xdr:colOff>
      <xdr:row>20</xdr:row>
      <xdr:rowOff>11723</xdr:rowOff>
    </xdr:from>
    <xdr:to>
      <xdr:col>15</xdr:col>
      <xdr:colOff>601455</xdr:colOff>
      <xdr:row>22</xdr:row>
      <xdr:rowOff>16952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46E3ED85-EF67-4626-9039-28B21F66F39B}"/>
            </a:ext>
          </a:extLst>
        </xdr:cNvPr>
        <xdr:cNvCxnSpPr/>
      </xdr:nvCxnSpPr>
      <xdr:spPr>
        <a:xfrm flipH="1" flipV="1">
          <a:off x="9690295" y="3669323"/>
          <a:ext cx="1234" cy="37098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314178</xdr:colOff>
      <xdr:row>20</xdr:row>
      <xdr:rowOff>13250</xdr:rowOff>
    </xdr:from>
    <xdr:to>
      <xdr:col>15</xdr:col>
      <xdr:colOff>605676</xdr:colOff>
      <xdr:row>20</xdr:row>
      <xdr:rowOff>14068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707672DA-2C38-4C73-85BA-D06AD8BF40FE}"/>
            </a:ext>
          </a:extLst>
        </xdr:cNvPr>
        <xdr:cNvCxnSpPr/>
      </xdr:nvCxnSpPr>
      <xdr:spPr>
        <a:xfrm flipV="1">
          <a:off x="8611772" y="3670850"/>
          <a:ext cx="1083978" cy="81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726410</xdr:colOff>
      <xdr:row>36</xdr:row>
      <xdr:rowOff>103163</xdr:rowOff>
    </xdr:from>
    <xdr:to>
      <xdr:col>15</xdr:col>
      <xdr:colOff>726831</xdr:colOff>
      <xdr:row>37</xdr:row>
      <xdr:rowOff>97866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79055ADD-AE60-4DFF-89C0-3E4AF49FBBB7}"/>
            </a:ext>
          </a:extLst>
        </xdr:cNvPr>
        <xdr:cNvCxnSpPr/>
      </xdr:nvCxnSpPr>
      <xdr:spPr>
        <a:xfrm flipV="1">
          <a:off x="9816484" y="6855655"/>
          <a:ext cx="421" cy="177583"/>
        </a:xfrm>
        <a:prstGeom prst="lin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501748</xdr:colOff>
      <xdr:row>36</xdr:row>
      <xdr:rowOff>105508</xdr:rowOff>
    </xdr:from>
    <xdr:to>
      <xdr:col>15</xdr:col>
      <xdr:colOff>734261</xdr:colOff>
      <xdr:row>36</xdr:row>
      <xdr:rowOff>113038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A06A5CF6-E689-412E-82B7-212F42395EAD}"/>
            </a:ext>
          </a:extLst>
        </xdr:cNvPr>
        <xdr:cNvCxnSpPr/>
      </xdr:nvCxnSpPr>
      <xdr:spPr>
        <a:xfrm>
          <a:off x="8799342" y="6858000"/>
          <a:ext cx="1024993" cy="7530"/>
        </a:xfrm>
        <a:prstGeom prst="lin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30480</xdr:colOff>
      <xdr:row>17</xdr:row>
      <xdr:rowOff>105508</xdr:rowOff>
    </xdr:from>
    <xdr:to>
      <xdr:col>21</xdr:col>
      <xdr:colOff>33068</xdr:colOff>
      <xdr:row>21</xdr:row>
      <xdr:rowOff>151016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3800E88-AC69-474A-9919-CB6231212EC0}"/>
            </a:ext>
          </a:extLst>
        </xdr:cNvPr>
        <xdr:cNvCxnSpPr/>
      </xdr:nvCxnSpPr>
      <xdr:spPr>
        <a:xfrm flipH="1" flipV="1">
          <a:off x="13875434" y="3214468"/>
          <a:ext cx="2588" cy="77702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400929</xdr:colOff>
      <xdr:row>17</xdr:row>
      <xdr:rowOff>105516</xdr:rowOff>
    </xdr:from>
    <xdr:to>
      <xdr:col>21</xdr:col>
      <xdr:colOff>35386</xdr:colOff>
      <xdr:row>17</xdr:row>
      <xdr:rowOff>106902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3B22EABE-1DFA-4483-BFAD-6545D675940F}"/>
            </a:ext>
          </a:extLst>
        </xdr:cNvPr>
        <xdr:cNvCxnSpPr/>
      </xdr:nvCxnSpPr>
      <xdr:spPr>
        <a:xfrm>
          <a:off x="12660923" y="3214476"/>
          <a:ext cx="1219417" cy="138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411480</xdr:colOff>
      <xdr:row>24</xdr:row>
      <xdr:rowOff>328229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732D190-BB8D-4AA0-A98C-EA6ED9E2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9F8FCD8-87B0-4106-A362-9C2DD224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1052" y="2000865"/>
          <a:ext cx="2341777" cy="254621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016B011-9E47-4608-9AB9-8D81EEA97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06D57C-C48F-43DB-A288-D6909A89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184355</xdr:colOff>
      <xdr:row>21</xdr:row>
      <xdr:rowOff>149942</xdr:rowOff>
    </xdr:from>
    <xdr:to>
      <xdr:col>20</xdr:col>
      <xdr:colOff>184359</xdr:colOff>
      <xdr:row>22</xdr:row>
      <xdr:rowOff>132733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0186F6B-4B20-464B-99E3-9085EE152347}"/>
            </a:ext>
          </a:extLst>
        </xdr:cNvPr>
        <xdr:cNvCxnSpPr/>
      </xdr:nvCxnSpPr>
      <xdr:spPr>
        <a:xfrm flipH="1" flipV="1">
          <a:off x="13224387" y="3969774"/>
          <a:ext cx="4" cy="16468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341671</xdr:colOff>
      <xdr:row>21</xdr:row>
      <xdr:rowOff>154266</xdr:rowOff>
    </xdr:from>
    <xdr:to>
      <xdr:col>20</xdr:col>
      <xdr:colOff>183110</xdr:colOff>
      <xdr:row>21</xdr:row>
      <xdr:rowOff>154858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4D51CDA-0C0B-499D-ABDC-FA230158C4E2}"/>
            </a:ext>
          </a:extLst>
        </xdr:cNvPr>
        <xdr:cNvCxnSpPr/>
      </xdr:nvCxnSpPr>
      <xdr:spPr>
        <a:xfrm flipV="1">
          <a:off x="12590206" y="3974098"/>
          <a:ext cx="632936" cy="5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397276</xdr:colOff>
      <xdr:row>21</xdr:row>
      <xdr:rowOff>145026</xdr:rowOff>
    </xdr:from>
    <xdr:to>
      <xdr:col>15</xdr:col>
      <xdr:colOff>398207</xdr:colOff>
      <xdr:row>22</xdr:row>
      <xdr:rowOff>16219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9014919-1659-4E7F-9EDB-D2D5D62FC750}"/>
            </a:ext>
          </a:extLst>
        </xdr:cNvPr>
        <xdr:cNvCxnSpPr/>
      </xdr:nvCxnSpPr>
      <xdr:spPr>
        <a:xfrm flipV="1">
          <a:off x="9479824" y="3964858"/>
          <a:ext cx="931" cy="5309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21</xdr:row>
      <xdr:rowOff>153119</xdr:rowOff>
    </xdr:from>
    <xdr:to>
      <xdr:col>15</xdr:col>
      <xdr:colOff>403008</xdr:colOff>
      <xdr:row>21</xdr:row>
      <xdr:rowOff>154858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3FD2493-CDCD-430E-A62C-B87D1808492C}"/>
            </a:ext>
          </a:extLst>
        </xdr:cNvPr>
        <xdr:cNvCxnSpPr/>
      </xdr:nvCxnSpPr>
      <xdr:spPr>
        <a:xfrm flipV="1">
          <a:off x="8595852" y="3972951"/>
          <a:ext cx="889704" cy="173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756439</xdr:colOff>
      <xdr:row>20</xdr:row>
      <xdr:rowOff>105697</xdr:rowOff>
    </xdr:from>
    <xdr:to>
      <xdr:col>15</xdr:col>
      <xdr:colOff>757084</xdr:colOff>
      <xdr:row>22</xdr:row>
      <xdr:rowOff>19934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5991DAE-201D-484C-B6EB-C3AF5EB0F67A}"/>
            </a:ext>
          </a:extLst>
        </xdr:cNvPr>
        <xdr:cNvCxnSpPr/>
      </xdr:nvCxnSpPr>
      <xdr:spPr>
        <a:xfrm flipV="1">
          <a:off x="9838987" y="3743632"/>
          <a:ext cx="645" cy="27803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103239</xdr:rowOff>
    </xdr:from>
    <xdr:to>
      <xdr:col>15</xdr:col>
      <xdr:colOff>763005</xdr:colOff>
      <xdr:row>20</xdr:row>
      <xdr:rowOff>110653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413FE21-B4EA-408A-81F0-935440B9411D}"/>
            </a:ext>
          </a:extLst>
        </xdr:cNvPr>
        <xdr:cNvCxnSpPr/>
      </xdr:nvCxnSpPr>
      <xdr:spPr>
        <a:xfrm>
          <a:off x="8603226" y="3741174"/>
          <a:ext cx="1242327" cy="741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768516</xdr:colOff>
      <xdr:row>19</xdr:row>
      <xdr:rowOff>51619</xdr:rowOff>
    </xdr:from>
    <xdr:to>
      <xdr:col>15</xdr:col>
      <xdr:colOff>769158</xdr:colOff>
      <xdr:row>22</xdr:row>
      <xdr:rowOff>19939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1F3D6D81-BEEA-4485-85CA-23F794CD4FA7}"/>
            </a:ext>
          </a:extLst>
        </xdr:cNvPr>
        <xdr:cNvCxnSpPr/>
      </xdr:nvCxnSpPr>
      <xdr:spPr>
        <a:xfrm flipV="1">
          <a:off x="9858728" y="3543372"/>
          <a:ext cx="642" cy="51964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317090</xdr:colOff>
      <xdr:row>19</xdr:row>
      <xdr:rowOff>56535</xdr:rowOff>
    </xdr:from>
    <xdr:to>
      <xdr:col>15</xdr:col>
      <xdr:colOff>772841</xdr:colOff>
      <xdr:row>19</xdr:row>
      <xdr:rowOff>56585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5A205C10-AB1A-483B-AD5A-CA6FB12E928B}"/>
            </a:ext>
          </a:extLst>
        </xdr:cNvPr>
        <xdr:cNvCxnSpPr/>
      </xdr:nvCxnSpPr>
      <xdr:spPr>
        <a:xfrm>
          <a:off x="8608142" y="3512574"/>
          <a:ext cx="1247247" cy="5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219493</xdr:colOff>
      <xdr:row>37</xdr:row>
      <xdr:rowOff>24653</xdr:rowOff>
    </xdr:from>
    <xdr:to>
      <xdr:col>15</xdr:col>
      <xdr:colOff>219635</xdr:colOff>
      <xdr:row>37</xdr:row>
      <xdr:rowOff>98969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2DB0C8E9-0D71-45E5-9813-A773ED4A600D}"/>
            </a:ext>
          </a:extLst>
        </xdr:cNvPr>
        <xdr:cNvCxnSpPr/>
      </xdr:nvCxnSpPr>
      <xdr:spPr>
        <a:xfrm flipV="1">
          <a:off x="9309705" y="6990229"/>
          <a:ext cx="142" cy="7431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499783</xdr:colOff>
      <xdr:row>37</xdr:row>
      <xdr:rowOff>26895</xdr:rowOff>
    </xdr:from>
    <xdr:to>
      <xdr:col>15</xdr:col>
      <xdr:colOff>226059</xdr:colOff>
      <xdr:row>37</xdr:row>
      <xdr:rowOff>28321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281DC734-F877-4C5E-AB3C-2FAF539D5189}"/>
            </a:ext>
          </a:extLst>
        </xdr:cNvPr>
        <xdr:cNvCxnSpPr/>
      </xdr:nvCxnSpPr>
      <xdr:spPr>
        <a:xfrm>
          <a:off x="8796618" y="6992471"/>
          <a:ext cx="519653" cy="142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504265</xdr:colOff>
      <xdr:row>37</xdr:row>
      <xdr:rowOff>84353</xdr:rowOff>
    </xdr:from>
    <xdr:to>
      <xdr:col>16</xdr:col>
      <xdr:colOff>136416</xdr:colOff>
      <xdr:row>37</xdr:row>
      <xdr:rowOff>87406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37531F45-094A-4F2A-B0B7-9FC1FBECDCF2}"/>
            </a:ext>
          </a:extLst>
        </xdr:cNvPr>
        <xdr:cNvCxnSpPr/>
      </xdr:nvCxnSpPr>
      <xdr:spPr>
        <a:xfrm flipV="1">
          <a:off x="8801100" y="7049929"/>
          <a:ext cx="1218904" cy="305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C015C30-D3DE-4735-92F7-B187C36D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5B31DE1-11F8-48AA-8A12-9AD1BDF30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5330F2-6C15-415C-9995-0CD983F8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725837</xdr:colOff>
      <xdr:row>20</xdr:row>
      <xdr:rowOff>111071</xdr:rowOff>
    </xdr:from>
    <xdr:to>
      <xdr:col>15</xdr:col>
      <xdr:colOff>728198</xdr:colOff>
      <xdr:row>22</xdr:row>
      <xdr:rowOff>16679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09B29E7-C4D9-472F-BECC-53CAF7DF10CE}"/>
            </a:ext>
          </a:extLst>
        </xdr:cNvPr>
        <xdr:cNvCxnSpPr/>
      </xdr:nvCxnSpPr>
      <xdr:spPr>
        <a:xfrm flipH="1" flipV="1">
          <a:off x="9810427" y="3779003"/>
          <a:ext cx="2361" cy="27240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20</xdr:row>
      <xdr:rowOff>117213</xdr:rowOff>
    </xdr:from>
    <xdr:to>
      <xdr:col>15</xdr:col>
      <xdr:colOff>731597</xdr:colOff>
      <xdr:row>20</xdr:row>
      <xdr:rowOff>118820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CF0B732-C4D2-483E-A66E-C67FBFD280A2}"/>
            </a:ext>
          </a:extLst>
        </xdr:cNvPr>
        <xdr:cNvCxnSpPr/>
      </xdr:nvCxnSpPr>
      <xdr:spPr>
        <a:xfrm flipV="1">
          <a:off x="8596393" y="3785145"/>
          <a:ext cx="1219794" cy="160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723254</xdr:colOff>
      <xdr:row>19</xdr:row>
      <xdr:rowOff>95572</xdr:rowOff>
    </xdr:from>
    <xdr:to>
      <xdr:col>15</xdr:col>
      <xdr:colOff>725690</xdr:colOff>
      <xdr:row>22</xdr:row>
      <xdr:rowOff>12890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6E62DF03-05ED-4778-8D8C-84D0F7057403}"/>
            </a:ext>
          </a:extLst>
        </xdr:cNvPr>
        <xdr:cNvCxnSpPr/>
      </xdr:nvCxnSpPr>
      <xdr:spPr>
        <a:xfrm flipH="1" flipV="1">
          <a:off x="9807844" y="3580108"/>
          <a:ext cx="2436" cy="46750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317715</xdr:colOff>
      <xdr:row>19</xdr:row>
      <xdr:rowOff>95572</xdr:rowOff>
    </xdr:from>
    <xdr:to>
      <xdr:col>15</xdr:col>
      <xdr:colOff>729673</xdr:colOff>
      <xdr:row>19</xdr:row>
      <xdr:rowOff>96572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B4963B1-FA16-40FC-AFC1-63032B10D155}"/>
            </a:ext>
          </a:extLst>
        </xdr:cNvPr>
        <xdr:cNvCxnSpPr/>
      </xdr:nvCxnSpPr>
      <xdr:spPr>
        <a:xfrm>
          <a:off x="8609308" y="3580108"/>
          <a:ext cx="1204955" cy="100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792996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C2605AE-2CEF-423D-ABFB-AF8445BB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6576" y="2017363"/>
          <a:ext cx="2863899" cy="2202529"/>
        </a:xfrm>
        <a:prstGeom prst="rect">
          <a:avLst/>
        </a:prstGeom>
      </xdr:spPr>
    </xdr:pic>
    <xdr:clientData/>
  </xdr:twoCellAnchor>
  <xdr:twoCellAnchor>
    <xdr:from>
      <xdr:col>20</xdr:col>
      <xdr:colOff>33580</xdr:colOff>
      <xdr:row>17</xdr:row>
      <xdr:rowOff>123987</xdr:rowOff>
    </xdr:from>
    <xdr:to>
      <xdr:col>20</xdr:col>
      <xdr:colOff>34753</xdr:colOff>
      <xdr:row>20</xdr:row>
      <xdr:rowOff>89615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B098FCC3-CF7B-4836-A4AE-14E47CA4AE2B}"/>
            </a:ext>
          </a:extLst>
        </xdr:cNvPr>
        <xdr:cNvCxnSpPr/>
      </xdr:nvCxnSpPr>
      <xdr:spPr>
        <a:xfrm flipH="1" flipV="1">
          <a:off x="13083153" y="3241729"/>
          <a:ext cx="1173" cy="51581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395207</xdr:colOff>
      <xdr:row>17</xdr:row>
      <xdr:rowOff>123987</xdr:rowOff>
    </xdr:from>
    <xdr:to>
      <xdr:col>20</xdr:col>
      <xdr:colOff>41320</xdr:colOff>
      <xdr:row>17</xdr:row>
      <xdr:rowOff>126477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2CAD00A-F475-4F88-898C-EEEC4E4C5B05}"/>
            </a:ext>
          </a:extLst>
        </xdr:cNvPr>
        <xdr:cNvCxnSpPr/>
      </xdr:nvCxnSpPr>
      <xdr:spPr>
        <a:xfrm>
          <a:off x="12651783" y="3241729"/>
          <a:ext cx="439110" cy="249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501112</xdr:colOff>
      <xdr:row>37</xdr:row>
      <xdr:rowOff>82658</xdr:rowOff>
    </xdr:from>
    <xdr:to>
      <xdr:col>15</xdr:col>
      <xdr:colOff>436535</xdr:colOff>
      <xdr:row>37</xdr:row>
      <xdr:rowOff>85241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A1BE9036-C53B-4AE1-91B1-A800EEAEE8F2}"/>
            </a:ext>
          </a:extLst>
        </xdr:cNvPr>
        <xdr:cNvCxnSpPr/>
      </xdr:nvCxnSpPr>
      <xdr:spPr>
        <a:xfrm>
          <a:off x="8792705" y="7036231"/>
          <a:ext cx="728420" cy="258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418317</xdr:colOff>
      <xdr:row>36</xdr:row>
      <xdr:rowOff>173066</xdr:rowOff>
    </xdr:from>
    <xdr:to>
      <xdr:col>15</xdr:col>
      <xdr:colOff>418454</xdr:colOff>
      <xdr:row>37</xdr:row>
      <xdr:rowOff>92979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C8CF3412-969E-4EC0-A2ED-6D75DBF42D24}"/>
            </a:ext>
          </a:extLst>
        </xdr:cNvPr>
        <xdr:cNvCxnSpPr/>
      </xdr:nvCxnSpPr>
      <xdr:spPr>
        <a:xfrm flipV="1">
          <a:off x="9502907" y="6943242"/>
          <a:ext cx="137" cy="10331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508861</xdr:colOff>
      <xdr:row>36</xdr:row>
      <xdr:rowOff>179237</xdr:rowOff>
    </xdr:from>
    <xdr:to>
      <xdr:col>15</xdr:col>
      <xdr:colOff>422299</xdr:colOff>
      <xdr:row>36</xdr:row>
      <xdr:rowOff>180814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1A22FE23-6392-4330-95B2-19A6375A8F46}"/>
            </a:ext>
          </a:extLst>
        </xdr:cNvPr>
        <xdr:cNvCxnSpPr/>
      </xdr:nvCxnSpPr>
      <xdr:spPr>
        <a:xfrm flipV="1">
          <a:off x="8800454" y="6949413"/>
          <a:ext cx="706435" cy="157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3506B68-E70E-4501-AB3E-822FAAEE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1896" y="2011680"/>
          <a:ext cx="234374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0F01F98-650A-4EAA-B563-89536A2CE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D16DF3-D5AF-4E86-936F-15A2E5FC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591312</xdr:colOff>
      <xdr:row>37</xdr:row>
      <xdr:rowOff>64008</xdr:rowOff>
    </xdr:from>
    <xdr:to>
      <xdr:col>15</xdr:col>
      <xdr:colOff>593003</xdr:colOff>
      <xdr:row>37</xdr:row>
      <xdr:rowOff>103734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833C11D-AEEB-4F75-82B0-F987580E755B}"/>
            </a:ext>
          </a:extLst>
        </xdr:cNvPr>
        <xdr:cNvCxnSpPr/>
      </xdr:nvCxnSpPr>
      <xdr:spPr>
        <a:xfrm flipH="1" flipV="1">
          <a:off x="9695688" y="6998208"/>
          <a:ext cx="1691" cy="3972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505968</xdr:colOff>
      <xdr:row>37</xdr:row>
      <xdr:rowOff>62868</xdr:rowOff>
    </xdr:from>
    <xdr:to>
      <xdr:col>15</xdr:col>
      <xdr:colOff>593819</xdr:colOff>
      <xdr:row>37</xdr:row>
      <xdr:rowOff>64008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770FF0D-41FC-4CBE-AC80-CB920EF44B86}"/>
            </a:ext>
          </a:extLst>
        </xdr:cNvPr>
        <xdr:cNvCxnSpPr/>
      </xdr:nvCxnSpPr>
      <xdr:spPr>
        <a:xfrm flipV="1">
          <a:off x="8817864" y="6997068"/>
          <a:ext cx="880331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74858</xdr:colOff>
      <xdr:row>20</xdr:row>
      <xdr:rowOff>48768</xdr:rowOff>
    </xdr:from>
    <xdr:to>
      <xdr:col>16</xdr:col>
      <xdr:colOff>76200</xdr:colOff>
      <xdr:row>22</xdr:row>
      <xdr:rowOff>20232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2D57AB5-BB72-4826-8DE4-16E065CAF34C}"/>
            </a:ext>
          </a:extLst>
        </xdr:cNvPr>
        <xdr:cNvCxnSpPr/>
      </xdr:nvCxnSpPr>
      <xdr:spPr>
        <a:xfrm flipV="1">
          <a:off x="9971714" y="3706368"/>
          <a:ext cx="1342" cy="33722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307848</xdr:colOff>
      <xdr:row>20</xdr:row>
      <xdr:rowOff>47245</xdr:rowOff>
    </xdr:from>
    <xdr:to>
      <xdr:col>16</xdr:col>
      <xdr:colOff>78376</xdr:colOff>
      <xdr:row>20</xdr:row>
      <xdr:rowOff>51816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EB5D7A8-3A6A-4558-90D4-0B978751EABB}"/>
            </a:ext>
          </a:extLst>
        </xdr:cNvPr>
        <xdr:cNvCxnSpPr/>
      </xdr:nvCxnSpPr>
      <xdr:spPr>
        <a:xfrm flipV="1">
          <a:off x="8619744" y="3704845"/>
          <a:ext cx="1355488" cy="457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791688</xdr:colOff>
      <xdr:row>10</xdr:row>
      <xdr:rowOff>182088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15DA894-0782-4210-9EAC-D7F36568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4914" y="2002971"/>
          <a:ext cx="2342161" cy="254870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B28509-93E5-4138-9A41-FD596093D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ED12E5-573F-42FF-A017-D19047E6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758041</xdr:colOff>
      <xdr:row>20</xdr:row>
      <xdr:rowOff>100940</xdr:rowOff>
    </xdr:from>
    <xdr:to>
      <xdr:col>15</xdr:col>
      <xdr:colOff>759294</xdr:colOff>
      <xdr:row>22</xdr:row>
      <xdr:rowOff>20208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9082C80-C1B6-4FAD-9212-734CF1455F79}"/>
            </a:ext>
          </a:extLst>
        </xdr:cNvPr>
        <xdr:cNvCxnSpPr/>
      </xdr:nvCxnSpPr>
      <xdr:spPr>
        <a:xfrm flipH="1" flipV="1">
          <a:off x="9844644" y="3742706"/>
          <a:ext cx="1253" cy="28344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310738</xdr:colOff>
      <xdr:row>20</xdr:row>
      <xdr:rowOff>98961</xdr:rowOff>
    </xdr:from>
    <xdr:to>
      <xdr:col>15</xdr:col>
      <xdr:colOff>764068</xdr:colOff>
      <xdr:row>20</xdr:row>
      <xdr:rowOff>104472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FEDB044-4FB3-4A62-B5A3-ECCB982A785E}"/>
            </a:ext>
          </a:extLst>
        </xdr:cNvPr>
        <xdr:cNvCxnSpPr/>
      </xdr:nvCxnSpPr>
      <xdr:spPr>
        <a:xfrm>
          <a:off x="8605652" y="3740727"/>
          <a:ext cx="1245019" cy="551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445324</xdr:colOff>
      <xdr:row>20</xdr:row>
      <xdr:rowOff>106878</xdr:rowOff>
    </xdr:from>
    <xdr:to>
      <xdr:col>15</xdr:col>
      <xdr:colOff>448704</xdr:colOff>
      <xdr:row>22</xdr:row>
      <xdr:rowOff>25136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1A6DA73-4B84-4C1A-A657-67802E85396B}"/>
            </a:ext>
          </a:extLst>
        </xdr:cNvPr>
        <xdr:cNvCxnSpPr/>
      </xdr:nvCxnSpPr>
      <xdr:spPr>
        <a:xfrm flipH="1" flipV="1">
          <a:off x="9531927" y="3748644"/>
          <a:ext cx="3380" cy="28243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314696</xdr:colOff>
      <xdr:row>20</xdr:row>
      <xdr:rowOff>108857</xdr:rowOff>
    </xdr:from>
    <xdr:to>
      <xdr:col>15</xdr:col>
      <xdr:colOff>447353</xdr:colOff>
      <xdr:row>20</xdr:row>
      <xdr:rowOff>111169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FA85D3F-7A09-4EAC-AC69-036772CA299D}"/>
            </a:ext>
          </a:extLst>
        </xdr:cNvPr>
        <xdr:cNvCxnSpPr/>
      </xdr:nvCxnSpPr>
      <xdr:spPr>
        <a:xfrm>
          <a:off x="8609610" y="3750623"/>
          <a:ext cx="924346" cy="231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729753</xdr:colOff>
      <xdr:row>37</xdr:row>
      <xdr:rowOff>37605</xdr:rowOff>
    </xdr:from>
    <xdr:to>
      <xdr:col>15</xdr:col>
      <xdr:colOff>730332</xdr:colOff>
      <xdr:row>37</xdr:row>
      <xdr:rowOff>100324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B1FFE829-EE0F-4A87-8D1C-18C88E80B13B}"/>
            </a:ext>
          </a:extLst>
        </xdr:cNvPr>
        <xdr:cNvCxnSpPr/>
      </xdr:nvCxnSpPr>
      <xdr:spPr>
        <a:xfrm flipV="1">
          <a:off x="9816356" y="6943106"/>
          <a:ext cx="579" cy="6271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502722</xdr:colOff>
      <xdr:row>37</xdr:row>
      <xdr:rowOff>41564</xdr:rowOff>
    </xdr:from>
    <xdr:to>
      <xdr:col>15</xdr:col>
      <xdr:colOff>728401</xdr:colOff>
      <xdr:row>37</xdr:row>
      <xdr:rowOff>41865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80D3CAD7-3047-45F7-94BE-E43AD9FAEF31}"/>
            </a:ext>
          </a:extLst>
        </xdr:cNvPr>
        <xdr:cNvCxnSpPr/>
      </xdr:nvCxnSpPr>
      <xdr:spPr>
        <a:xfrm>
          <a:off x="8797636" y="6947065"/>
          <a:ext cx="1017368" cy="30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8DF5718A-1375-4BF2-9E68-AAA39280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3913" y="1990725"/>
          <a:ext cx="3211818" cy="2433070"/>
        </a:xfrm>
        <a:prstGeom prst="rect">
          <a:avLst/>
        </a:prstGeom>
      </xdr:spPr>
    </xdr:pic>
    <xdr:clientData/>
  </xdr:twoCellAnchor>
  <xdr:twoCellAnchor>
    <xdr:from>
      <xdr:col>21</xdr:col>
      <xdr:colOff>165052</xdr:colOff>
      <xdr:row>17</xdr:row>
      <xdr:rowOff>13855</xdr:rowOff>
    </xdr:from>
    <xdr:to>
      <xdr:col>21</xdr:col>
      <xdr:colOff>169718</xdr:colOff>
      <xdr:row>21</xdr:row>
      <xdr:rowOff>148675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AEDFCA44-5F46-49A0-847B-213C1CC83DF7}"/>
            </a:ext>
          </a:extLst>
        </xdr:cNvPr>
        <xdr:cNvCxnSpPr/>
      </xdr:nvCxnSpPr>
      <xdr:spPr>
        <a:xfrm flipV="1">
          <a:off x="14026525" y="3134591"/>
          <a:ext cx="4666" cy="86911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401782</xdr:colOff>
      <xdr:row>17</xdr:row>
      <xdr:rowOff>20782</xdr:rowOff>
    </xdr:from>
    <xdr:to>
      <xdr:col>21</xdr:col>
      <xdr:colOff>169718</xdr:colOff>
      <xdr:row>17</xdr:row>
      <xdr:rowOff>24246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C4E3427F-4AFA-4954-BCF3-5355C03D1870}"/>
            </a:ext>
          </a:extLst>
        </xdr:cNvPr>
        <xdr:cNvCxnSpPr/>
      </xdr:nvCxnSpPr>
      <xdr:spPr>
        <a:xfrm flipV="1">
          <a:off x="12676909" y="3141518"/>
          <a:ext cx="1354282" cy="346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618F6E4-07D9-44DF-A687-8084B51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9CAA388-3AA2-4CF2-8B3C-8A8AEEE87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49E10E-04B5-4124-AEE7-3EB2D4FC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6392AF1-1FF6-415A-A4F2-44E04C082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160773</xdr:colOff>
      <xdr:row>35</xdr:row>
      <xdr:rowOff>58270</xdr:rowOff>
    </xdr:from>
    <xdr:to>
      <xdr:col>20</xdr:col>
      <xdr:colOff>163606</xdr:colOff>
      <xdr:row>36</xdr:row>
      <xdr:rowOff>157638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FBFB0C7-1688-46C6-AB4A-E4E09EA073B3}"/>
            </a:ext>
          </a:extLst>
        </xdr:cNvPr>
        <xdr:cNvCxnSpPr/>
      </xdr:nvCxnSpPr>
      <xdr:spPr>
        <a:xfrm flipV="1">
          <a:off x="13217867" y="6656294"/>
          <a:ext cx="2833" cy="28314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396688</xdr:colOff>
      <xdr:row>35</xdr:row>
      <xdr:rowOff>65150</xdr:rowOff>
    </xdr:from>
    <xdr:to>
      <xdr:col>20</xdr:col>
      <xdr:colOff>163092</xdr:colOff>
      <xdr:row>35</xdr:row>
      <xdr:rowOff>69476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E8F706E2-7702-4ACC-9DEC-663C88AD92AC}"/>
            </a:ext>
          </a:extLst>
        </xdr:cNvPr>
        <xdr:cNvCxnSpPr/>
      </xdr:nvCxnSpPr>
      <xdr:spPr>
        <a:xfrm flipV="1">
          <a:off x="12660406" y="6663174"/>
          <a:ext cx="559780" cy="432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218302</xdr:colOff>
      <xdr:row>21</xdr:row>
      <xdr:rowOff>129746</xdr:rowOff>
    </xdr:from>
    <xdr:to>
      <xdr:col>15</xdr:col>
      <xdr:colOff>218971</xdr:colOff>
      <xdr:row>22</xdr:row>
      <xdr:rowOff>11742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80A2D5F-A9F7-4F1E-9FAC-13415DC8830C}"/>
            </a:ext>
          </a:extLst>
        </xdr:cNvPr>
        <xdr:cNvCxnSpPr/>
      </xdr:nvCxnSpPr>
      <xdr:spPr>
        <a:xfrm flipH="1" flipV="1">
          <a:off x="9310816" y="3978876"/>
          <a:ext cx="669" cy="652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320467</xdr:colOff>
      <xdr:row>21</xdr:row>
      <xdr:rowOff>127089</xdr:rowOff>
    </xdr:from>
    <xdr:to>
      <xdr:col>15</xdr:col>
      <xdr:colOff>224567</xdr:colOff>
      <xdr:row>21</xdr:row>
      <xdr:rowOff>131288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6D54A1B-8F88-44EA-9CFC-E2929FA34CC4}"/>
            </a:ext>
          </a:extLst>
        </xdr:cNvPr>
        <xdr:cNvCxnSpPr/>
      </xdr:nvCxnSpPr>
      <xdr:spPr>
        <a:xfrm flipV="1">
          <a:off x="8620089" y="3976219"/>
          <a:ext cx="696992" cy="419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382881</xdr:colOff>
      <xdr:row>20</xdr:row>
      <xdr:rowOff>137984</xdr:rowOff>
    </xdr:from>
    <xdr:to>
      <xdr:col>15</xdr:col>
      <xdr:colOff>383059</xdr:colOff>
      <xdr:row>22</xdr:row>
      <xdr:rowOff>19729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716CD40-8863-40FD-BA83-210218F3C4E7}"/>
            </a:ext>
          </a:extLst>
        </xdr:cNvPr>
        <xdr:cNvCxnSpPr/>
      </xdr:nvCxnSpPr>
      <xdr:spPr>
        <a:xfrm flipV="1">
          <a:off x="9475395" y="3803822"/>
          <a:ext cx="178" cy="24832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310978</xdr:colOff>
      <xdr:row>20</xdr:row>
      <xdr:rowOff>143200</xdr:rowOff>
    </xdr:from>
    <xdr:to>
      <xdr:col>15</xdr:col>
      <xdr:colOff>389447</xdr:colOff>
      <xdr:row>20</xdr:row>
      <xdr:rowOff>144163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9B34A2D8-F382-4E66-9C9E-E21FFAFDB98C}"/>
            </a:ext>
          </a:extLst>
        </xdr:cNvPr>
        <xdr:cNvCxnSpPr/>
      </xdr:nvCxnSpPr>
      <xdr:spPr>
        <a:xfrm flipV="1">
          <a:off x="8610600" y="3809038"/>
          <a:ext cx="871361" cy="96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AFC09D0-C3FA-483F-9C3E-8C58C7C2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19</xdr:col>
      <xdr:colOff>401168</xdr:colOff>
      <xdr:row>18</xdr:row>
      <xdr:rowOff>152400</xdr:rowOff>
    </xdr:from>
    <xdr:to>
      <xdr:col>19</xdr:col>
      <xdr:colOff>401595</xdr:colOff>
      <xdr:row>20</xdr:row>
      <xdr:rowOff>89616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FB16845-CCB6-4C0B-AA54-F31A08DEF7EF}"/>
            </a:ext>
          </a:extLst>
        </xdr:cNvPr>
        <xdr:cNvCxnSpPr/>
      </xdr:nvCxnSpPr>
      <xdr:spPr>
        <a:xfrm flipV="1">
          <a:off x="12665249" y="3451654"/>
          <a:ext cx="427" cy="30380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317156</xdr:colOff>
      <xdr:row>22</xdr:row>
      <xdr:rowOff>3426</xdr:rowOff>
    </xdr:from>
    <xdr:to>
      <xdr:col>15</xdr:col>
      <xdr:colOff>244827</xdr:colOff>
      <xdr:row>22</xdr:row>
      <xdr:rowOff>4119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13C5C6CB-ABE4-45E0-AEE6-B381193F3A1E}"/>
            </a:ext>
          </a:extLst>
        </xdr:cNvPr>
        <xdr:cNvCxnSpPr/>
      </xdr:nvCxnSpPr>
      <xdr:spPr>
        <a:xfrm flipV="1">
          <a:off x="8616778" y="4035848"/>
          <a:ext cx="720563" cy="6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90025</xdr:colOff>
      <xdr:row>24</xdr:row>
      <xdr:rowOff>180836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DCE67E4-4DD1-4182-A8DB-FE81251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1052" y="2000865"/>
          <a:ext cx="3256012" cy="254549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F0CE5D-0FF7-4D92-8974-6955E9E69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454742</xdr:colOff>
      <xdr:row>22</xdr:row>
      <xdr:rowOff>19665</xdr:rowOff>
    </xdr:from>
    <xdr:to>
      <xdr:col>15</xdr:col>
      <xdr:colOff>279488</xdr:colOff>
      <xdr:row>22</xdr:row>
      <xdr:rowOff>22846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A5A5C5C-1801-4F5E-B8DF-8A2830FA528F}"/>
            </a:ext>
          </a:extLst>
        </xdr:cNvPr>
        <xdr:cNvCxnSpPr/>
      </xdr:nvCxnSpPr>
      <xdr:spPr>
        <a:xfrm>
          <a:off x="8745794" y="4021394"/>
          <a:ext cx="616242" cy="318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26</xdr:row>
      <xdr:rowOff>0</xdr:rowOff>
    </xdr:from>
    <xdr:to>
      <xdr:col>17</xdr:col>
      <xdr:colOff>463015</xdr:colOff>
      <xdr:row>40</xdr:row>
      <xdr:rowOff>85725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DBEAAA8-8A26-4973-B74D-A0DAEAD9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1052" y="4898923"/>
          <a:ext cx="2837505" cy="26322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764085</xdr:colOff>
      <xdr:row>24</xdr:row>
      <xdr:rowOff>216014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FDA83EC-0DFE-45EC-9268-0A4A76F3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E1CE538-64DD-4434-ADA5-3B5EB5939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710242</xdr:colOff>
      <xdr:row>21</xdr:row>
      <xdr:rowOff>163902</xdr:rowOff>
    </xdr:from>
    <xdr:to>
      <xdr:col>14</xdr:col>
      <xdr:colOff>710274</xdr:colOff>
      <xdr:row>22</xdr:row>
      <xdr:rowOff>52246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B11679E-8749-4E17-A16E-38AAAF2549D3}"/>
            </a:ext>
          </a:extLst>
        </xdr:cNvPr>
        <xdr:cNvCxnSpPr/>
      </xdr:nvCxnSpPr>
      <xdr:spPr>
        <a:xfrm flipH="1" flipV="1">
          <a:off x="9003102" y="4028536"/>
          <a:ext cx="32" cy="7237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316302</xdr:colOff>
      <xdr:row>21</xdr:row>
      <xdr:rowOff>165448</xdr:rowOff>
    </xdr:from>
    <xdr:to>
      <xdr:col>14</xdr:col>
      <xdr:colOff>716841</xdr:colOff>
      <xdr:row>21</xdr:row>
      <xdr:rowOff>166777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65049CB-1B8E-488E-9837-B6F00215D984}"/>
            </a:ext>
          </a:extLst>
        </xdr:cNvPr>
        <xdr:cNvCxnSpPr/>
      </xdr:nvCxnSpPr>
      <xdr:spPr>
        <a:xfrm flipV="1">
          <a:off x="8609162" y="4030082"/>
          <a:ext cx="400539" cy="132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93D42B6-DECA-4620-94D4-69A21BB9D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2862349" cy="21963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F6CE90E4-1094-4D51-982E-94F3FCE9C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5A3109-18D6-426A-8611-47CBD70F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166449</xdr:colOff>
      <xdr:row>21</xdr:row>
      <xdr:rowOff>40888</xdr:rowOff>
    </xdr:from>
    <xdr:to>
      <xdr:col>16</xdr:col>
      <xdr:colOff>166756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2F3718C-0C87-4A17-AA7C-A978B28A6EEF}"/>
            </a:ext>
          </a:extLst>
        </xdr:cNvPr>
        <xdr:cNvCxnSpPr/>
      </xdr:nvCxnSpPr>
      <xdr:spPr>
        <a:xfrm flipH="1" flipV="1">
          <a:off x="10050037" y="3900194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448236</xdr:colOff>
      <xdr:row>21</xdr:row>
      <xdr:rowOff>35859</xdr:rowOff>
    </xdr:from>
    <xdr:to>
      <xdr:col>16</xdr:col>
      <xdr:colOff>166808</xdr:colOff>
      <xdr:row>21</xdr:row>
      <xdr:rowOff>41178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EE510AB-5A16-46CE-A244-26C5F29C67C5}"/>
            </a:ext>
          </a:extLst>
        </xdr:cNvPr>
        <xdr:cNvCxnSpPr/>
      </xdr:nvCxnSpPr>
      <xdr:spPr>
        <a:xfrm>
          <a:off x="8745071" y="3895165"/>
          <a:ext cx="1305325" cy="531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BF0C83-1D39-4D4A-8040-0A1AB512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164107</xdr:colOff>
      <xdr:row>37</xdr:row>
      <xdr:rowOff>25830</xdr:rowOff>
    </xdr:from>
    <xdr:to>
      <xdr:col>15</xdr:col>
      <xdr:colOff>165315</xdr:colOff>
      <xdr:row>37</xdr:row>
      <xdr:rowOff>97985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D52ADEEC-BF70-4B91-BA32-DD9281A7CD55}"/>
            </a:ext>
          </a:extLst>
        </xdr:cNvPr>
        <xdr:cNvCxnSpPr/>
      </xdr:nvCxnSpPr>
      <xdr:spPr>
        <a:xfrm flipV="1">
          <a:off x="9248697" y="6979403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503695</xdr:colOff>
      <xdr:row>37</xdr:row>
      <xdr:rowOff>30262</xdr:rowOff>
    </xdr:from>
    <xdr:to>
      <xdr:col>15</xdr:col>
      <xdr:colOff>161231</xdr:colOff>
      <xdr:row>37</xdr:row>
      <xdr:rowOff>33580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ECA94F4-7132-48C0-9FE9-4D2AEF505395}"/>
            </a:ext>
          </a:extLst>
        </xdr:cNvPr>
        <xdr:cNvCxnSpPr/>
      </xdr:nvCxnSpPr>
      <xdr:spPr>
        <a:xfrm flipV="1">
          <a:off x="8795288" y="6983835"/>
          <a:ext cx="450533" cy="3318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D105821-6B99-4A17-AE19-349ACEFC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484909</xdr:colOff>
      <xdr:row>19</xdr:row>
      <xdr:rowOff>62345</xdr:rowOff>
    </xdr:from>
    <xdr:to>
      <xdr:col>20</xdr:col>
      <xdr:colOff>490275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E329464-7BF0-469A-BB16-A2C37AA16D1C}"/>
            </a:ext>
          </a:extLst>
        </xdr:cNvPr>
        <xdr:cNvCxnSpPr/>
      </xdr:nvCxnSpPr>
      <xdr:spPr>
        <a:xfrm flipH="1" flipV="1">
          <a:off x="13553209" y="3550227"/>
          <a:ext cx="5366" cy="31699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436418</xdr:colOff>
      <xdr:row>19</xdr:row>
      <xdr:rowOff>55421</xdr:rowOff>
    </xdr:from>
    <xdr:to>
      <xdr:col>20</xdr:col>
      <xdr:colOff>490356</xdr:colOff>
      <xdr:row>19</xdr:row>
      <xdr:rowOff>60024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287C7E3-B0CB-40F9-B384-FE95CBF7E02B}"/>
            </a:ext>
          </a:extLst>
        </xdr:cNvPr>
        <xdr:cNvCxnSpPr/>
      </xdr:nvCxnSpPr>
      <xdr:spPr>
        <a:xfrm>
          <a:off x="12711545" y="3543303"/>
          <a:ext cx="847111" cy="460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B91CB9B-E7BE-44E6-A2D0-D7D3EC6A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15</xdr:col>
      <xdr:colOff>674243</xdr:colOff>
      <xdr:row>21</xdr:row>
      <xdr:rowOff>22412</xdr:rowOff>
    </xdr:from>
    <xdr:to>
      <xdr:col>15</xdr:col>
      <xdr:colOff>674594</xdr:colOff>
      <xdr:row>21</xdr:row>
      <xdr:rowOff>100771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45D43CF6-90E8-43EE-BBA0-6A6DAE7E60D3}"/>
            </a:ext>
          </a:extLst>
        </xdr:cNvPr>
        <xdr:cNvCxnSpPr/>
      </xdr:nvCxnSpPr>
      <xdr:spPr>
        <a:xfrm flipV="1">
          <a:off x="9764455" y="3881718"/>
          <a:ext cx="351" cy="7835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450477</xdr:colOff>
      <xdr:row>21</xdr:row>
      <xdr:rowOff>24653</xdr:rowOff>
    </xdr:from>
    <xdr:to>
      <xdr:col>15</xdr:col>
      <xdr:colOff>674293</xdr:colOff>
      <xdr:row>21</xdr:row>
      <xdr:rowOff>27725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9CFAB40-0FCB-435B-81F6-DA5AAA94BA0D}"/>
            </a:ext>
          </a:extLst>
        </xdr:cNvPr>
        <xdr:cNvCxnSpPr/>
      </xdr:nvCxnSpPr>
      <xdr:spPr>
        <a:xfrm>
          <a:off x="8747312" y="3883959"/>
          <a:ext cx="1017193" cy="3072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431691B6-6B3E-42A6-BA9C-E2E58C7B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4831976"/>
          <a:ext cx="3205094" cy="2411219"/>
        </a:xfrm>
        <a:prstGeom prst="rect">
          <a:avLst/>
        </a:prstGeom>
      </xdr:spPr>
    </xdr:pic>
    <xdr:clientData/>
  </xdr:twoCellAnchor>
  <xdr:twoCellAnchor>
    <xdr:from>
      <xdr:col>15</xdr:col>
      <xdr:colOff>710119</xdr:colOff>
      <xdr:row>36</xdr:row>
      <xdr:rowOff>100519</xdr:rowOff>
    </xdr:from>
    <xdr:to>
      <xdr:col>15</xdr:col>
      <xdr:colOff>712667</xdr:colOff>
      <xdr:row>37</xdr:row>
      <xdr:rowOff>89836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7D0DBE9D-3E45-4175-BC80-29E4DA39D8D3}"/>
            </a:ext>
          </a:extLst>
        </xdr:cNvPr>
        <xdr:cNvCxnSpPr/>
      </xdr:nvCxnSpPr>
      <xdr:spPr>
        <a:xfrm flipH="1" flipV="1">
          <a:off x="9805481" y="6806119"/>
          <a:ext cx="2548" cy="17090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492868</xdr:colOff>
      <xdr:row>36</xdr:row>
      <xdr:rowOff>107663</xdr:rowOff>
    </xdr:from>
    <xdr:to>
      <xdr:col>15</xdr:col>
      <xdr:colOff>708107</xdr:colOff>
      <xdr:row>36</xdr:row>
      <xdr:rowOff>110247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3302A2E2-47C4-4D30-AAA6-8C9B775C716C}"/>
            </a:ext>
          </a:extLst>
        </xdr:cNvPr>
        <xdr:cNvCxnSpPr/>
      </xdr:nvCxnSpPr>
      <xdr:spPr>
        <a:xfrm flipV="1">
          <a:off x="8797047" y="6813263"/>
          <a:ext cx="1006422" cy="258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73275</xdr:colOff>
      <xdr:row>34</xdr:row>
      <xdr:rowOff>167981</xdr:rowOff>
    </xdr:from>
    <xdr:to>
      <xdr:col>20</xdr:col>
      <xdr:colOff>74477</xdr:colOff>
      <xdr:row>36</xdr:row>
      <xdr:rowOff>148673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ECE10499-68B8-428C-8E44-FEB973ECC8D4}"/>
            </a:ext>
          </a:extLst>
        </xdr:cNvPr>
        <xdr:cNvCxnSpPr/>
      </xdr:nvCxnSpPr>
      <xdr:spPr>
        <a:xfrm flipH="1" flipV="1">
          <a:off x="13124552" y="6510415"/>
          <a:ext cx="1202" cy="34385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392349</xdr:colOff>
      <xdr:row>34</xdr:row>
      <xdr:rowOff>171855</xdr:rowOff>
    </xdr:from>
    <xdr:to>
      <xdr:col>20</xdr:col>
      <xdr:colOff>76796</xdr:colOff>
      <xdr:row>34</xdr:row>
      <xdr:rowOff>172148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2179034D-3C0F-4ADE-84CB-575FF6B8088F}"/>
            </a:ext>
          </a:extLst>
        </xdr:cNvPr>
        <xdr:cNvCxnSpPr/>
      </xdr:nvCxnSpPr>
      <xdr:spPr>
        <a:xfrm>
          <a:off x="12652443" y="6514289"/>
          <a:ext cx="475630" cy="29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94"/>
  <sheetViews>
    <sheetView showGridLines="0" topLeftCell="B1" zoomScale="115" zoomScaleNormal="115" workbookViewId="0">
      <selection activeCell="E38" sqref="E38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8.6640625" customWidth="1"/>
    <col min="12" max="12" width="8.77734375" customWidth="1"/>
    <col min="13" max="13" width="10.109375" customWidth="1"/>
  </cols>
  <sheetData>
    <row r="1" spans="3:20" x14ac:dyDescent="0.3">
      <c r="C1" s="3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">
        <v>1</v>
      </c>
      <c r="D4" s="1">
        <v>11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8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26" t="s">
        <v>38</v>
      </c>
      <c r="D9" s="27"/>
      <c r="E9" s="27"/>
      <c r="F9" s="26" t="s">
        <v>40</v>
      </c>
      <c r="G9" s="27"/>
      <c r="H9" s="106" t="s">
        <v>41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8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26" t="s">
        <v>39</v>
      </c>
      <c r="D11" s="27"/>
      <c r="E11" s="27"/>
      <c r="F11" s="26" t="s">
        <v>182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12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18" t="s">
        <v>1</v>
      </c>
      <c r="D25" s="18" t="s">
        <v>29</v>
      </c>
      <c r="E25" s="126" t="s">
        <v>30</v>
      </c>
      <c r="F25" s="127"/>
      <c r="G25" s="127"/>
      <c r="H25" s="127"/>
      <c r="I25" s="127"/>
      <c r="J25" s="128"/>
      <c r="K25" s="18" t="s">
        <v>31</v>
      </c>
      <c r="L25" s="18" t="s">
        <v>32</v>
      </c>
      <c r="M25" s="18" t="s">
        <v>33</v>
      </c>
    </row>
    <row r="26" spans="3:15" x14ac:dyDescent="0.3">
      <c r="C26" s="29">
        <v>3</v>
      </c>
      <c r="D26" s="29" t="s">
        <v>43</v>
      </c>
      <c r="E26" s="30">
        <f>1*0.6</f>
        <v>0.6</v>
      </c>
      <c r="F26" s="42"/>
      <c r="G26" s="42"/>
      <c r="H26" s="42"/>
      <c r="I26" s="42"/>
      <c r="J26" s="42"/>
      <c r="K26" s="30">
        <f t="shared" ref="K26:K31" si="0">+SUM(E26:J26)</f>
        <v>0.6</v>
      </c>
      <c r="L26" s="30">
        <f t="shared" ref="L26:L31" si="1">+(K26/$H$11)*100</f>
        <v>0.26052974381241856</v>
      </c>
      <c r="M26" s="31">
        <v>2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1.9*0.6</f>
        <v>1.1399999999999999</v>
      </c>
      <c r="F27" s="30">
        <f>0.74*0.6</f>
        <v>0.44400000000000001</v>
      </c>
      <c r="G27" s="30"/>
      <c r="H27" s="30"/>
      <c r="I27" s="30"/>
      <c r="J27" s="30"/>
      <c r="K27" s="30">
        <f t="shared" si="0"/>
        <v>1.5839999999999999</v>
      </c>
      <c r="L27" s="30">
        <f t="shared" si="1"/>
        <v>0.68779852366478489</v>
      </c>
      <c r="M27" s="33">
        <v>1</v>
      </c>
    </row>
    <row r="28" spans="3:15" x14ac:dyDescent="0.3">
      <c r="C28" s="29">
        <v>3</v>
      </c>
      <c r="D28" s="29" t="s">
        <v>44</v>
      </c>
      <c r="E28" s="30">
        <f>1.94*1.7</f>
        <v>3.298</v>
      </c>
      <c r="F28" s="30">
        <f>1.96*2</f>
        <v>3.92</v>
      </c>
      <c r="G28" s="30">
        <f>0.64*0.96</f>
        <v>0.61439999999999995</v>
      </c>
      <c r="H28" s="30">
        <f>3.44*1.52</f>
        <v>5.2287999999999997</v>
      </c>
      <c r="I28" s="30"/>
      <c r="J28" s="30"/>
      <c r="K28" s="30">
        <f t="shared" si="0"/>
        <v>13.061199999999999</v>
      </c>
      <c r="L28" s="30">
        <f t="shared" si="1"/>
        <v>5.6713851498046024</v>
      </c>
      <c r="M28" s="32">
        <v>11</v>
      </c>
    </row>
    <row r="29" spans="3:15" x14ac:dyDescent="0.3">
      <c r="C29" s="29">
        <v>10</v>
      </c>
      <c r="D29" s="29" t="s">
        <v>45</v>
      </c>
      <c r="E29" s="30">
        <f>1.3*0.6</f>
        <v>0.78</v>
      </c>
      <c r="F29" s="30"/>
      <c r="G29" s="30"/>
      <c r="H29" s="30"/>
      <c r="I29" s="30"/>
      <c r="J29" s="30"/>
      <c r="K29" s="30">
        <f t="shared" si="0"/>
        <v>0.78</v>
      </c>
      <c r="L29" s="30">
        <f t="shared" si="1"/>
        <v>0.33868866695614414</v>
      </c>
      <c r="M29" s="29">
        <v>0</v>
      </c>
    </row>
    <row r="30" spans="3:15" x14ac:dyDescent="0.3">
      <c r="C30" s="29">
        <v>10</v>
      </c>
      <c r="D30" s="29" t="s">
        <v>43</v>
      </c>
      <c r="E30" s="30">
        <f>1.4*0.6</f>
        <v>0.84</v>
      </c>
      <c r="F30" s="30"/>
      <c r="G30" s="30"/>
      <c r="H30" s="30"/>
      <c r="I30" s="30"/>
      <c r="J30" s="30"/>
      <c r="K30" s="30">
        <f t="shared" si="0"/>
        <v>0.84</v>
      </c>
      <c r="L30" s="30">
        <f t="shared" si="1"/>
        <v>0.36474164133738601</v>
      </c>
      <c r="M30" s="40">
        <v>4.5</v>
      </c>
    </row>
    <row r="31" spans="3:15" x14ac:dyDescent="0.3">
      <c r="C31" s="29">
        <v>11</v>
      </c>
      <c r="D31" s="29" t="s">
        <v>44</v>
      </c>
      <c r="E31" s="30">
        <f>0.66*0.7</f>
        <v>0.46199999999999997</v>
      </c>
      <c r="F31" s="30"/>
      <c r="G31" s="30"/>
      <c r="H31" s="30"/>
      <c r="I31" s="30"/>
      <c r="J31" s="30"/>
      <c r="K31" s="30">
        <f t="shared" si="0"/>
        <v>0.46199999999999997</v>
      </c>
      <c r="L31" s="30">
        <f t="shared" si="1"/>
        <v>0.20060790273556231</v>
      </c>
      <c r="M31" s="41">
        <v>4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29"/>
    </row>
    <row r="33" spans="3:22" x14ac:dyDescent="0.3"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3:22" x14ac:dyDescent="0.3"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3:22" x14ac:dyDescent="0.3">
      <c r="C35" s="20"/>
      <c r="D35" s="19"/>
      <c r="E35" s="19"/>
      <c r="F35" s="4"/>
      <c r="G35" s="4"/>
      <c r="H35" s="4"/>
      <c r="I35" s="4"/>
      <c r="J35" s="4"/>
      <c r="K35" s="19"/>
      <c r="L35" s="19"/>
      <c r="M35" s="19"/>
    </row>
    <row r="36" spans="3:22" x14ac:dyDescent="0.3">
      <c r="C36" s="20"/>
      <c r="D36" s="19"/>
      <c r="E36" s="19"/>
      <c r="F36" s="4"/>
      <c r="G36" s="4"/>
      <c r="H36" s="4"/>
      <c r="I36" s="4"/>
      <c r="J36" s="4"/>
      <c r="K36" s="19"/>
      <c r="L36" s="19"/>
      <c r="M36" s="19"/>
    </row>
    <row r="37" spans="3:22" x14ac:dyDescent="0.3">
      <c r="C37" s="20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2" x14ac:dyDescent="0.3">
      <c r="L38" s="100" t="s">
        <v>238</v>
      </c>
      <c r="M38" s="100">
        <f>+MAX(M26:M37)</f>
        <v>11</v>
      </c>
    </row>
    <row r="45" spans="3:22" x14ac:dyDescent="0.3">
      <c r="C45" s="129"/>
      <c r="D45" s="129"/>
      <c r="E45" s="129"/>
      <c r="F45" s="129"/>
      <c r="G45" s="129"/>
      <c r="H45" s="130"/>
      <c r="I45" s="130"/>
      <c r="J45" s="131"/>
      <c r="K45" s="132"/>
      <c r="L45" s="132"/>
      <c r="M45" s="132"/>
      <c r="N45" s="132"/>
      <c r="O45" s="132"/>
      <c r="P45" s="132"/>
      <c r="Q45" s="132"/>
      <c r="R45" s="131"/>
      <c r="S45" s="131"/>
      <c r="T45" s="131"/>
      <c r="U45" s="130"/>
      <c r="V45" s="130"/>
    </row>
    <row r="46" spans="3:22" ht="14.4" customHeight="1" x14ac:dyDescent="0.3">
      <c r="C46" s="133"/>
      <c r="D46" s="133"/>
      <c r="E46" s="133"/>
      <c r="F46" s="136"/>
      <c r="G46" s="137"/>
      <c r="H46" s="137"/>
      <c r="I46" s="138"/>
      <c r="J46" s="134"/>
      <c r="K46" s="134"/>
      <c r="L46" s="134"/>
      <c r="M46" s="134"/>
      <c r="N46" s="134"/>
      <c r="O46" s="134"/>
      <c r="P46" s="139"/>
      <c r="Q46" s="138"/>
      <c r="R46" s="140"/>
      <c r="S46" s="131"/>
      <c r="T46" s="131"/>
      <c r="U46" s="130"/>
      <c r="V46" s="130"/>
    </row>
    <row r="47" spans="3:22" x14ac:dyDescent="0.3">
      <c r="C47" s="133"/>
      <c r="D47" s="133"/>
      <c r="E47" s="133"/>
      <c r="F47" s="141"/>
      <c r="G47" s="136"/>
      <c r="H47" s="138"/>
      <c r="I47" s="138"/>
      <c r="J47" s="134"/>
      <c r="K47" s="134"/>
      <c r="L47" s="134"/>
      <c r="M47" s="134"/>
      <c r="N47" s="134"/>
      <c r="O47" s="134"/>
      <c r="P47" s="134"/>
      <c r="Q47" s="134"/>
      <c r="R47" s="140"/>
      <c r="S47" s="131"/>
      <c r="T47" s="131"/>
      <c r="U47" s="130"/>
      <c r="V47" s="130"/>
    </row>
    <row r="48" spans="3:22" x14ac:dyDescent="0.3">
      <c r="C48" s="133"/>
      <c r="D48" s="133"/>
      <c r="E48" s="133"/>
      <c r="F48" s="141"/>
      <c r="G48" s="141"/>
      <c r="H48" s="138"/>
      <c r="I48" s="138"/>
      <c r="J48" s="134"/>
      <c r="K48" s="134"/>
      <c r="L48" s="134"/>
      <c r="M48" s="134"/>
      <c r="N48" s="134"/>
      <c r="O48" s="134"/>
      <c r="P48" s="134"/>
      <c r="Q48" s="134"/>
      <c r="R48" s="140"/>
      <c r="S48" s="131"/>
      <c r="T48" s="131"/>
      <c r="U48" s="130"/>
      <c r="V48" s="130"/>
    </row>
    <row r="49" spans="3:22" ht="14.4" customHeight="1" x14ac:dyDescent="0.3">
      <c r="C49" s="130"/>
      <c r="D49" s="131"/>
      <c r="E49" s="130"/>
      <c r="F49" s="141"/>
      <c r="G49" s="141"/>
      <c r="H49" s="138"/>
      <c r="I49" s="138"/>
      <c r="J49" s="134"/>
      <c r="K49" s="134"/>
      <c r="L49" s="134"/>
      <c r="M49" s="134"/>
      <c r="N49" s="134"/>
      <c r="O49" s="134"/>
      <c r="P49" s="134"/>
      <c r="Q49" s="134"/>
      <c r="R49" s="140"/>
      <c r="S49" s="131"/>
      <c r="T49" s="131"/>
      <c r="U49" s="130"/>
      <c r="V49" s="130"/>
    </row>
    <row r="50" spans="3:22" x14ac:dyDescent="0.3">
      <c r="C50" s="130"/>
      <c r="D50" s="131"/>
      <c r="E50" s="130"/>
      <c r="F50" s="141"/>
      <c r="G50" s="141"/>
      <c r="H50" s="138"/>
      <c r="I50" s="138"/>
      <c r="J50" s="134"/>
      <c r="K50" s="134"/>
      <c r="L50" s="134"/>
      <c r="M50" s="134"/>
      <c r="N50" s="134"/>
      <c r="O50" s="134"/>
      <c r="P50" s="134"/>
      <c r="Q50" s="134"/>
      <c r="R50" s="140"/>
      <c r="S50" s="131"/>
      <c r="T50" s="131"/>
      <c r="U50" s="130"/>
      <c r="V50" s="130"/>
    </row>
    <row r="51" spans="3:22" x14ac:dyDescent="0.3">
      <c r="C51" s="129"/>
      <c r="D51" s="129"/>
      <c r="E51" s="129"/>
      <c r="F51" s="136"/>
      <c r="G51" s="136"/>
      <c r="H51" s="138"/>
      <c r="I51" s="138"/>
      <c r="J51" s="134"/>
      <c r="K51" s="134"/>
      <c r="L51" s="134"/>
      <c r="M51" s="134"/>
      <c r="N51" s="134"/>
      <c r="O51" s="134"/>
      <c r="P51" s="134"/>
      <c r="Q51" s="134"/>
      <c r="R51" s="134"/>
      <c r="S51" s="131"/>
      <c r="T51" s="131"/>
      <c r="U51" s="130"/>
      <c r="V51" s="130"/>
    </row>
    <row r="52" spans="3:22" x14ac:dyDescent="0.3">
      <c r="C52" s="129"/>
      <c r="D52" s="129"/>
      <c r="E52" s="129"/>
      <c r="F52" s="142"/>
      <c r="G52" s="142"/>
      <c r="H52" s="138"/>
      <c r="I52" s="138"/>
      <c r="J52" s="134"/>
      <c r="K52" s="134"/>
      <c r="L52" s="134"/>
      <c r="M52" s="134"/>
      <c r="N52" s="134"/>
      <c r="O52" s="134"/>
      <c r="P52" s="134"/>
      <c r="Q52" s="134"/>
      <c r="R52" s="134"/>
      <c r="S52" s="131"/>
      <c r="T52" s="131"/>
      <c r="U52" s="130"/>
      <c r="V52" s="130"/>
    </row>
    <row r="53" spans="3:22" x14ac:dyDescent="0.3">
      <c r="C53" s="130"/>
      <c r="D53" s="131"/>
      <c r="E53" s="130"/>
      <c r="F53" s="130"/>
      <c r="G53" s="130"/>
      <c r="H53" s="130"/>
      <c r="I53" s="130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0"/>
      <c r="V53" s="130"/>
    </row>
    <row r="54" spans="3:22" x14ac:dyDescent="0.3">
      <c r="C54" s="130"/>
      <c r="D54" s="131"/>
      <c r="E54" s="130"/>
      <c r="F54" s="130"/>
      <c r="G54" s="130"/>
      <c r="H54" s="130"/>
      <c r="I54" s="130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0"/>
      <c r="V54" s="130"/>
    </row>
    <row r="55" spans="3:22" x14ac:dyDescent="0.3">
      <c r="C55" s="130"/>
      <c r="D55" s="131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5"/>
      <c r="T55" s="135"/>
      <c r="U55" s="130"/>
      <c r="V55" s="130"/>
    </row>
    <row r="56" spans="3:22" x14ac:dyDescent="0.3">
      <c r="C56" s="130"/>
      <c r="D56" s="131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</row>
    <row r="57" spans="3:22" x14ac:dyDescent="0.3">
      <c r="C57" s="130"/>
      <c r="D57" s="131"/>
      <c r="E57" s="130"/>
      <c r="F57" s="130"/>
      <c r="G57" s="130"/>
      <c r="H57" s="130"/>
      <c r="I57" s="130"/>
      <c r="J57" s="130"/>
      <c r="K57" s="130"/>
      <c r="L57" s="131"/>
      <c r="M57" s="130"/>
      <c r="N57" s="130"/>
      <c r="O57" s="130"/>
      <c r="P57" s="130"/>
      <c r="Q57" s="130"/>
      <c r="R57" s="130"/>
      <c r="S57" s="130"/>
      <c r="T57" s="130"/>
      <c r="U57" s="130"/>
      <c r="V57" s="130"/>
    </row>
    <row r="58" spans="3:22" x14ac:dyDescent="0.3">
      <c r="C58" s="130"/>
      <c r="D58" s="131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</row>
    <row r="59" spans="3:22" x14ac:dyDescent="0.3">
      <c r="C59" s="130"/>
      <c r="D59" s="131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</row>
    <row r="60" spans="3:22" x14ac:dyDescent="0.3">
      <c r="C60" s="130"/>
      <c r="D60" s="131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</row>
    <row r="61" spans="3:22" x14ac:dyDescent="0.3">
      <c r="C61" s="130"/>
      <c r="D61" s="131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</row>
    <row r="62" spans="3:22" x14ac:dyDescent="0.3">
      <c r="C62" s="130"/>
      <c r="D62" s="131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</row>
    <row r="63" spans="3:22" x14ac:dyDescent="0.3">
      <c r="C63" s="130"/>
      <c r="D63" s="131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</row>
    <row r="64" spans="3:22" x14ac:dyDescent="0.3">
      <c r="C64" s="130"/>
      <c r="D64" s="131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</row>
    <row r="65" spans="3:22" x14ac:dyDescent="0.3">
      <c r="C65" s="130"/>
      <c r="D65" s="131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</row>
    <row r="66" spans="3:22" x14ac:dyDescent="0.3">
      <c r="C66" s="130"/>
      <c r="D66" s="131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</row>
    <row r="67" spans="3:22" x14ac:dyDescent="0.3">
      <c r="C67" s="130"/>
      <c r="D67" s="131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</row>
    <row r="68" spans="3:22" x14ac:dyDescent="0.3">
      <c r="C68" s="130"/>
      <c r="D68" s="131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</row>
    <row r="69" spans="3:22" x14ac:dyDescent="0.3">
      <c r="C69" s="130"/>
      <c r="D69" s="131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</row>
    <row r="70" spans="3:22" x14ac:dyDescent="0.3">
      <c r="C70" s="130"/>
      <c r="D70" s="131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</row>
    <row r="71" spans="3:22" x14ac:dyDescent="0.3">
      <c r="C71" s="130"/>
      <c r="D71" s="131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</row>
    <row r="72" spans="3:22" x14ac:dyDescent="0.3">
      <c r="C72" s="130"/>
      <c r="D72" s="131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</row>
    <row r="73" spans="3:22" x14ac:dyDescent="0.3">
      <c r="C73" s="130"/>
      <c r="D73" s="131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</row>
    <row r="74" spans="3:22" x14ac:dyDescent="0.3">
      <c r="C74" s="130"/>
      <c r="D74" s="131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</row>
    <row r="75" spans="3:22" x14ac:dyDescent="0.3">
      <c r="C75" s="130"/>
      <c r="D75" s="131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</row>
    <row r="76" spans="3:22" x14ac:dyDescent="0.3">
      <c r="C76" s="130"/>
      <c r="D76" s="131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</row>
    <row r="77" spans="3:22" x14ac:dyDescent="0.3">
      <c r="C77" s="130"/>
      <c r="D77" s="131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</row>
    <row r="78" spans="3:22" x14ac:dyDescent="0.3">
      <c r="C78" s="130"/>
      <c r="D78" s="131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</row>
    <row r="79" spans="3:22" x14ac:dyDescent="0.3">
      <c r="C79" s="130"/>
      <c r="D79" s="131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</row>
    <row r="80" spans="3:22" x14ac:dyDescent="0.3">
      <c r="C80" s="130"/>
      <c r="D80" s="131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</row>
    <row r="81" spans="3:22" x14ac:dyDescent="0.3">
      <c r="C81" s="130"/>
      <c r="D81" s="131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</row>
    <row r="82" spans="3:22" x14ac:dyDescent="0.3">
      <c r="C82" s="130"/>
      <c r="D82" s="131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</row>
    <row r="83" spans="3:22" x14ac:dyDescent="0.3">
      <c r="C83" s="130"/>
      <c r="D83" s="131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</row>
    <row r="84" spans="3:22" x14ac:dyDescent="0.3">
      <c r="C84" s="130"/>
      <c r="D84" s="131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</row>
    <row r="85" spans="3:22" x14ac:dyDescent="0.3">
      <c r="C85" s="130"/>
      <c r="D85" s="131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</row>
    <row r="86" spans="3:22" x14ac:dyDescent="0.3">
      <c r="C86" s="130"/>
      <c r="D86" s="131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</row>
    <row r="87" spans="3:22" x14ac:dyDescent="0.3">
      <c r="C87" s="131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</row>
    <row r="88" spans="3:22" x14ac:dyDescent="0.3">
      <c r="C88" s="131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</row>
    <row r="89" spans="3:22" x14ac:dyDescent="0.3">
      <c r="C89" s="131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</row>
    <row r="90" spans="3:22" x14ac:dyDescent="0.3">
      <c r="C90" s="131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</row>
    <row r="91" spans="3:22" x14ac:dyDescent="0.3">
      <c r="C91" s="131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</row>
    <row r="92" spans="3:22" x14ac:dyDescent="0.3">
      <c r="C92" s="131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</row>
    <row r="93" spans="3:22" x14ac:dyDescent="0.3"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</row>
    <row r="94" spans="3:22" x14ac:dyDescent="0.3">
      <c r="C94" s="131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</row>
  </sheetData>
  <mergeCells count="29">
    <mergeCell ref="K45:Q45"/>
    <mergeCell ref="C51:E52"/>
    <mergeCell ref="F52:G52"/>
    <mergeCell ref="D23:F23"/>
    <mergeCell ref="H13:I13"/>
    <mergeCell ref="D22:F22"/>
    <mergeCell ref="D21:F21"/>
    <mergeCell ref="D20:F20"/>
    <mergeCell ref="D19:F19"/>
    <mergeCell ref="D18:F18"/>
    <mergeCell ref="C46:E48"/>
    <mergeCell ref="E25:J25"/>
    <mergeCell ref="C45:G45"/>
    <mergeCell ref="C6:M6"/>
    <mergeCell ref="C5:M5"/>
    <mergeCell ref="H11:I11"/>
    <mergeCell ref="H9:I9"/>
    <mergeCell ref="C13:F13"/>
    <mergeCell ref="K7:M24"/>
    <mergeCell ref="C7:I7"/>
    <mergeCell ref="D16:F16"/>
    <mergeCell ref="D17:F17"/>
    <mergeCell ref="D15:F15"/>
    <mergeCell ref="D14:F14"/>
    <mergeCell ref="H14:I14"/>
    <mergeCell ref="H12:I12"/>
    <mergeCell ref="H10:I10"/>
    <mergeCell ref="H8:I8"/>
    <mergeCell ref="D24:F2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T26" sqref="T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91</v>
      </c>
      <c r="D4" s="1">
        <v>108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+PCI_U9!F11</f>
        <v>K0+325,37</v>
      </c>
      <c r="G9" s="27"/>
      <c r="H9" s="106" t="s">
        <v>64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65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44021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3.9*1.4</f>
        <v>5.46</v>
      </c>
      <c r="F26" s="30">
        <f>1.2*0.8</f>
        <v>0.96</v>
      </c>
      <c r="G26" s="30">
        <f>2.1*1.2</f>
        <v>2.52</v>
      </c>
      <c r="H26" s="30">
        <f>3.16*0.77</f>
        <v>2.4332000000000003</v>
      </c>
      <c r="I26" s="30">
        <f>2.03*1.43</f>
        <v>2.9028999999999998</v>
      </c>
      <c r="J26" s="30"/>
      <c r="K26" s="30">
        <f>+SUM(E26:J26)</f>
        <v>14.2761</v>
      </c>
      <c r="L26" s="30">
        <f>+(K26/$H$11)*100</f>
        <v>6.1989144594007808</v>
      </c>
      <c r="M26" s="45">
        <v>56</v>
      </c>
      <c r="O26" t="s">
        <v>47</v>
      </c>
      <c r="T26" t="s">
        <v>50</v>
      </c>
    </row>
    <row r="27" spans="3:20" x14ac:dyDescent="0.3">
      <c r="C27" s="29">
        <v>13</v>
      </c>
      <c r="D27" s="29" t="s">
        <v>43</v>
      </c>
      <c r="E27" s="30">
        <f>0.75*0.25</f>
        <v>0.1875</v>
      </c>
      <c r="F27" s="30">
        <f>1*0.23</f>
        <v>0.23</v>
      </c>
      <c r="G27" s="30"/>
      <c r="H27" s="30"/>
      <c r="I27" s="30"/>
      <c r="J27" s="30"/>
      <c r="K27" s="30">
        <f t="shared" ref="K27:K33" si="0">+SUM(E27:J27)</f>
        <v>0.41749999999999998</v>
      </c>
      <c r="L27" s="30">
        <f t="shared" ref="L27:L33" si="1">+(K27/$H$11)*100</f>
        <v>0.18128528006947459</v>
      </c>
      <c r="M27" s="33">
        <v>23</v>
      </c>
    </row>
    <row r="28" spans="3:20" x14ac:dyDescent="0.3">
      <c r="C28" s="29">
        <v>3</v>
      </c>
      <c r="D28" s="29" t="s">
        <v>43</v>
      </c>
      <c r="E28" s="30">
        <f>4.4*1.7</f>
        <v>7.48</v>
      </c>
      <c r="F28" s="30">
        <f>1.6*1.33</f>
        <v>2.1280000000000001</v>
      </c>
      <c r="G28" s="30"/>
      <c r="H28" s="30"/>
      <c r="I28" s="30"/>
      <c r="J28" s="30"/>
      <c r="K28" s="30">
        <f t="shared" si="0"/>
        <v>9.6080000000000005</v>
      </c>
      <c r="L28" s="30">
        <f t="shared" si="1"/>
        <v>4.1719496309161963</v>
      </c>
      <c r="M28" s="47">
        <v>18</v>
      </c>
    </row>
    <row r="29" spans="3:20" x14ac:dyDescent="0.3">
      <c r="C29" s="29">
        <v>11</v>
      </c>
      <c r="D29" s="29" t="s">
        <v>44</v>
      </c>
      <c r="E29" s="30">
        <f>0.83*1.56</f>
        <v>1.2948</v>
      </c>
      <c r="F29" s="30">
        <f>1.8*1.67</f>
        <v>3.0059999999999998</v>
      </c>
      <c r="G29" s="30"/>
      <c r="H29" s="30"/>
      <c r="I29" s="30"/>
      <c r="J29" s="30"/>
      <c r="K29" s="30">
        <f t="shared" si="0"/>
        <v>4.3007999999999997</v>
      </c>
      <c r="L29" s="30">
        <f t="shared" si="1"/>
        <v>1.8674772036474163</v>
      </c>
      <c r="M29" s="58">
        <v>13</v>
      </c>
    </row>
    <row r="30" spans="3:20" x14ac:dyDescent="0.3">
      <c r="C30" s="29">
        <v>11</v>
      </c>
      <c r="D30" s="29" t="s">
        <v>43</v>
      </c>
      <c r="E30" s="30">
        <f>1.12*1.15</f>
        <v>1.288</v>
      </c>
      <c r="F30" s="30">
        <f>2*1.84</f>
        <v>3.68</v>
      </c>
      <c r="G30" s="30"/>
      <c r="H30" s="30"/>
      <c r="I30" s="30"/>
      <c r="J30" s="30"/>
      <c r="K30" s="30">
        <f t="shared" si="0"/>
        <v>4.968</v>
      </c>
      <c r="L30" s="30">
        <f t="shared" si="1"/>
        <v>2.1571862787668259</v>
      </c>
      <c r="M30" s="41">
        <v>26</v>
      </c>
    </row>
    <row r="31" spans="3:20" x14ac:dyDescent="0.3">
      <c r="C31" s="29">
        <v>3</v>
      </c>
      <c r="D31" s="29" t="s">
        <v>45</v>
      </c>
      <c r="E31" s="30">
        <f>0.66*0.76</f>
        <v>0.50160000000000005</v>
      </c>
      <c r="F31" s="30"/>
      <c r="G31" s="30"/>
      <c r="H31" s="30"/>
      <c r="I31" s="30"/>
      <c r="J31" s="30"/>
      <c r="K31" s="30">
        <f t="shared" si="0"/>
        <v>0.50160000000000005</v>
      </c>
      <c r="L31" s="30">
        <f t="shared" si="1"/>
        <v>0.21780286582718192</v>
      </c>
      <c r="M31" s="43">
        <v>0</v>
      </c>
    </row>
    <row r="32" spans="3:20" x14ac:dyDescent="0.3">
      <c r="C32" s="29">
        <v>13</v>
      </c>
      <c r="D32" s="29" t="s">
        <v>45</v>
      </c>
      <c r="E32" s="30">
        <f>0.3*0.11</f>
        <v>3.3000000000000002E-2</v>
      </c>
      <c r="F32" s="30"/>
      <c r="G32" s="30"/>
      <c r="H32" s="30"/>
      <c r="I32" s="30"/>
      <c r="J32" s="30"/>
      <c r="K32" s="30">
        <f t="shared" si="0"/>
        <v>3.3000000000000002E-2</v>
      </c>
      <c r="L32" s="30">
        <f t="shared" si="1"/>
        <v>1.4329135909683021E-2</v>
      </c>
      <c r="M32" s="43">
        <v>0</v>
      </c>
    </row>
    <row r="33" spans="3:13" x14ac:dyDescent="0.3">
      <c r="C33" s="29">
        <v>10</v>
      </c>
      <c r="D33" s="29" t="s">
        <v>44</v>
      </c>
      <c r="E33" s="30">
        <f>0.97*0.6</f>
        <v>0.58199999999999996</v>
      </c>
      <c r="F33" s="30"/>
      <c r="G33" s="30"/>
      <c r="H33" s="30"/>
      <c r="I33" s="30"/>
      <c r="J33" s="30"/>
      <c r="K33" s="30">
        <f t="shared" si="0"/>
        <v>0.58199999999999996</v>
      </c>
      <c r="L33" s="30">
        <f t="shared" si="1"/>
        <v>0.25271385149804604</v>
      </c>
      <c r="M33" s="43">
        <v>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3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50">
        <v>109</v>
      </c>
      <c r="D4" s="1">
        <v>123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3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3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30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30" x14ac:dyDescent="0.3">
      <c r="C9" s="53" t="s">
        <v>38</v>
      </c>
      <c r="D9" s="27"/>
      <c r="E9" s="27"/>
      <c r="F9" s="53" t="str">
        <f>+PCI_U10!F11</f>
        <v>K0+361,52</v>
      </c>
      <c r="G9" s="27"/>
      <c r="H9" s="106" t="s">
        <v>66</v>
      </c>
      <c r="I9" s="106"/>
      <c r="J9" s="9"/>
      <c r="K9" s="111"/>
      <c r="L9" s="112"/>
      <c r="M9" s="113"/>
    </row>
    <row r="10" spans="3:30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30" x14ac:dyDescent="0.3">
      <c r="C11" s="53" t="s">
        <v>39</v>
      </c>
      <c r="D11" s="27"/>
      <c r="E11" s="27"/>
      <c r="F11" s="53" t="s">
        <v>187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  <c r="AD11" t="s">
        <v>68</v>
      </c>
    </row>
    <row r="12" spans="3:3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30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30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3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3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11</v>
      </c>
      <c r="D26" s="29" t="s">
        <v>44</v>
      </c>
      <c r="E26" s="30">
        <f>1.47*0.45</f>
        <v>0.66149999999999998</v>
      </c>
      <c r="F26" s="30">
        <f>6.77*1.8</f>
        <v>12.186</v>
      </c>
      <c r="G26" s="30"/>
      <c r="H26" s="30"/>
      <c r="I26" s="30"/>
      <c r="J26" s="30"/>
      <c r="K26" s="30">
        <f>+SUM(E26:J26)</f>
        <v>12.8475</v>
      </c>
      <c r="L26" s="30">
        <f>+(K26/$H$11)*100</f>
        <v>5.5785931393834129</v>
      </c>
      <c r="M26" s="41">
        <v>23</v>
      </c>
      <c r="O26" t="s">
        <v>47</v>
      </c>
      <c r="T26" t="s">
        <v>50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1.9*0.62</f>
        <v>1.1779999999999999</v>
      </c>
      <c r="F27" s="30"/>
      <c r="G27" s="30"/>
      <c r="H27" s="30"/>
      <c r="I27" s="30"/>
      <c r="J27" s="30"/>
      <c r="K27" s="30">
        <f t="shared" ref="K27:K34" si="0">+SUM(E27:J27)</f>
        <v>1.1779999999999999</v>
      </c>
      <c r="L27" s="30">
        <f t="shared" ref="L27:L34" si="1">+(K27/$H$11)*100</f>
        <v>0.51150673035171512</v>
      </c>
      <c r="M27" s="44">
        <v>1</v>
      </c>
    </row>
    <row r="28" spans="3:25" x14ac:dyDescent="0.3">
      <c r="C28" s="29">
        <v>13</v>
      </c>
      <c r="D28" s="29" t="s">
        <v>44</v>
      </c>
      <c r="E28" s="30">
        <f>0.16*0.27</f>
        <v>4.3200000000000002E-2</v>
      </c>
      <c r="F28" s="30"/>
      <c r="G28" s="30"/>
      <c r="H28" s="30"/>
      <c r="I28" s="30"/>
      <c r="J28" s="30"/>
      <c r="K28" s="30">
        <f t="shared" si="0"/>
        <v>4.3200000000000002E-2</v>
      </c>
      <c r="L28" s="30">
        <f t="shared" si="1"/>
        <v>1.8758141554494137E-2</v>
      </c>
      <c r="M28" s="43">
        <v>0</v>
      </c>
    </row>
    <row r="29" spans="3:25" x14ac:dyDescent="0.3">
      <c r="C29" s="29">
        <v>1</v>
      </c>
      <c r="D29" s="29" t="s">
        <v>43</v>
      </c>
      <c r="E29" s="30">
        <f>2.8*0.96</f>
        <v>2.6879999999999997</v>
      </c>
      <c r="F29" s="30">
        <f>2.78*1.5</f>
        <v>4.17</v>
      </c>
      <c r="G29" s="30">
        <f>4.53*0.84</f>
        <v>3.8052000000000001</v>
      </c>
      <c r="H29" s="30">
        <f>1.7*1.19</f>
        <v>2.0229999999999997</v>
      </c>
      <c r="I29" s="30">
        <f>1.9*1.14</f>
        <v>2.1659999999999999</v>
      </c>
      <c r="J29" s="30"/>
      <c r="K29" s="30">
        <f t="shared" si="0"/>
        <v>14.8522</v>
      </c>
      <c r="L29" s="30">
        <f t="shared" si="1"/>
        <v>6.4490664350846716</v>
      </c>
      <c r="M29" s="45">
        <v>67</v>
      </c>
    </row>
    <row r="30" spans="3:25" x14ac:dyDescent="0.3">
      <c r="C30" s="29">
        <v>7</v>
      </c>
      <c r="D30" s="29" t="s">
        <v>45</v>
      </c>
      <c r="E30" s="30">
        <f>1.59*0.6</f>
        <v>0.95399999999999996</v>
      </c>
      <c r="F30" s="30"/>
      <c r="G30" s="30"/>
      <c r="H30" s="30"/>
      <c r="I30" s="30"/>
      <c r="J30" s="30"/>
      <c r="K30" s="30">
        <f t="shared" si="0"/>
        <v>0.95399999999999996</v>
      </c>
      <c r="L30" s="30">
        <f t="shared" si="1"/>
        <v>0.4142422926617455</v>
      </c>
      <c r="M30" s="48">
        <v>1</v>
      </c>
    </row>
    <row r="31" spans="3:25" x14ac:dyDescent="0.3">
      <c r="C31" s="29">
        <v>10</v>
      </c>
      <c r="D31" s="29" t="s">
        <v>44</v>
      </c>
      <c r="E31" s="30">
        <f>1.4*0.6</f>
        <v>0.84</v>
      </c>
      <c r="F31" s="30"/>
      <c r="G31" s="30"/>
      <c r="H31" s="30"/>
      <c r="I31" s="30"/>
      <c r="J31" s="30"/>
      <c r="K31" s="30">
        <f t="shared" si="0"/>
        <v>0.84</v>
      </c>
      <c r="L31" s="30">
        <f t="shared" si="1"/>
        <v>0.36474164133738601</v>
      </c>
      <c r="M31" s="43">
        <v>0</v>
      </c>
    </row>
    <row r="32" spans="3:25" x14ac:dyDescent="0.3">
      <c r="C32" s="29">
        <v>4</v>
      </c>
      <c r="D32" s="29" t="s">
        <v>45</v>
      </c>
      <c r="E32" s="30">
        <f>2.1*0.34</f>
        <v>0.71400000000000008</v>
      </c>
      <c r="F32" s="30"/>
      <c r="G32" s="30"/>
      <c r="H32" s="30"/>
      <c r="I32" s="30"/>
      <c r="J32" s="30"/>
      <c r="K32" s="30">
        <f t="shared" si="0"/>
        <v>0.71400000000000008</v>
      </c>
      <c r="L32" s="30">
        <f t="shared" si="1"/>
        <v>0.31003039513677816</v>
      </c>
      <c r="M32" s="43">
        <v>0</v>
      </c>
    </row>
    <row r="33" spans="3:13" x14ac:dyDescent="0.3">
      <c r="C33" s="29">
        <v>3</v>
      </c>
      <c r="D33" s="29" t="s">
        <v>43</v>
      </c>
      <c r="E33" s="30">
        <f>4.7*1.19</f>
        <v>5.593</v>
      </c>
      <c r="F33" s="30"/>
      <c r="G33" s="30"/>
      <c r="H33" s="30"/>
      <c r="I33" s="30"/>
      <c r="J33" s="30"/>
      <c r="K33" s="30">
        <f t="shared" si="0"/>
        <v>5.593</v>
      </c>
      <c r="L33" s="30">
        <f t="shared" si="1"/>
        <v>2.4285714285714284</v>
      </c>
      <c r="M33" s="47">
        <v>13</v>
      </c>
    </row>
    <row r="34" spans="3:13" x14ac:dyDescent="0.3">
      <c r="C34" s="43">
        <v>11</v>
      </c>
      <c r="D34" s="43" t="s">
        <v>45</v>
      </c>
      <c r="E34" s="56">
        <f>2.66*1.7</f>
        <v>4.5220000000000002</v>
      </c>
      <c r="F34" s="56"/>
      <c r="G34" s="56"/>
      <c r="H34" s="56"/>
      <c r="I34" s="56"/>
      <c r="J34" s="56"/>
      <c r="K34" s="30">
        <f t="shared" si="0"/>
        <v>4.5220000000000002</v>
      </c>
      <c r="L34" s="30">
        <f t="shared" si="1"/>
        <v>1.9635258358662613</v>
      </c>
      <c r="M34" s="58">
        <v>4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124</v>
      </c>
      <c r="D4" s="1">
        <v>139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+PCI_U11!F11</f>
        <v>K0+397,68</v>
      </c>
      <c r="G9" s="27"/>
      <c r="H9" s="106" t="s">
        <v>69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188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50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11</v>
      </c>
      <c r="D26" s="29" t="s">
        <v>44</v>
      </c>
      <c r="E26" s="30">
        <f>4.9*6.5</f>
        <v>31.85</v>
      </c>
      <c r="F26" s="30"/>
      <c r="G26" s="30"/>
      <c r="H26" s="30"/>
      <c r="I26" s="30"/>
      <c r="J26" s="30"/>
      <c r="K26" s="30">
        <f>+SUM(E26:J26)</f>
        <v>31.85</v>
      </c>
      <c r="L26" s="30">
        <f>+(K26/$H$11)*100</f>
        <v>13.829787234042554</v>
      </c>
      <c r="M26" s="41">
        <v>34</v>
      </c>
      <c r="O26" t="s">
        <v>47</v>
      </c>
      <c r="T26" t="s">
        <v>53</v>
      </c>
    </row>
    <row r="27" spans="3:20" x14ac:dyDescent="0.3">
      <c r="C27" s="29">
        <v>1</v>
      </c>
      <c r="D27" s="29" t="s">
        <v>44</v>
      </c>
      <c r="E27" s="30">
        <f>2.45*0.93</f>
        <v>2.2785000000000002</v>
      </c>
      <c r="F27" s="30"/>
      <c r="G27" s="30"/>
      <c r="H27" s="30"/>
      <c r="I27" s="30"/>
      <c r="J27" s="30"/>
      <c r="K27" s="30">
        <f t="shared" ref="K27:K33" si="0">+SUM(E27:J27)</f>
        <v>2.2785000000000002</v>
      </c>
      <c r="L27" s="30">
        <f t="shared" ref="L27:L33" si="1">+(K27/$H$11)*100</f>
        <v>0.9893617021276595</v>
      </c>
      <c r="M27" s="33">
        <v>21</v>
      </c>
    </row>
    <row r="28" spans="3:20" x14ac:dyDescent="0.3">
      <c r="C28" s="29">
        <v>3</v>
      </c>
      <c r="D28" s="29" t="s">
        <v>43</v>
      </c>
      <c r="E28" s="30">
        <f>1.18*0.97</f>
        <v>1.1445999999999998</v>
      </c>
      <c r="F28" s="30"/>
      <c r="G28" s="30"/>
      <c r="H28" s="30"/>
      <c r="I28" s="30"/>
      <c r="J28" s="30"/>
      <c r="K28" s="30">
        <f t="shared" si="0"/>
        <v>1.1445999999999998</v>
      </c>
      <c r="L28" s="30">
        <f t="shared" si="1"/>
        <v>0.49700390794615706</v>
      </c>
      <c r="M28" s="31">
        <v>1</v>
      </c>
    </row>
    <row r="29" spans="3:20" x14ac:dyDescent="0.3">
      <c r="C29" s="29">
        <v>1</v>
      </c>
      <c r="D29" s="29" t="s">
        <v>43</v>
      </c>
      <c r="E29" s="30">
        <f>9.4*1.4</f>
        <v>13.16</v>
      </c>
      <c r="F29" s="30">
        <f>7*1.16</f>
        <v>8.1199999999999992</v>
      </c>
      <c r="G29" s="30">
        <f>3.36*1.58</f>
        <v>5.3087999999999997</v>
      </c>
      <c r="H29" s="30">
        <f>4.5*0.96</f>
        <v>4.32</v>
      </c>
      <c r="I29" s="30">
        <f>3.8*1.3</f>
        <v>4.9399999999999995</v>
      </c>
      <c r="J29" s="30">
        <f>2.13*1.14</f>
        <v>2.4281999999999995</v>
      </c>
      <c r="K29" s="30">
        <f t="shared" si="0"/>
        <v>38.276999999999994</v>
      </c>
      <c r="L29" s="30">
        <f t="shared" si="1"/>
        <v>16.620495006513238</v>
      </c>
      <c r="M29" s="58">
        <v>66</v>
      </c>
    </row>
    <row r="30" spans="3:20" x14ac:dyDescent="0.3">
      <c r="C30" s="29">
        <v>10</v>
      </c>
      <c r="D30" s="29" t="s">
        <v>44</v>
      </c>
      <c r="E30" s="30">
        <f>1.6*0.6</f>
        <v>0.96</v>
      </c>
      <c r="F30" s="30">
        <f>0.74*0.6</f>
        <v>0.44400000000000001</v>
      </c>
      <c r="G30" s="30">
        <f>2.4*0.6</f>
        <v>1.44</v>
      </c>
      <c r="H30" s="30"/>
      <c r="I30" s="30"/>
      <c r="J30" s="30"/>
      <c r="K30" s="30">
        <f t="shared" si="0"/>
        <v>2.8439999999999999</v>
      </c>
      <c r="L30" s="30">
        <f t="shared" si="1"/>
        <v>1.234910985670864</v>
      </c>
      <c r="M30" s="40">
        <v>3</v>
      </c>
    </row>
    <row r="31" spans="3:20" x14ac:dyDescent="0.3">
      <c r="C31" s="29">
        <v>17</v>
      </c>
      <c r="D31" s="29" t="s">
        <v>44</v>
      </c>
      <c r="E31" s="30">
        <f>0.93*0.8</f>
        <v>0.74400000000000011</v>
      </c>
      <c r="F31" s="30"/>
      <c r="G31" s="30"/>
      <c r="H31" s="30"/>
      <c r="I31" s="30"/>
      <c r="J31" s="30"/>
      <c r="K31" s="30">
        <f t="shared" si="0"/>
        <v>0.74400000000000011</v>
      </c>
      <c r="L31" s="30">
        <f t="shared" si="1"/>
        <v>0.3230568823273991</v>
      </c>
      <c r="M31" s="48">
        <v>5</v>
      </c>
    </row>
    <row r="32" spans="3:20" x14ac:dyDescent="0.3">
      <c r="C32" s="29">
        <v>3</v>
      </c>
      <c r="D32" s="29" t="s">
        <v>44</v>
      </c>
      <c r="E32" s="30">
        <f>1.2*0.64</f>
        <v>0.76800000000000002</v>
      </c>
      <c r="F32" s="30"/>
      <c r="G32" s="30"/>
      <c r="H32" s="30"/>
      <c r="I32" s="30"/>
      <c r="J32" s="30"/>
      <c r="K32" s="30">
        <f t="shared" si="0"/>
        <v>0.76800000000000002</v>
      </c>
      <c r="L32" s="30">
        <f t="shared" si="1"/>
        <v>0.33347807207989577</v>
      </c>
      <c r="M32" s="43">
        <v>0</v>
      </c>
    </row>
    <row r="33" spans="3:13" x14ac:dyDescent="0.3">
      <c r="C33" s="29">
        <v>11</v>
      </c>
      <c r="D33" s="29" t="s">
        <v>43</v>
      </c>
      <c r="E33" s="30">
        <f>1.64*1.42</f>
        <v>2.3287999999999998</v>
      </c>
      <c r="F33" s="30"/>
      <c r="G33" s="30"/>
      <c r="H33" s="30"/>
      <c r="I33" s="30"/>
      <c r="J33" s="30"/>
      <c r="K33" s="30">
        <f t="shared" si="0"/>
        <v>2.3287999999999998</v>
      </c>
      <c r="L33" s="30">
        <f t="shared" si="1"/>
        <v>1.011202778983934</v>
      </c>
      <c r="M33" s="45">
        <v>20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140</v>
      </c>
      <c r="D4" s="1">
        <v>155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+PCI_U12!F11</f>
        <v>K0+433,83</v>
      </c>
      <c r="G9" s="27"/>
      <c r="H9" s="106" t="s">
        <v>63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189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11</v>
      </c>
      <c r="D26" s="29" t="s">
        <v>45</v>
      </c>
      <c r="E26" s="30">
        <f>1.42*3.15</f>
        <v>4.4729999999999999</v>
      </c>
      <c r="F26" s="30"/>
      <c r="G26" s="30"/>
      <c r="H26" s="30"/>
      <c r="I26" s="30"/>
      <c r="J26" s="30"/>
      <c r="K26" s="30">
        <f>+SUM(E26:J26)</f>
        <v>4.4729999999999999</v>
      </c>
      <c r="L26" s="30">
        <f>+(K26/$H$11)*100</f>
        <v>1.9422492401215803</v>
      </c>
      <c r="M26" s="41">
        <v>4</v>
      </c>
      <c r="O26" t="s">
        <v>47</v>
      </c>
      <c r="T26" t="s">
        <v>50</v>
      </c>
      <c r="Y26" t="s">
        <v>53</v>
      </c>
    </row>
    <row r="27" spans="3:25" x14ac:dyDescent="0.3">
      <c r="C27" s="29">
        <v>13</v>
      </c>
      <c r="D27" s="29" t="s">
        <v>43</v>
      </c>
      <c r="E27" s="30">
        <f>0.44*0.17</f>
        <v>7.4800000000000005E-2</v>
      </c>
      <c r="F27" s="30"/>
      <c r="G27" s="30"/>
      <c r="H27" s="30"/>
      <c r="I27" s="30"/>
      <c r="J27" s="30"/>
      <c r="K27" s="30">
        <f t="shared" ref="K27:K32" si="0">+SUM(E27:J27)</f>
        <v>7.4800000000000005E-2</v>
      </c>
      <c r="L27" s="30">
        <f t="shared" ref="L27:L34" si="1">+(K27/$H$11)*100</f>
        <v>3.2479374728614854E-2</v>
      </c>
      <c r="M27" s="43">
        <v>0</v>
      </c>
    </row>
    <row r="28" spans="3:25" x14ac:dyDescent="0.3">
      <c r="C28" s="29">
        <v>3</v>
      </c>
      <c r="D28" s="29" t="s">
        <v>45</v>
      </c>
      <c r="E28" s="30">
        <f>1.37*0.96</f>
        <v>1.3152000000000001</v>
      </c>
      <c r="F28" s="30">
        <f>0.8*0.7</f>
        <v>0.55999999999999994</v>
      </c>
      <c r="G28" s="30">
        <f>3.63*0.72</f>
        <v>2.6135999999999999</v>
      </c>
      <c r="H28" s="30"/>
      <c r="I28" s="30"/>
      <c r="J28" s="30"/>
      <c r="K28" s="30">
        <f t="shared" si="0"/>
        <v>4.4887999999999995</v>
      </c>
      <c r="L28" s="30">
        <f t="shared" si="1"/>
        <v>1.9491098567086405</v>
      </c>
      <c r="M28" s="47">
        <v>2</v>
      </c>
    </row>
    <row r="29" spans="3:25" x14ac:dyDescent="0.3">
      <c r="C29" s="29">
        <v>10</v>
      </c>
      <c r="D29" s="29" t="s">
        <v>44</v>
      </c>
      <c r="E29" s="30">
        <f>4.77*0.6</f>
        <v>2.8619999999999997</v>
      </c>
      <c r="F29" s="30">
        <f>1.82*0.6</f>
        <v>1.0920000000000001</v>
      </c>
      <c r="G29" s="30"/>
      <c r="H29" s="30"/>
      <c r="I29" s="30"/>
      <c r="J29" s="30"/>
      <c r="K29" s="30">
        <f t="shared" si="0"/>
        <v>3.9539999999999997</v>
      </c>
      <c r="L29" s="30">
        <f t="shared" si="1"/>
        <v>1.7168910117238381</v>
      </c>
      <c r="M29" s="40">
        <v>3</v>
      </c>
    </row>
    <row r="30" spans="3:25" x14ac:dyDescent="0.3">
      <c r="C30" s="29">
        <v>1</v>
      </c>
      <c r="D30" s="29" t="s">
        <v>43</v>
      </c>
      <c r="E30" s="30">
        <f>7.14*1.2</f>
        <v>8.5679999999999996</v>
      </c>
      <c r="F30" s="30">
        <f>2.4*1.85</f>
        <v>4.4400000000000004</v>
      </c>
      <c r="G30" s="30">
        <f>4.55*1.55</f>
        <v>7.0525000000000002</v>
      </c>
      <c r="H30" s="30"/>
      <c r="I30" s="30"/>
      <c r="J30" s="30"/>
      <c r="K30" s="30">
        <f t="shared" si="0"/>
        <v>20.060499999999998</v>
      </c>
      <c r="L30" s="30">
        <f t="shared" si="1"/>
        <v>8.7105948762483703</v>
      </c>
      <c r="M30" s="58">
        <v>60</v>
      </c>
    </row>
    <row r="31" spans="3:25" x14ac:dyDescent="0.3">
      <c r="C31" s="29">
        <v>10</v>
      </c>
      <c r="D31" s="29" t="s">
        <v>43</v>
      </c>
      <c r="E31" s="30">
        <f>1.3*0.6</f>
        <v>0.78</v>
      </c>
      <c r="F31" s="30">
        <f>3.54*0.6</f>
        <v>2.1240000000000001</v>
      </c>
      <c r="G31" s="30"/>
      <c r="H31" s="30"/>
      <c r="I31" s="30"/>
      <c r="J31" s="30"/>
      <c r="K31" s="30">
        <f t="shared" si="0"/>
        <v>2.9039999999999999</v>
      </c>
      <c r="L31" s="30">
        <f t="shared" si="1"/>
        <v>1.2609639600521059</v>
      </c>
      <c r="M31" s="45">
        <v>8.6</v>
      </c>
    </row>
    <row r="32" spans="3:25" x14ac:dyDescent="0.3">
      <c r="C32" s="29">
        <v>10</v>
      </c>
      <c r="D32" s="29" t="s">
        <v>45</v>
      </c>
      <c r="E32" s="30">
        <f>0.81*0.6</f>
        <v>0.48599999999999999</v>
      </c>
      <c r="F32" s="30"/>
      <c r="G32" s="30"/>
      <c r="H32" s="30"/>
      <c r="I32" s="30"/>
      <c r="J32" s="30"/>
      <c r="K32" s="30">
        <f t="shared" si="0"/>
        <v>0.48599999999999999</v>
      </c>
      <c r="L32" s="30">
        <f t="shared" si="1"/>
        <v>0.21102909248805904</v>
      </c>
      <c r="M32" s="43">
        <v>0</v>
      </c>
    </row>
    <row r="33" spans="3:13" x14ac:dyDescent="0.3">
      <c r="C33" s="29">
        <v>3</v>
      </c>
      <c r="D33" s="29" t="s">
        <v>44</v>
      </c>
      <c r="E33" s="30">
        <f>1.83*0.93</f>
        <v>1.7019000000000002</v>
      </c>
      <c r="F33" s="30">
        <f>2.47*1.06</f>
        <v>2.6182000000000003</v>
      </c>
      <c r="G33" s="30"/>
      <c r="H33" s="30"/>
      <c r="I33" s="30"/>
      <c r="J33" s="30"/>
      <c r="K33" s="30">
        <f>+SUM(E33:J33)</f>
        <v>4.3201000000000001</v>
      </c>
      <c r="L33" s="30">
        <f>+(K33/$H$11)*100</f>
        <v>1.8758575770733823</v>
      </c>
      <c r="M33" s="44">
        <v>6</v>
      </c>
    </row>
    <row r="34" spans="3:13" x14ac:dyDescent="0.3">
      <c r="C34" s="43">
        <v>17</v>
      </c>
      <c r="D34" s="43" t="s">
        <v>45</v>
      </c>
      <c r="E34" s="56">
        <f>1.03*0.6</f>
        <v>0.61799999999999999</v>
      </c>
      <c r="F34" s="56"/>
      <c r="G34" s="56"/>
      <c r="H34" s="56"/>
      <c r="I34" s="56"/>
      <c r="J34" s="56"/>
      <c r="K34" s="30">
        <f>+SUM(E34:J34)</f>
        <v>0.61799999999999999</v>
      </c>
      <c r="L34" s="30">
        <f t="shared" si="1"/>
        <v>0.26834563612679113</v>
      </c>
      <c r="M34" s="48">
        <v>1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7"/>
  <sheetViews>
    <sheetView showGridLines="0" topLeftCell="B1" zoomScale="115" zoomScaleNormal="115" workbookViewId="0">
      <selection activeCell="G10" sqref="G1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50">
        <v>156</v>
      </c>
      <c r="D4" s="1">
        <v>174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3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3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30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30" x14ac:dyDescent="0.3">
      <c r="C9" s="53" t="s">
        <v>38</v>
      </c>
      <c r="D9" s="27"/>
      <c r="E9" s="27"/>
      <c r="F9" s="53" t="str">
        <f>+PCI_U13!F11</f>
        <v>K0+469,98</v>
      </c>
      <c r="G9" s="27"/>
      <c r="H9" s="106" t="s">
        <v>70</v>
      </c>
      <c r="I9" s="106"/>
      <c r="J9" s="9"/>
      <c r="K9" s="111"/>
      <c r="L9" s="112"/>
      <c r="M9" s="113"/>
    </row>
    <row r="10" spans="3:30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30" x14ac:dyDescent="0.3">
      <c r="C11" s="53" t="s">
        <v>39</v>
      </c>
      <c r="D11" s="27"/>
      <c r="E11" s="27"/>
      <c r="F11" s="53" t="s">
        <v>190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  <c r="AD11" t="s">
        <v>68</v>
      </c>
    </row>
    <row r="12" spans="3:3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30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30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3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3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13</v>
      </c>
      <c r="D26" s="29" t="s">
        <v>43</v>
      </c>
      <c r="E26" s="30">
        <f>0.3*0.28</f>
        <v>8.4000000000000005E-2</v>
      </c>
      <c r="F26" s="30">
        <f>0.35*0.29</f>
        <v>0.10149999999999999</v>
      </c>
      <c r="G26" s="30">
        <f>0.68*0.34</f>
        <v>0.23120000000000004</v>
      </c>
      <c r="H26" s="30"/>
      <c r="I26" s="30"/>
      <c r="J26" s="30"/>
      <c r="K26" s="30">
        <f>+SUM(E26:J26)</f>
        <v>0.41670000000000007</v>
      </c>
      <c r="L26" s="30">
        <f>+(K26/$H$11)*100</f>
        <v>0.18093790707772472</v>
      </c>
      <c r="M26" s="48">
        <v>23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44</v>
      </c>
      <c r="E27" s="30">
        <f>1.5*0.6</f>
        <v>0.89999999999999991</v>
      </c>
      <c r="F27" s="30"/>
      <c r="G27" s="30"/>
      <c r="H27" s="30"/>
      <c r="I27" s="30"/>
      <c r="J27" s="30"/>
      <c r="K27" s="30">
        <f t="shared" ref="K27:K32" si="0">+SUM(E27:J27)</f>
        <v>0.89999999999999991</v>
      </c>
      <c r="L27" s="30">
        <f t="shared" ref="L27:L36" si="1">+(K27/$H$11)*100</f>
        <v>0.39079461571862784</v>
      </c>
      <c r="M27" s="40">
        <v>4</v>
      </c>
    </row>
    <row r="28" spans="3:25" x14ac:dyDescent="0.3">
      <c r="C28" s="29">
        <v>3</v>
      </c>
      <c r="D28" s="29" t="s">
        <v>43</v>
      </c>
      <c r="E28" s="30">
        <f>6.1*3.04</f>
        <v>18.544</v>
      </c>
      <c r="F28" s="30">
        <f>2.12*1.7</f>
        <v>3.6040000000000001</v>
      </c>
      <c r="G28" s="30"/>
      <c r="H28" s="30"/>
      <c r="I28" s="30"/>
      <c r="J28" s="30"/>
      <c r="K28" s="30">
        <f t="shared" si="0"/>
        <v>22.148</v>
      </c>
      <c r="L28" s="30">
        <f t="shared" si="1"/>
        <v>9.6170212765957448</v>
      </c>
      <c r="M28" s="33">
        <v>28.9</v>
      </c>
    </row>
    <row r="29" spans="3:25" x14ac:dyDescent="0.3">
      <c r="C29" s="29">
        <v>10</v>
      </c>
      <c r="D29" s="29" t="s">
        <v>45</v>
      </c>
      <c r="E29" s="30">
        <f>3*0.6</f>
        <v>1.7999999999999998</v>
      </c>
      <c r="F29" s="30"/>
      <c r="G29" s="30"/>
      <c r="H29" s="30"/>
      <c r="I29" s="30"/>
      <c r="J29" s="30"/>
      <c r="K29" s="30">
        <f t="shared" si="0"/>
        <v>1.7999999999999998</v>
      </c>
      <c r="L29" s="30">
        <f t="shared" si="1"/>
        <v>0.78158923143725567</v>
      </c>
      <c r="M29" s="45">
        <v>10</v>
      </c>
    </row>
    <row r="30" spans="3:25" x14ac:dyDescent="0.3">
      <c r="C30" s="29">
        <v>11</v>
      </c>
      <c r="D30" s="29" t="s">
        <v>43</v>
      </c>
      <c r="E30" s="30">
        <f>8.4*1.8</f>
        <v>15.120000000000001</v>
      </c>
      <c r="F30" s="30">
        <f>6.4*4.5</f>
        <v>28.8</v>
      </c>
      <c r="G30" s="30"/>
      <c r="H30" s="30"/>
      <c r="I30" s="30"/>
      <c r="J30" s="30"/>
      <c r="K30" s="30">
        <f t="shared" si="0"/>
        <v>43.92</v>
      </c>
      <c r="L30" s="30">
        <f t="shared" si="1"/>
        <v>19.070777247069039</v>
      </c>
      <c r="M30" s="41">
        <v>66</v>
      </c>
    </row>
    <row r="31" spans="3:25" x14ac:dyDescent="0.3">
      <c r="C31" s="29">
        <v>7</v>
      </c>
      <c r="D31" s="29" t="s">
        <v>44</v>
      </c>
      <c r="E31" s="30">
        <f>1.6*0.6</f>
        <v>0.96</v>
      </c>
      <c r="F31" s="30">
        <f>1.95*0.6</f>
        <v>1.17</v>
      </c>
      <c r="G31" s="30"/>
      <c r="H31" s="30"/>
      <c r="I31" s="30"/>
      <c r="J31" s="30"/>
      <c r="K31" s="30">
        <f t="shared" si="0"/>
        <v>2.13</v>
      </c>
      <c r="L31" s="30">
        <f t="shared" si="1"/>
        <v>0.92488059053408589</v>
      </c>
      <c r="M31" s="31">
        <v>6.5</v>
      </c>
    </row>
    <row r="32" spans="3:25" x14ac:dyDescent="0.3">
      <c r="C32" s="29">
        <v>1</v>
      </c>
      <c r="D32" s="29" t="s">
        <v>43</v>
      </c>
      <c r="E32" s="30">
        <f>2.6*1.96</f>
        <v>5.0960000000000001</v>
      </c>
      <c r="F32" s="30">
        <f>1.4*1.6</f>
        <v>2.2399999999999998</v>
      </c>
      <c r="G32" s="30">
        <f>3.7*1.05</f>
        <v>3.8850000000000002</v>
      </c>
      <c r="H32" s="30"/>
      <c r="I32" s="30"/>
      <c r="J32" s="30"/>
      <c r="K32" s="30">
        <f t="shared" si="0"/>
        <v>11.221</v>
      </c>
      <c r="L32" s="30">
        <f t="shared" si="1"/>
        <v>4.8723404255319149</v>
      </c>
      <c r="M32" s="58">
        <v>53</v>
      </c>
    </row>
    <row r="33" spans="3:13" x14ac:dyDescent="0.3">
      <c r="C33" s="29">
        <v>4</v>
      </c>
      <c r="D33" s="29" t="s">
        <v>44</v>
      </c>
      <c r="E33" s="30">
        <f>5.56*0.43</f>
        <v>2.3907999999999996</v>
      </c>
      <c r="F33" s="30"/>
      <c r="G33" s="30"/>
      <c r="H33" s="30"/>
      <c r="I33" s="30"/>
      <c r="J33" s="30"/>
      <c r="K33" s="30">
        <f>+SUM(E33:J33)</f>
        <v>2.3907999999999996</v>
      </c>
      <c r="L33" s="30">
        <f>+(K33/$H$11)*100</f>
        <v>1.0381241858445502</v>
      </c>
      <c r="M33" s="67">
        <v>12.5</v>
      </c>
    </row>
    <row r="34" spans="3:13" x14ac:dyDescent="0.3">
      <c r="C34" s="43">
        <v>4</v>
      </c>
      <c r="D34" s="43" t="s">
        <v>43</v>
      </c>
      <c r="E34" s="56">
        <f>5.9*0.38</f>
        <v>2.242</v>
      </c>
      <c r="F34" s="56"/>
      <c r="G34" s="56"/>
      <c r="H34" s="56"/>
      <c r="I34" s="56"/>
      <c r="J34" s="56"/>
      <c r="K34" s="30">
        <f>+SUM(E34:J34)</f>
        <v>2.242</v>
      </c>
      <c r="L34" s="30">
        <f t="shared" si="1"/>
        <v>0.9735128093790707</v>
      </c>
      <c r="M34" s="68">
        <v>33</v>
      </c>
    </row>
    <row r="35" spans="3:13" x14ac:dyDescent="0.3">
      <c r="C35" s="49">
        <v>3</v>
      </c>
      <c r="D35" s="49" t="s">
        <v>44</v>
      </c>
      <c r="E35" s="57">
        <f>2.8*1</f>
        <v>2.8</v>
      </c>
      <c r="F35" s="57"/>
      <c r="G35" s="57"/>
      <c r="H35" s="57"/>
      <c r="I35" s="57"/>
      <c r="J35" s="57"/>
      <c r="K35" s="30">
        <f>+SUM(E35:J35)</f>
        <v>2.8</v>
      </c>
      <c r="L35" s="30">
        <f t="shared" si="1"/>
        <v>1.2158054711246198</v>
      </c>
      <c r="M35" s="65">
        <v>3</v>
      </c>
    </row>
    <row r="36" spans="3:13" x14ac:dyDescent="0.3">
      <c r="C36" s="54">
        <v>3</v>
      </c>
      <c r="D36" s="54" t="s">
        <v>45</v>
      </c>
      <c r="E36" s="46">
        <f>1.24*1.1</f>
        <v>1.3640000000000001</v>
      </c>
      <c r="F36" s="46"/>
      <c r="G36" s="46"/>
      <c r="H36" s="46"/>
      <c r="I36" s="46"/>
      <c r="J36" s="46"/>
      <c r="K36" s="30">
        <f>+SUM(E36:J36)</f>
        <v>1.3640000000000001</v>
      </c>
      <c r="L36" s="30">
        <f t="shared" si="1"/>
        <v>0.59227095093356497</v>
      </c>
      <c r="M36" s="66">
        <v>1</v>
      </c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175</v>
      </c>
      <c r="D4" s="1">
        <v>184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+PCI_U14!F11</f>
        <v>K0+506,47</v>
      </c>
      <c r="G9" s="27"/>
      <c r="H9" s="106" t="s">
        <v>71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191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50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15" x14ac:dyDescent="0.3">
      <c r="C26" s="29">
        <v>1</v>
      </c>
      <c r="D26" s="29" t="s">
        <v>43</v>
      </c>
      <c r="E26" s="30">
        <f>2.3*1.7</f>
        <v>3.9099999999999997</v>
      </c>
      <c r="F26" s="30">
        <f>2.6*1.7</f>
        <v>4.42</v>
      </c>
      <c r="G26" s="30">
        <f>2.6*2.3</f>
        <v>5.9799999999999995</v>
      </c>
      <c r="H26" s="30">
        <f>3.1*1.7</f>
        <v>5.27</v>
      </c>
      <c r="I26" s="30">
        <f>7.7*1.8</f>
        <v>13.860000000000001</v>
      </c>
      <c r="J26" s="30">
        <f>(6.16*1.99)+(11*1.4)</f>
        <v>27.6584</v>
      </c>
      <c r="K26" s="30">
        <f>+SUM(E26:J26)</f>
        <v>61.098399999999998</v>
      </c>
      <c r="L26" s="30">
        <f>+(K26/$H$11)*100</f>
        <v>26.529917498914457</v>
      </c>
      <c r="M26" s="44">
        <v>73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0.94*0.6</f>
        <v>0.56399999999999995</v>
      </c>
      <c r="F27" s="30"/>
      <c r="G27" s="30"/>
      <c r="H27" s="30"/>
      <c r="I27" s="30"/>
      <c r="J27" s="30"/>
      <c r="K27" s="30">
        <f>+SUM(E27:J27)</f>
        <v>0.56399999999999995</v>
      </c>
      <c r="L27" s="30">
        <f>+(K27/$H$11)*100</f>
        <v>0.24489795918367341</v>
      </c>
      <c r="M27" s="43">
        <v>0</v>
      </c>
    </row>
    <row r="28" spans="3:15" x14ac:dyDescent="0.3">
      <c r="C28" s="29">
        <v>4</v>
      </c>
      <c r="D28" s="29" t="s">
        <v>45</v>
      </c>
      <c r="E28" s="30">
        <f>7.87*0.43</f>
        <v>3.3841000000000001</v>
      </c>
      <c r="F28" s="30"/>
      <c r="G28" s="30"/>
      <c r="H28" s="30"/>
      <c r="I28" s="30"/>
      <c r="J28" s="30"/>
      <c r="K28" s="30">
        <f>+SUM(E28:J28)</f>
        <v>3.3841000000000001</v>
      </c>
      <c r="L28" s="30">
        <f>+(K28/$H$11)*100</f>
        <v>1.4694311767260095</v>
      </c>
      <c r="M28" s="47">
        <v>4</v>
      </c>
    </row>
    <row r="29" spans="3:15" x14ac:dyDescent="0.3">
      <c r="C29" s="29">
        <v>4</v>
      </c>
      <c r="D29" s="29" t="s">
        <v>44</v>
      </c>
      <c r="E29" s="30">
        <f>12.53*0.4</f>
        <v>5.0120000000000005</v>
      </c>
      <c r="F29" s="30"/>
      <c r="G29" s="30"/>
      <c r="H29" s="30"/>
      <c r="I29" s="30"/>
      <c r="J29" s="30"/>
      <c r="K29" s="30">
        <f>+SUM(E29:J29)</f>
        <v>5.0120000000000005</v>
      </c>
      <c r="L29" s="30">
        <f>+(K29/$H$11)*100</f>
        <v>2.1762917933130699</v>
      </c>
      <c r="M29" s="68">
        <v>18.5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43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F11" sqref="F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185</v>
      </c>
      <c r="D4" s="1">
        <v>191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53" t="s">
        <v>38</v>
      </c>
      <c r="D9" s="27"/>
      <c r="E9" s="27"/>
      <c r="F9" s="53" t="str">
        <f>+PCI_U15!F11</f>
        <v>K0+542,62</v>
      </c>
      <c r="G9" s="27"/>
      <c r="H9" s="106" t="s">
        <v>72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53" t="s">
        <v>39</v>
      </c>
      <c r="D11" s="27"/>
      <c r="E11" s="27"/>
      <c r="F11" s="53" t="s">
        <v>77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68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1.7*0.92</f>
        <v>1.5640000000000001</v>
      </c>
      <c r="F26" s="30"/>
      <c r="G26" s="30"/>
      <c r="H26" s="30"/>
      <c r="I26" s="30"/>
      <c r="J26" s="30"/>
      <c r="K26" s="30">
        <f>+SUM(E26:J26)</f>
        <v>1.5640000000000001</v>
      </c>
      <c r="L26" s="30">
        <f>+(K26/$H$11)*100</f>
        <v>0.67911419887103786</v>
      </c>
      <c r="M26" s="58">
        <v>25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43</v>
      </c>
      <c r="E27" s="30">
        <f>4.1*0.6</f>
        <v>2.4599999999999995</v>
      </c>
      <c r="F27" s="30">
        <f>2.2*0.6</f>
        <v>1.32</v>
      </c>
      <c r="G27" s="30"/>
      <c r="H27" s="30"/>
      <c r="I27" s="30"/>
      <c r="J27" s="30"/>
      <c r="K27" s="30">
        <f>+SUM(E27:J27)</f>
        <v>3.7799999999999994</v>
      </c>
      <c r="L27" s="30">
        <f>+(K27/$H$11)*100</f>
        <v>1.6413373860182368</v>
      </c>
      <c r="M27" s="45">
        <v>10</v>
      </c>
    </row>
    <row r="28" spans="3:20" x14ac:dyDescent="0.3">
      <c r="C28" s="29">
        <v>3</v>
      </c>
      <c r="D28" s="29" t="s">
        <v>43</v>
      </c>
      <c r="E28" s="30">
        <f>9.1*1.13</f>
        <v>10.282999999999999</v>
      </c>
      <c r="F28" s="30"/>
      <c r="G28" s="30"/>
      <c r="H28" s="30"/>
      <c r="I28" s="30"/>
      <c r="J28" s="30"/>
      <c r="K28" s="30">
        <f>+SUM(E28:J28)</f>
        <v>10.282999999999999</v>
      </c>
      <c r="L28" s="30">
        <f>+(K28/$H$11)*100</f>
        <v>4.4650455927051667</v>
      </c>
      <c r="M28" s="33">
        <v>29</v>
      </c>
    </row>
    <row r="29" spans="3:20" x14ac:dyDescent="0.3">
      <c r="C29" s="29">
        <v>4</v>
      </c>
      <c r="D29" s="29" t="s">
        <v>45</v>
      </c>
      <c r="E29" s="30">
        <f>9.1*0.4</f>
        <v>3.64</v>
      </c>
      <c r="F29" s="30"/>
      <c r="G29" s="30"/>
      <c r="H29" s="30"/>
      <c r="I29" s="30"/>
      <c r="J29" s="30"/>
      <c r="K29" s="30">
        <f>+SUM(E29:J29)</f>
        <v>3.64</v>
      </c>
      <c r="L29" s="30">
        <f>+(K29/$H$11)*100</f>
        <v>1.5805471124620059</v>
      </c>
      <c r="M29" s="67">
        <v>4</v>
      </c>
    </row>
    <row r="30" spans="3:20" x14ac:dyDescent="0.3">
      <c r="C30" s="29">
        <v>3</v>
      </c>
      <c r="D30" s="29" t="s">
        <v>44</v>
      </c>
      <c r="E30" s="30">
        <f>1.3*1.13</f>
        <v>1.4689999999999999</v>
      </c>
      <c r="F30" s="30"/>
      <c r="G30" s="30"/>
      <c r="H30" s="30"/>
      <c r="I30" s="30"/>
      <c r="J30" s="30"/>
      <c r="K30" s="30">
        <f>+SUM(E30:J30)</f>
        <v>1.4689999999999999</v>
      </c>
      <c r="L30" s="30">
        <f>+(K30/$H$11)*100</f>
        <v>0.63786365610073803</v>
      </c>
      <c r="M30" s="44">
        <v>2</v>
      </c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56"/>
      <c r="L31" s="56"/>
      <c r="M31" s="43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56"/>
      <c r="L32" s="56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+PCI_U16!D4+1</f>
        <v>192</v>
      </c>
      <c r="D4" s="1">
        <v>206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+PCI_U16!F11</f>
        <v>K0+578,74</v>
      </c>
      <c r="G9" s="27"/>
      <c r="H9" s="106" t="s">
        <v>73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192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52</v>
      </c>
      <c r="Y11" t="s">
        <v>68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44022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10</v>
      </c>
      <c r="D26" s="29" t="s">
        <v>43</v>
      </c>
      <c r="E26" s="30">
        <f>1.8*0.6</f>
        <v>1.08</v>
      </c>
      <c r="F26" s="30">
        <f>1.7*0.6</f>
        <v>1.02</v>
      </c>
      <c r="G26" s="30"/>
      <c r="H26" s="30"/>
      <c r="I26" s="30"/>
      <c r="J26" s="30"/>
      <c r="K26" s="30">
        <f>+SUM(E26:J26)</f>
        <v>2.1</v>
      </c>
      <c r="L26" s="30">
        <f>+(K26/$H$11)*100</f>
        <v>0.91185410334346495</v>
      </c>
      <c r="M26" s="45">
        <v>7.8</v>
      </c>
      <c r="O26" t="s">
        <v>47</v>
      </c>
      <c r="T26" t="s">
        <v>50</v>
      </c>
      <c r="Y26" t="s">
        <v>81</v>
      </c>
    </row>
    <row r="27" spans="3:25" x14ac:dyDescent="0.3">
      <c r="C27" s="29">
        <v>1</v>
      </c>
      <c r="D27" s="29" t="s">
        <v>43</v>
      </c>
      <c r="E27" s="30">
        <f>3.9*1.87</f>
        <v>7.2930000000000001</v>
      </c>
      <c r="F27" s="30">
        <f>5.05*1.85</f>
        <v>9.3424999999999994</v>
      </c>
      <c r="G27" s="30"/>
      <c r="H27" s="30"/>
      <c r="I27" s="30"/>
      <c r="J27" s="30"/>
      <c r="K27" s="30">
        <f t="shared" ref="K27:K34" si="0">+SUM(E27:J27)</f>
        <v>16.6355</v>
      </c>
      <c r="L27" s="30">
        <f t="shared" ref="L27:L34" si="1">+(K27/$H$11)*100</f>
        <v>7.2234042553191493</v>
      </c>
      <c r="M27" s="58">
        <v>58.9</v>
      </c>
    </row>
    <row r="28" spans="3:25" x14ac:dyDescent="0.3">
      <c r="C28" s="29">
        <v>13</v>
      </c>
      <c r="D28" s="29" t="s">
        <v>43</v>
      </c>
      <c r="E28" s="30">
        <f>0.26*0.25</f>
        <v>6.5000000000000002E-2</v>
      </c>
      <c r="F28" s="30">
        <f>0.69*0.205</f>
        <v>0.14144999999999999</v>
      </c>
      <c r="G28" s="30"/>
      <c r="H28" s="30"/>
      <c r="I28" s="30"/>
      <c r="J28" s="30"/>
      <c r="K28" s="30">
        <f t="shared" si="0"/>
        <v>0.20644999999999999</v>
      </c>
      <c r="L28" s="30">
        <f t="shared" si="1"/>
        <v>8.9643942683456351E-2</v>
      </c>
      <c r="M28" s="43">
        <v>0</v>
      </c>
    </row>
    <row r="29" spans="3:25" x14ac:dyDescent="0.3">
      <c r="C29" s="29">
        <v>10</v>
      </c>
      <c r="D29" s="29" t="s">
        <v>45</v>
      </c>
      <c r="E29" s="30">
        <f>2.19*0.6</f>
        <v>1.3139999999999998</v>
      </c>
      <c r="F29" s="30">
        <f>0.86*0.6</f>
        <v>0.51600000000000001</v>
      </c>
      <c r="G29" s="30"/>
      <c r="H29" s="30"/>
      <c r="I29" s="30"/>
      <c r="J29" s="30"/>
      <c r="K29" s="30">
        <f t="shared" si="0"/>
        <v>1.8299999999999998</v>
      </c>
      <c r="L29" s="30">
        <f t="shared" si="1"/>
        <v>0.79461571862787661</v>
      </c>
      <c r="M29" s="40">
        <v>2</v>
      </c>
    </row>
    <row r="30" spans="3:25" x14ac:dyDescent="0.3">
      <c r="C30" s="29">
        <v>3</v>
      </c>
      <c r="D30" s="29" t="s">
        <v>44</v>
      </c>
      <c r="E30" s="30">
        <f>3.77*0.92</f>
        <v>3.4684000000000004</v>
      </c>
      <c r="F30" s="30"/>
      <c r="G30" s="30"/>
      <c r="H30" s="30"/>
      <c r="I30" s="30"/>
      <c r="J30" s="30"/>
      <c r="K30" s="30">
        <f t="shared" si="0"/>
        <v>3.4684000000000004</v>
      </c>
      <c r="L30" s="30">
        <f t="shared" si="1"/>
        <v>1.5060356057316544</v>
      </c>
      <c r="M30" s="44">
        <v>4</v>
      </c>
    </row>
    <row r="31" spans="3:25" x14ac:dyDescent="0.3">
      <c r="C31" s="29">
        <v>10</v>
      </c>
      <c r="D31" s="29" t="s">
        <v>44</v>
      </c>
      <c r="E31" s="30">
        <f>1.53*0.6</f>
        <v>0.91799999999999993</v>
      </c>
      <c r="F31" s="30"/>
      <c r="G31" s="30"/>
      <c r="H31" s="30"/>
      <c r="I31" s="30"/>
      <c r="J31" s="30"/>
      <c r="K31" s="30">
        <f t="shared" si="0"/>
        <v>0.91799999999999993</v>
      </c>
      <c r="L31" s="30">
        <f t="shared" si="1"/>
        <v>0.39861050803300041</v>
      </c>
      <c r="M31" s="43">
        <v>0</v>
      </c>
    </row>
    <row r="32" spans="3:25" x14ac:dyDescent="0.3">
      <c r="C32" s="29">
        <v>4</v>
      </c>
      <c r="D32" s="29" t="s">
        <v>45</v>
      </c>
      <c r="E32" s="30">
        <f>5*0.39</f>
        <v>1.9500000000000002</v>
      </c>
      <c r="F32" s="30"/>
      <c r="G32" s="30"/>
      <c r="H32" s="30"/>
      <c r="I32" s="30"/>
      <c r="J32" s="30"/>
      <c r="K32" s="30">
        <f t="shared" si="0"/>
        <v>1.9500000000000002</v>
      </c>
      <c r="L32" s="30">
        <f t="shared" si="1"/>
        <v>0.84672166739036048</v>
      </c>
      <c r="M32" s="67">
        <v>2</v>
      </c>
    </row>
    <row r="33" spans="3:13" x14ac:dyDescent="0.3">
      <c r="C33" s="29">
        <v>16</v>
      </c>
      <c r="D33" s="29" t="s">
        <v>43</v>
      </c>
      <c r="E33" s="30">
        <f>23.8*0.26</f>
        <v>6.1880000000000006</v>
      </c>
      <c r="F33" s="30"/>
      <c r="G33" s="30"/>
      <c r="H33" s="30"/>
      <c r="I33" s="30"/>
      <c r="J33" s="30"/>
      <c r="K33" s="30">
        <f t="shared" si="0"/>
        <v>6.1880000000000006</v>
      </c>
      <c r="L33" s="30">
        <f t="shared" si="1"/>
        <v>2.6869300911854106</v>
      </c>
      <c r="M33" s="48">
        <v>29</v>
      </c>
    </row>
    <row r="34" spans="3:13" x14ac:dyDescent="0.3">
      <c r="C34" s="43">
        <v>3</v>
      </c>
      <c r="D34" s="43" t="s">
        <v>43</v>
      </c>
      <c r="E34" s="56">
        <f>1.03*1.68</f>
        <v>1.7303999999999999</v>
      </c>
      <c r="F34" s="56"/>
      <c r="G34" s="56"/>
      <c r="H34" s="56"/>
      <c r="I34" s="56"/>
      <c r="J34" s="56"/>
      <c r="K34" s="30">
        <f t="shared" si="0"/>
        <v>1.7303999999999999</v>
      </c>
      <c r="L34" s="30">
        <f t="shared" si="1"/>
        <v>0.75136778115501512</v>
      </c>
      <c r="M34" s="33">
        <v>5.5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F11" sqref="F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+PCI_U17!D4+1</f>
        <v>207</v>
      </c>
      <c r="D4" s="1">
        <v>221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+PCI_U17!F11</f>
        <v>K0+616,39</v>
      </c>
      <c r="G9" s="27"/>
      <c r="H9" s="106" t="s">
        <v>74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78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3</v>
      </c>
      <c r="D26" s="29" t="s">
        <v>43</v>
      </c>
      <c r="E26" s="30">
        <f>1.53*0.63</f>
        <v>0.96389999999999998</v>
      </c>
      <c r="F26" s="30"/>
      <c r="G26" s="30"/>
      <c r="H26" s="30"/>
      <c r="I26" s="30"/>
      <c r="J26" s="30"/>
      <c r="K26" s="30">
        <f>+SUM(E26:J26)</f>
        <v>0.96389999999999998</v>
      </c>
      <c r="L26" s="30">
        <f>+(K26/$H$11)*100</f>
        <v>0.41854103343465043</v>
      </c>
      <c r="M26" s="33">
        <v>3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44</v>
      </c>
      <c r="E27" s="30">
        <f>2.72*0.6</f>
        <v>1.6320000000000001</v>
      </c>
      <c r="F27" s="30"/>
      <c r="G27" s="30"/>
      <c r="H27" s="30"/>
      <c r="I27" s="30"/>
      <c r="J27" s="30"/>
      <c r="K27" s="30">
        <f t="shared" ref="K27:K32" si="0">+SUM(E27:J27)</f>
        <v>1.6320000000000001</v>
      </c>
      <c r="L27" s="30">
        <f t="shared" ref="L27:L35" si="1">+(K27/$H$11)*100</f>
        <v>0.70864090316977857</v>
      </c>
      <c r="M27" s="40">
        <v>1</v>
      </c>
    </row>
    <row r="28" spans="3:25" x14ac:dyDescent="0.3">
      <c r="C28" s="29">
        <v>10</v>
      </c>
      <c r="D28" s="29" t="s">
        <v>45</v>
      </c>
      <c r="E28" s="30">
        <f>1.53*0.6</f>
        <v>0.91799999999999993</v>
      </c>
      <c r="F28" s="30">
        <f>1.57*0.6</f>
        <v>0.94199999999999995</v>
      </c>
      <c r="G28" s="30"/>
      <c r="H28" s="30"/>
      <c r="I28" s="30"/>
      <c r="J28" s="30"/>
      <c r="K28" s="30">
        <f t="shared" si="0"/>
        <v>1.8599999999999999</v>
      </c>
      <c r="L28" s="30">
        <f t="shared" si="1"/>
        <v>0.80764220581849755</v>
      </c>
      <c r="M28" s="43">
        <v>0</v>
      </c>
    </row>
    <row r="29" spans="3:25" x14ac:dyDescent="0.3">
      <c r="C29" s="29">
        <v>10</v>
      </c>
      <c r="D29" s="29" t="s">
        <v>43</v>
      </c>
      <c r="E29" s="30">
        <f>2*0.6</f>
        <v>1.2</v>
      </c>
      <c r="F29" s="30">
        <f>1.24*0.6</f>
        <v>0.74399999999999999</v>
      </c>
      <c r="G29" s="30">
        <f>0.97*0.6</f>
        <v>0.58199999999999996</v>
      </c>
      <c r="H29" s="30">
        <f>1.36*0.6</f>
        <v>0.81600000000000006</v>
      </c>
      <c r="I29" s="30"/>
      <c r="J29" s="30"/>
      <c r="K29" s="30">
        <f t="shared" si="0"/>
        <v>3.3419999999999996</v>
      </c>
      <c r="L29" s="30">
        <f t="shared" si="1"/>
        <v>1.4511506730351713</v>
      </c>
      <c r="M29" s="45">
        <v>21</v>
      </c>
    </row>
    <row r="30" spans="3:25" x14ac:dyDescent="0.3">
      <c r="C30" s="29">
        <v>1</v>
      </c>
      <c r="D30" s="29" t="s">
        <v>44</v>
      </c>
      <c r="E30" s="30">
        <f>1.64*1.3</f>
        <v>2.1320000000000001</v>
      </c>
      <c r="F30" s="30"/>
      <c r="G30" s="30"/>
      <c r="H30" s="30"/>
      <c r="I30" s="30"/>
      <c r="J30" s="30"/>
      <c r="K30" s="30">
        <f t="shared" si="0"/>
        <v>2.1320000000000001</v>
      </c>
      <c r="L30" s="30">
        <f t="shared" si="1"/>
        <v>0.92574902301346074</v>
      </c>
      <c r="M30" s="44">
        <v>6</v>
      </c>
    </row>
    <row r="31" spans="3:25" x14ac:dyDescent="0.3">
      <c r="C31" s="29">
        <v>13</v>
      </c>
      <c r="D31" s="29" t="s">
        <v>43</v>
      </c>
      <c r="E31" s="30">
        <f>0.75*0.34</f>
        <v>0.255</v>
      </c>
      <c r="F31" s="30"/>
      <c r="G31" s="30"/>
      <c r="H31" s="30"/>
      <c r="I31" s="30"/>
      <c r="J31" s="30"/>
      <c r="K31" s="30">
        <f t="shared" si="0"/>
        <v>0.255</v>
      </c>
      <c r="L31" s="30">
        <f t="shared" si="1"/>
        <v>0.1107251411202779</v>
      </c>
      <c r="M31" s="48">
        <v>20</v>
      </c>
    </row>
    <row r="32" spans="3:25" x14ac:dyDescent="0.3">
      <c r="C32" s="29">
        <v>1</v>
      </c>
      <c r="D32" s="29" t="s">
        <v>45</v>
      </c>
      <c r="E32" s="30">
        <f>0.87*0.4</f>
        <v>0.34800000000000003</v>
      </c>
      <c r="F32" s="30"/>
      <c r="G32" s="30"/>
      <c r="H32" s="30"/>
      <c r="I32" s="30"/>
      <c r="J32" s="30"/>
      <c r="K32" s="30">
        <f t="shared" si="0"/>
        <v>0.34800000000000003</v>
      </c>
      <c r="L32" s="30">
        <f t="shared" si="1"/>
        <v>0.15110725141120279</v>
      </c>
      <c r="M32" s="43">
        <v>0</v>
      </c>
    </row>
    <row r="33" spans="3:13" x14ac:dyDescent="0.3">
      <c r="C33" s="29">
        <v>1</v>
      </c>
      <c r="D33" s="29" t="s">
        <v>43</v>
      </c>
      <c r="E33" s="30">
        <f>1.3*0.72</f>
        <v>0.93599999999999994</v>
      </c>
      <c r="F33" s="30">
        <f>0.83*1.8</f>
        <v>1.494</v>
      </c>
      <c r="G33" s="30"/>
      <c r="H33" s="30"/>
      <c r="I33" s="30"/>
      <c r="J33" s="30"/>
      <c r="K33" s="30">
        <f>+SUM(E33:J33)</f>
        <v>2.4299999999999997</v>
      </c>
      <c r="L33" s="30">
        <f>+(K33/$H$11)*100</f>
        <v>1.0551454624402952</v>
      </c>
      <c r="M33" s="67">
        <v>9.8000000000000007</v>
      </c>
    </row>
    <row r="34" spans="3:13" x14ac:dyDescent="0.3">
      <c r="C34" s="43">
        <v>3</v>
      </c>
      <c r="D34" s="43" t="s">
        <v>44</v>
      </c>
      <c r="E34" s="56">
        <f>0.95*0.45</f>
        <v>0.42749999999999999</v>
      </c>
      <c r="F34" s="56"/>
      <c r="G34" s="56"/>
      <c r="H34" s="56"/>
      <c r="I34" s="56"/>
      <c r="J34" s="56"/>
      <c r="K34" s="30">
        <f>+SUM(E34:J34)</f>
        <v>0.42749999999999999</v>
      </c>
      <c r="L34" s="30">
        <f t="shared" si="1"/>
        <v>0.18562744246634824</v>
      </c>
      <c r="M34" s="43">
        <v>0</v>
      </c>
    </row>
    <row r="35" spans="3:13" x14ac:dyDescent="0.3">
      <c r="C35" s="49">
        <v>3</v>
      </c>
      <c r="D35" s="49" t="s">
        <v>45</v>
      </c>
      <c r="E35" s="57">
        <f>1.02*0.59</f>
        <v>0.6018</v>
      </c>
      <c r="F35" s="57"/>
      <c r="G35" s="57"/>
      <c r="H35" s="57"/>
      <c r="I35" s="57"/>
      <c r="J35" s="57"/>
      <c r="K35" s="30">
        <f>+SUM(E35:J35)</f>
        <v>0.6018</v>
      </c>
      <c r="L35" s="30">
        <f t="shared" si="1"/>
        <v>0.26131133304385584</v>
      </c>
      <c r="M35" s="43">
        <v>0</v>
      </c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F8" sqref="F8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9" width="8.109375" customWidth="1"/>
    <col min="10" max="10" width="9.3320312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+PCI_U18!D4+1</f>
        <v>222</v>
      </c>
      <c r="D4" s="1">
        <v>229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+PCI_U18!F11</f>
        <v>K0+653,04</v>
      </c>
      <c r="G9" s="27"/>
      <c r="H9" s="106" t="s">
        <v>75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79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82</v>
      </c>
      <c r="Y11" t="s">
        <v>83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10</v>
      </c>
      <c r="D26" s="29" t="s">
        <v>43</v>
      </c>
      <c r="E26" s="30">
        <f>1.53*0.6</f>
        <v>0.91799999999999993</v>
      </c>
      <c r="F26" s="30"/>
      <c r="G26" s="30"/>
      <c r="H26" s="30"/>
      <c r="I26" s="30"/>
      <c r="J26" s="30"/>
      <c r="K26" s="30">
        <f t="shared" ref="K26:K31" si="0">+SUM(E26:J26)</f>
        <v>0.91799999999999993</v>
      </c>
      <c r="L26" s="30">
        <f t="shared" ref="L26:L31" si="1">+(K26/$H$11)*100</f>
        <v>0.39861050803300041</v>
      </c>
      <c r="M26" s="40">
        <v>4</v>
      </c>
      <c r="O26" t="s">
        <v>47</v>
      </c>
      <c r="T26" t="s">
        <v>81</v>
      </c>
    </row>
    <row r="27" spans="3:20" x14ac:dyDescent="0.3">
      <c r="C27" s="29">
        <v>8</v>
      </c>
      <c r="D27" s="29" t="s">
        <v>45</v>
      </c>
      <c r="E27" s="30">
        <f>6.68*0.6</f>
        <v>4.008</v>
      </c>
      <c r="F27" s="30">
        <f>6.9*0.6</f>
        <v>4.1399999999999997</v>
      </c>
      <c r="G27" s="30"/>
      <c r="H27" s="30"/>
      <c r="I27" s="30"/>
      <c r="J27" s="30"/>
      <c r="K27" s="30">
        <f t="shared" si="0"/>
        <v>8.1479999999999997</v>
      </c>
      <c r="L27" s="30">
        <f t="shared" si="1"/>
        <v>3.5379939209726445</v>
      </c>
      <c r="M27" s="33">
        <v>2.5</v>
      </c>
    </row>
    <row r="28" spans="3:20" x14ac:dyDescent="0.3">
      <c r="C28" s="29">
        <v>16</v>
      </c>
      <c r="D28" s="29" t="s">
        <v>43</v>
      </c>
      <c r="E28" s="30">
        <f>28.3*0.4</f>
        <v>11.32</v>
      </c>
      <c r="F28" s="30"/>
      <c r="G28" s="30"/>
      <c r="H28" s="30"/>
      <c r="I28" s="30"/>
      <c r="J28" s="30"/>
      <c r="K28" s="30">
        <f t="shared" si="0"/>
        <v>11.32</v>
      </c>
      <c r="L28" s="30">
        <f t="shared" si="1"/>
        <v>4.9153278332609638</v>
      </c>
      <c r="M28" s="48">
        <v>38</v>
      </c>
    </row>
    <row r="29" spans="3:20" x14ac:dyDescent="0.3">
      <c r="C29" s="29">
        <v>10</v>
      </c>
      <c r="D29" s="29" t="s">
        <v>44</v>
      </c>
      <c r="E29" s="30">
        <f>3.5*0.6</f>
        <v>2.1</v>
      </c>
      <c r="F29" s="30"/>
      <c r="G29" s="30"/>
      <c r="H29" s="30"/>
      <c r="I29" s="30"/>
      <c r="J29" s="30"/>
      <c r="K29" s="30">
        <f t="shared" si="0"/>
        <v>2.1</v>
      </c>
      <c r="L29" s="30">
        <f t="shared" si="1"/>
        <v>0.91185410334346495</v>
      </c>
      <c r="M29" s="45">
        <v>2</v>
      </c>
    </row>
    <row r="30" spans="3:20" x14ac:dyDescent="0.3">
      <c r="C30" s="29">
        <v>4</v>
      </c>
      <c r="D30" s="29" t="s">
        <v>44</v>
      </c>
      <c r="E30" s="30">
        <f>5.27*0.4</f>
        <v>2.1080000000000001</v>
      </c>
      <c r="F30" s="30"/>
      <c r="G30" s="30"/>
      <c r="H30" s="30"/>
      <c r="I30" s="30"/>
      <c r="J30" s="30"/>
      <c r="K30" s="30">
        <f t="shared" si="0"/>
        <v>2.1080000000000001</v>
      </c>
      <c r="L30" s="30">
        <f t="shared" si="1"/>
        <v>0.91532783326096401</v>
      </c>
      <c r="M30" s="41">
        <v>12.5</v>
      </c>
    </row>
    <row r="31" spans="3:20" x14ac:dyDescent="0.3">
      <c r="C31" s="29">
        <v>5</v>
      </c>
      <c r="D31" s="29" t="s">
        <v>43</v>
      </c>
      <c r="E31" s="30">
        <f>3.06*2.6</f>
        <v>7.9560000000000004</v>
      </c>
      <c r="F31" s="30"/>
      <c r="G31" s="30"/>
      <c r="H31" s="30"/>
      <c r="I31" s="30"/>
      <c r="J31" s="30"/>
      <c r="K31" s="30">
        <f t="shared" si="0"/>
        <v>7.9560000000000004</v>
      </c>
      <c r="L31" s="30">
        <f t="shared" si="1"/>
        <v>3.4546244029526703</v>
      </c>
      <c r="M31" s="68">
        <v>46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89"/>
  <sheetViews>
    <sheetView showGridLines="0" topLeftCell="B1" zoomScale="115" zoomScaleNormal="115" workbookViewId="0">
      <selection activeCell="K43" sqref="K43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8.6640625" customWidth="1"/>
    <col min="12" max="12" width="8.77734375" customWidth="1"/>
    <col min="13" max="13" width="10.109375" customWidth="1"/>
    <col min="19" max="19" width="11.5546875" customWidth="1"/>
  </cols>
  <sheetData>
    <row r="1" spans="3:20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21">
        <v>12</v>
      </c>
      <c r="D3" s="1">
        <v>21</v>
      </c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21"/>
      <c r="D4" s="1"/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2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28" t="s">
        <v>38</v>
      </c>
      <c r="D9" s="27"/>
      <c r="E9" s="27"/>
      <c r="F9" s="28" t="str">
        <f>+PCI_U1!F11</f>
        <v>K0+036,15</v>
      </c>
      <c r="G9" s="27"/>
      <c r="H9" s="106" t="s">
        <v>49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2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28" t="s">
        <v>39</v>
      </c>
      <c r="D11" s="27"/>
      <c r="E11" s="27"/>
      <c r="F11" s="28" t="s">
        <v>183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23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22" t="s">
        <v>1</v>
      </c>
      <c r="D25" s="22" t="s">
        <v>29</v>
      </c>
      <c r="E25" s="126" t="s">
        <v>30</v>
      </c>
      <c r="F25" s="127"/>
      <c r="G25" s="127"/>
      <c r="H25" s="127"/>
      <c r="I25" s="127"/>
      <c r="J25" s="128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10</v>
      </c>
      <c r="D26" s="29" t="s">
        <v>43</v>
      </c>
      <c r="E26" s="30">
        <f>4.82*0.6</f>
        <v>2.8919999999999999</v>
      </c>
      <c r="F26" s="42"/>
      <c r="G26" s="42"/>
      <c r="H26" s="42"/>
      <c r="I26" s="42"/>
      <c r="J26" s="42"/>
      <c r="K26" s="30">
        <f t="shared" ref="K26:K31" si="0">+SUM(E26:J26)</f>
        <v>2.8919999999999999</v>
      </c>
      <c r="L26" s="30">
        <f t="shared" ref="L26:L31" si="1">+(K26/$H$11)*100</f>
        <v>1.2557533651758574</v>
      </c>
      <c r="M26" s="40">
        <v>9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6.9*1.8</f>
        <v>12.420000000000002</v>
      </c>
      <c r="F27" s="30">
        <f>12.8*1.7</f>
        <v>21.76</v>
      </c>
      <c r="G27" s="30">
        <f>2.98*1.3</f>
        <v>3.8740000000000001</v>
      </c>
      <c r="H27" s="30"/>
      <c r="I27" s="30"/>
      <c r="J27" s="30"/>
      <c r="K27" s="30">
        <f t="shared" si="0"/>
        <v>38.054000000000009</v>
      </c>
      <c r="L27" s="30">
        <f t="shared" si="1"/>
        <v>16.523664785062962</v>
      </c>
      <c r="M27" s="45">
        <v>66</v>
      </c>
    </row>
    <row r="28" spans="3:20" x14ac:dyDescent="0.3">
      <c r="C28" s="29">
        <v>11</v>
      </c>
      <c r="D28" s="29" t="s">
        <v>45</v>
      </c>
      <c r="E28" s="30">
        <f>9*3.2</f>
        <v>28.8</v>
      </c>
      <c r="F28" s="30"/>
      <c r="G28" s="30"/>
      <c r="H28" s="30"/>
      <c r="I28" s="30"/>
      <c r="J28" s="30"/>
      <c r="K28" s="30">
        <f t="shared" si="0"/>
        <v>28.8</v>
      </c>
      <c r="L28" s="30">
        <f t="shared" si="1"/>
        <v>12.505427702996091</v>
      </c>
      <c r="M28" s="41">
        <v>29</v>
      </c>
    </row>
    <row r="29" spans="3:20" x14ac:dyDescent="0.3">
      <c r="C29" s="29">
        <v>3</v>
      </c>
      <c r="D29" s="29" t="s">
        <v>45</v>
      </c>
      <c r="E29" s="30">
        <f>8.5*2.6</f>
        <v>22.1</v>
      </c>
      <c r="F29" s="30"/>
      <c r="G29" s="30"/>
      <c r="H29" s="30"/>
      <c r="I29" s="30"/>
      <c r="J29" s="30"/>
      <c r="K29" s="30">
        <f t="shared" si="0"/>
        <v>22.1</v>
      </c>
      <c r="L29" s="30">
        <f t="shared" si="1"/>
        <v>9.596178897090752</v>
      </c>
      <c r="M29" s="44">
        <v>8</v>
      </c>
    </row>
    <row r="30" spans="3:20" x14ac:dyDescent="0.3">
      <c r="C30" s="29">
        <v>3</v>
      </c>
      <c r="D30" s="29" t="s">
        <v>44</v>
      </c>
      <c r="E30" s="30">
        <f>5.5*2.8</f>
        <v>15.399999999999999</v>
      </c>
      <c r="F30" s="30"/>
      <c r="G30" s="30"/>
      <c r="H30" s="30"/>
      <c r="I30" s="30"/>
      <c r="J30" s="30"/>
      <c r="K30" s="30">
        <f t="shared" si="0"/>
        <v>15.399999999999999</v>
      </c>
      <c r="L30" s="30">
        <f t="shared" si="1"/>
        <v>6.6869300911854097</v>
      </c>
      <c r="M30" s="31">
        <v>13</v>
      </c>
    </row>
    <row r="31" spans="3:20" x14ac:dyDescent="0.3">
      <c r="C31" s="29">
        <v>10</v>
      </c>
      <c r="D31" s="29" t="s">
        <v>45</v>
      </c>
      <c r="E31" s="30">
        <f>2*0.6</f>
        <v>1.2</v>
      </c>
      <c r="F31" s="30">
        <f>1.3*0.6</f>
        <v>0.78</v>
      </c>
      <c r="G31" s="30">
        <f>0.95*0.6</f>
        <v>0.56999999999999995</v>
      </c>
      <c r="H31" s="30"/>
      <c r="I31" s="30"/>
      <c r="J31" s="30"/>
      <c r="K31" s="30">
        <f t="shared" si="0"/>
        <v>2.5499999999999998</v>
      </c>
      <c r="L31" s="30">
        <f t="shared" si="1"/>
        <v>1.1072514112027789</v>
      </c>
      <c r="M31" s="43">
        <v>0</v>
      </c>
    </row>
    <row r="32" spans="3:20" x14ac:dyDescent="0.3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</row>
    <row r="33" spans="2:19" x14ac:dyDescent="0.3"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9" x14ac:dyDescent="0.3"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2:19" x14ac:dyDescent="0.3">
      <c r="C35" s="24"/>
      <c r="D35" s="19"/>
      <c r="E35" s="19"/>
      <c r="F35" s="4"/>
      <c r="G35" s="4"/>
      <c r="H35" s="4"/>
      <c r="I35" s="4"/>
      <c r="J35" s="4"/>
      <c r="K35" s="19"/>
      <c r="L35" s="19"/>
      <c r="M35" s="19"/>
    </row>
    <row r="36" spans="2:19" x14ac:dyDescent="0.3">
      <c r="C36" s="24"/>
      <c r="D36" s="19"/>
      <c r="E36" s="19"/>
      <c r="F36" s="4"/>
      <c r="G36" s="4"/>
      <c r="H36" s="4"/>
      <c r="I36" s="4"/>
      <c r="J36" s="4"/>
      <c r="K36" s="19"/>
      <c r="L36" s="19"/>
      <c r="M36" s="19"/>
    </row>
    <row r="37" spans="2:19" x14ac:dyDescent="0.3">
      <c r="C37" s="2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2:19" x14ac:dyDescent="0.3">
      <c r="L38" s="100" t="s">
        <v>238</v>
      </c>
      <c r="M38" s="100">
        <f>+MAX(M26:M37)</f>
        <v>66</v>
      </c>
    </row>
    <row r="44" spans="2:19" ht="14.4" customHeight="1" x14ac:dyDescent="0.3">
      <c r="C44" s="101"/>
      <c r="D44" s="101"/>
      <c r="E44" s="101"/>
      <c r="F44" s="101"/>
    </row>
    <row r="45" spans="2:19" ht="14.4" customHeight="1" x14ac:dyDescent="0.3">
      <c r="B45" s="143"/>
      <c r="C45" s="143"/>
      <c r="D45" s="143"/>
      <c r="E45" s="143"/>
      <c r="F45" s="143"/>
      <c r="G45" s="138"/>
      <c r="H45" s="138"/>
      <c r="I45" s="134"/>
      <c r="J45" s="144"/>
      <c r="K45" s="144"/>
      <c r="L45" s="144"/>
      <c r="M45" s="144"/>
      <c r="N45" s="144"/>
      <c r="O45" s="144"/>
      <c r="P45" s="144"/>
      <c r="Q45" s="134"/>
      <c r="R45" s="134"/>
      <c r="S45" s="134"/>
    </row>
    <row r="46" spans="2:19" x14ac:dyDescent="0.3">
      <c r="B46" s="145"/>
      <c r="C46" s="145"/>
      <c r="D46" s="145"/>
      <c r="E46" s="136"/>
      <c r="F46" s="137"/>
      <c r="G46" s="137"/>
      <c r="H46" s="138"/>
      <c r="I46" s="134"/>
      <c r="J46" s="134"/>
      <c r="K46" s="134"/>
      <c r="L46" s="134"/>
      <c r="M46" s="134"/>
      <c r="N46" s="139"/>
      <c r="O46" s="134"/>
      <c r="P46" s="134"/>
      <c r="Q46" s="140"/>
      <c r="R46" s="134"/>
      <c r="S46" s="134"/>
    </row>
    <row r="47" spans="2:19" x14ac:dyDescent="0.3">
      <c r="B47" s="145"/>
      <c r="C47" s="145"/>
      <c r="D47" s="145"/>
      <c r="E47" s="141"/>
      <c r="F47" s="136"/>
      <c r="G47" s="138"/>
      <c r="H47" s="138"/>
      <c r="I47" s="134"/>
      <c r="J47" s="134"/>
      <c r="K47" s="134"/>
      <c r="L47" s="134"/>
      <c r="M47" s="134"/>
      <c r="N47" s="134"/>
      <c r="O47" s="134"/>
      <c r="P47" s="134"/>
      <c r="Q47" s="140"/>
      <c r="R47" s="134"/>
      <c r="S47" s="134"/>
    </row>
    <row r="48" spans="2:19" x14ac:dyDescent="0.3">
      <c r="B48" s="145"/>
      <c r="C48" s="145"/>
      <c r="D48" s="145"/>
      <c r="E48" s="141"/>
      <c r="F48" s="141"/>
      <c r="G48" s="138"/>
      <c r="H48" s="138"/>
      <c r="I48" s="134"/>
      <c r="J48" s="134"/>
      <c r="K48" s="134"/>
      <c r="L48" s="134"/>
      <c r="M48" s="134"/>
      <c r="N48" s="134"/>
      <c r="O48" s="134"/>
      <c r="P48" s="134"/>
      <c r="Q48" s="140"/>
      <c r="R48" s="134"/>
      <c r="S48" s="134"/>
    </row>
    <row r="49" spans="2:19" x14ac:dyDescent="0.3">
      <c r="B49" s="138"/>
      <c r="C49" s="134"/>
      <c r="D49" s="138"/>
      <c r="E49" s="141"/>
      <c r="F49" s="141"/>
      <c r="G49" s="138"/>
      <c r="H49" s="138"/>
      <c r="I49" s="134"/>
      <c r="J49" s="134"/>
      <c r="K49" s="134"/>
      <c r="L49" s="134"/>
      <c r="M49" s="134"/>
      <c r="N49" s="134"/>
      <c r="O49" s="134"/>
      <c r="P49" s="134"/>
      <c r="Q49" s="140"/>
      <c r="R49" s="134"/>
      <c r="S49" s="134"/>
    </row>
    <row r="50" spans="2:19" ht="14.4" customHeight="1" x14ac:dyDescent="0.3">
      <c r="B50" s="138"/>
      <c r="C50" s="134"/>
      <c r="D50" s="138"/>
      <c r="E50" s="141"/>
      <c r="F50" s="141"/>
      <c r="G50" s="138"/>
      <c r="H50" s="138"/>
      <c r="I50" s="134"/>
      <c r="J50" s="134"/>
      <c r="K50" s="134"/>
      <c r="L50" s="134"/>
      <c r="M50" s="134"/>
      <c r="N50" s="134"/>
      <c r="O50" s="134"/>
      <c r="P50" s="134"/>
      <c r="Q50" s="140"/>
      <c r="R50" s="134"/>
      <c r="S50" s="134"/>
    </row>
    <row r="51" spans="2:19" x14ac:dyDescent="0.3">
      <c r="B51" s="143"/>
      <c r="C51" s="143"/>
      <c r="D51" s="143"/>
      <c r="E51" s="136"/>
      <c r="F51" s="136"/>
      <c r="G51" s="138"/>
      <c r="H51" s="138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</row>
    <row r="52" spans="2:19" x14ac:dyDescent="0.3">
      <c r="B52" s="143"/>
      <c r="C52" s="143"/>
      <c r="D52" s="143"/>
      <c r="E52" s="142"/>
      <c r="F52" s="142"/>
      <c r="G52" s="138"/>
      <c r="H52" s="138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</row>
    <row r="53" spans="2:19" x14ac:dyDescent="0.3">
      <c r="B53" s="138"/>
      <c r="C53" s="134"/>
      <c r="D53" s="138"/>
      <c r="E53" s="138"/>
      <c r="F53" s="138"/>
      <c r="G53" s="138"/>
      <c r="H53" s="138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</row>
    <row r="54" spans="2:19" x14ac:dyDescent="0.3">
      <c r="B54" s="138"/>
      <c r="C54" s="134"/>
      <c r="D54" s="138"/>
      <c r="E54" s="138"/>
      <c r="F54" s="138"/>
      <c r="G54" s="138"/>
      <c r="H54" s="138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</row>
    <row r="55" spans="2:19" x14ac:dyDescent="0.3">
      <c r="B55" s="138"/>
      <c r="C55" s="134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46"/>
      <c r="S55" s="146"/>
    </row>
    <row r="56" spans="2:19" x14ac:dyDescent="0.3">
      <c r="B56" s="138"/>
      <c r="C56" s="134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</row>
    <row r="57" spans="2:19" x14ac:dyDescent="0.3">
      <c r="B57" s="138"/>
      <c r="C57" s="134"/>
      <c r="D57" s="138"/>
      <c r="E57" s="138"/>
      <c r="F57" s="138"/>
      <c r="G57" s="138"/>
      <c r="H57" s="138"/>
      <c r="I57" s="138"/>
      <c r="J57" s="138"/>
      <c r="K57" s="134"/>
      <c r="L57" s="138"/>
      <c r="M57" s="138"/>
      <c r="N57" s="138"/>
      <c r="O57" s="138"/>
      <c r="P57" s="138"/>
      <c r="Q57" s="138"/>
      <c r="R57" s="138"/>
      <c r="S57" s="138"/>
    </row>
    <row r="58" spans="2:19" x14ac:dyDescent="0.3">
      <c r="B58" s="138"/>
      <c r="C58" s="134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</row>
    <row r="59" spans="2:19" x14ac:dyDescent="0.3">
      <c r="B59" s="138"/>
      <c r="C59" s="134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</row>
    <row r="60" spans="2:19" x14ac:dyDescent="0.3">
      <c r="B60" s="138"/>
      <c r="C60" s="134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</row>
    <row r="61" spans="2:19" x14ac:dyDescent="0.3">
      <c r="B61" s="138"/>
      <c r="C61" s="134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</row>
    <row r="62" spans="2:19" x14ac:dyDescent="0.3">
      <c r="B62" s="138"/>
      <c r="C62" s="134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</row>
    <row r="63" spans="2:19" x14ac:dyDescent="0.3">
      <c r="B63" s="138"/>
      <c r="C63" s="134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</row>
    <row r="64" spans="2:19" x14ac:dyDescent="0.3">
      <c r="B64" s="138"/>
      <c r="C64" s="134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</row>
    <row r="65" spans="2:19" x14ac:dyDescent="0.3">
      <c r="B65" s="138"/>
      <c r="C65" s="134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</row>
    <row r="66" spans="2:19" x14ac:dyDescent="0.3">
      <c r="B66" s="138"/>
      <c r="C66" s="134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</row>
    <row r="67" spans="2:19" x14ac:dyDescent="0.3">
      <c r="B67" s="138"/>
      <c r="C67" s="134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</row>
    <row r="68" spans="2:19" x14ac:dyDescent="0.3">
      <c r="B68" s="138"/>
      <c r="C68" s="134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</row>
    <row r="69" spans="2:19" x14ac:dyDescent="0.3">
      <c r="B69" s="138"/>
      <c r="C69" s="134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</row>
    <row r="70" spans="2:19" x14ac:dyDescent="0.3">
      <c r="B70" s="138"/>
      <c r="C70" s="134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</row>
    <row r="71" spans="2:19" x14ac:dyDescent="0.3">
      <c r="B71" s="138"/>
      <c r="C71" s="134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</row>
    <row r="72" spans="2:19" x14ac:dyDescent="0.3">
      <c r="B72" s="138"/>
      <c r="C72" s="134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</row>
    <row r="73" spans="2:19" x14ac:dyDescent="0.3">
      <c r="B73" s="138"/>
      <c r="C73" s="134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</row>
    <row r="74" spans="2:19" x14ac:dyDescent="0.3">
      <c r="B74" s="138"/>
      <c r="C74" s="134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</row>
    <row r="75" spans="2:19" x14ac:dyDescent="0.3">
      <c r="B75" s="138"/>
      <c r="C75" s="134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</row>
    <row r="76" spans="2:19" x14ac:dyDescent="0.3">
      <c r="B76" s="138"/>
      <c r="C76" s="134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</row>
    <row r="77" spans="2:19" x14ac:dyDescent="0.3">
      <c r="B77" s="138"/>
      <c r="C77" s="134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</row>
    <row r="78" spans="2:19" x14ac:dyDescent="0.3">
      <c r="B78" s="138"/>
      <c r="C78" s="134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</row>
    <row r="79" spans="2:19" x14ac:dyDescent="0.3">
      <c r="B79" s="138"/>
      <c r="C79" s="134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</row>
    <row r="80" spans="2:19" x14ac:dyDescent="0.3">
      <c r="B80" s="138"/>
      <c r="C80" s="134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</row>
    <row r="81" spans="2:19" x14ac:dyDescent="0.3">
      <c r="B81" s="138"/>
      <c r="C81" s="134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</row>
    <row r="82" spans="2:19" x14ac:dyDescent="0.3">
      <c r="B82" s="138"/>
      <c r="C82" s="134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</row>
    <row r="83" spans="2:19" x14ac:dyDescent="0.3">
      <c r="B83" s="138"/>
      <c r="C83" s="134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</row>
    <row r="84" spans="2:19" x14ac:dyDescent="0.3">
      <c r="B84" s="138"/>
      <c r="C84" s="134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</row>
    <row r="85" spans="2:19" x14ac:dyDescent="0.3">
      <c r="B85" s="138"/>
      <c r="C85" s="134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</row>
    <row r="86" spans="2:19" x14ac:dyDescent="0.3">
      <c r="B86" s="138"/>
      <c r="C86" s="134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</row>
    <row r="87" spans="2:19" x14ac:dyDescent="0.3">
      <c r="B87" s="138"/>
      <c r="C87" s="134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</row>
    <row r="88" spans="2:19" x14ac:dyDescent="0.3">
      <c r="B88" s="138"/>
      <c r="C88" s="134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</row>
    <row r="89" spans="2:19" x14ac:dyDescent="0.3">
      <c r="B89" s="138"/>
      <c r="C89" s="134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</row>
  </sheetData>
  <mergeCells count="29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B45:F45"/>
    <mergeCell ref="J45:P45"/>
    <mergeCell ref="B46:D48"/>
    <mergeCell ref="B51:D52"/>
    <mergeCell ref="E52:F5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F9" sqref="F9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+PCI_U19!D4+1</f>
        <v>230</v>
      </c>
      <c r="D4" s="1">
        <v>235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+PCI_U19!F11</f>
        <v>K0+689,19</v>
      </c>
      <c r="G9" s="27"/>
      <c r="H9" s="106" t="s">
        <v>76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80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10</v>
      </c>
      <c r="D26" s="29" t="s">
        <v>45</v>
      </c>
      <c r="E26" s="30">
        <f>1.47*0.6</f>
        <v>0.88200000000000001</v>
      </c>
      <c r="F26" s="30"/>
      <c r="G26" s="30"/>
      <c r="H26" s="30"/>
      <c r="I26" s="30"/>
      <c r="J26" s="30"/>
      <c r="K26" s="30">
        <f>+SUM(E26:J26)</f>
        <v>0.88200000000000001</v>
      </c>
      <c r="L26" s="30">
        <f>+(K26/$H$11)*100</f>
        <v>0.38297872340425532</v>
      </c>
      <c r="M26" s="43">
        <v>0</v>
      </c>
      <c r="O26" t="s">
        <v>47</v>
      </c>
      <c r="T26" t="s">
        <v>50</v>
      </c>
      <c r="Y26" t="s">
        <v>67</v>
      </c>
    </row>
    <row r="27" spans="3:25" x14ac:dyDescent="0.3">
      <c r="C27" s="29">
        <v>4</v>
      </c>
      <c r="D27" s="29" t="s">
        <v>44</v>
      </c>
      <c r="E27" s="30">
        <f>15.25*0.6</f>
        <v>9.15</v>
      </c>
      <c r="F27" s="30">
        <f>15.25*0.64</f>
        <v>9.76</v>
      </c>
      <c r="G27" s="30"/>
      <c r="H27" s="30"/>
      <c r="I27" s="30"/>
      <c r="J27" s="30"/>
      <c r="K27" s="30">
        <f>+SUM(E27:J27)</f>
        <v>18.91</v>
      </c>
      <c r="L27" s="30">
        <f>+(K27/$H$11)*100</f>
        <v>8.2110290924880598</v>
      </c>
      <c r="M27" s="68">
        <v>8</v>
      </c>
    </row>
    <row r="28" spans="3:25" x14ac:dyDescent="0.3">
      <c r="C28" s="29">
        <v>10</v>
      </c>
      <c r="D28" s="29" t="s">
        <v>44</v>
      </c>
      <c r="E28" s="30">
        <f>0.8*0.6</f>
        <v>0.48</v>
      </c>
      <c r="F28" s="30"/>
      <c r="G28" s="30"/>
      <c r="H28" s="30"/>
      <c r="I28" s="30"/>
      <c r="J28" s="30"/>
      <c r="K28" s="30">
        <f>+SUM(E28:J28)</f>
        <v>0.48</v>
      </c>
      <c r="L28" s="30">
        <f>+(K28/$H$11)*100</f>
        <v>0.20842379504993486</v>
      </c>
      <c r="M28" s="43">
        <v>0</v>
      </c>
    </row>
    <row r="29" spans="3:25" x14ac:dyDescent="0.3">
      <c r="C29" s="29">
        <v>4</v>
      </c>
      <c r="D29" s="29" t="s">
        <v>45</v>
      </c>
      <c r="E29" s="30">
        <f>3.53*0.77</f>
        <v>2.7180999999999997</v>
      </c>
      <c r="F29" s="30">
        <f>5.07*0.43</f>
        <v>2.1800999999999999</v>
      </c>
      <c r="G29" s="30"/>
      <c r="H29" s="30"/>
      <c r="I29" s="30"/>
      <c r="J29" s="30"/>
      <c r="K29" s="30">
        <f>+SUM(E29:J29)</f>
        <v>4.8981999999999992</v>
      </c>
      <c r="L29" s="30">
        <f>+(K29/$H$11)*100</f>
        <v>2.1268779852366473</v>
      </c>
      <c r="M29" s="67">
        <v>6.5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+PCI_U20!D4+1</f>
        <v>236</v>
      </c>
      <c r="D4" s="1">
        <v>242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+PCI_U20!F11</f>
        <v>K0+725,35</v>
      </c>
      <c r="G9" s="27"/>
      <c r="H9" s="106" t="s">
        <v>85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84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4</v>
      </c>
      <c r="D26" s="29" t="s">
        <v>45</v>
      </c>
      <c r="E26" s="30">
        <f>5*0.8</f>
        <v>4</v>
      </c>
      <c r="F26" s="30">
        <f>4.3*0.72</f>
        <v>3.0959999999999996</v>
      </c>
      <c r="G26" s="30">
        <f>5*0.77</f>
        <v>3.85</v>
      </c>
      <c r="H26" s="30"/>
      <c r="I26" s="30"/>
      <c r="J26" s="30"/>
      <c r="K26" s="30">
        <f>+SUM(E26:J26)</f>
        <v>10.946</v>
      </c>
      <c r="L26" s="30">
        <f>+(K26/$H$11)*100</f>
        <v>4.7529309596178893</v>
      </c>
      <c r="M26" s="68">
        <v>74</v>
      </c>
      <c r="O26" t="s">
        <v>48</v>
      </c>
    </row>
    <row r="27" spans="3:15" x14ac:dyDescent="0.3">
      <c r="C27" s="29">
        <v>4</v>
      </c>
      <c r="D27" s="29" t="s">
        <v>43</v>
      </c>
      <c r="E27" s="30">
        <f>10.9*0.87</f>
        <v>9.4830000000000005</v>
      </c>
      <c r="F27" s="30">
        <f>7.4*2.2</f>
        <v>16.28</v>
      </c>
      <c r="G27" s="30">
        <f>1.7*0.68</f>
        <v>1.1560000000000001</v>
      </c>
      <c r="H27" s="30"/>
      <c r="I27" s="30"/>
      <c r="J27" s="30"/>
      <c r="K27" s="30">
        <f>+SUM(E27:J27)</f>
        <v>26.919</v>
      </c>
      <c r="L27" s="30">
        <f>+(K27/$H$11)*100</f>
        <v>11.688666956144161</v>
      </c>
      <c r="M27" s="67">
        <v>9</v>
      </c>
    </row>
    <row r="28" spans="3:15" x14ac:dyDescent="0.3">
      <c r="C28" s="29">
        <v>11</v>
      </c>
      <c r="D28" s="29" t="s">
        <v>43</v>
      </c>
      <c r="E28" s="30">
        <f>0.53*1.03</f>
        <v>0.54590000000000005</v>
      </c>
      <c r="F28" s="30"/>
      <c r="G28" s="30"/>
      <c r="H28" s="30"/>
      <c r="I28" s="30"/>
      <c r="J28" s="30"/>
      <c r="K28" s="30">
        <f>+SUM(E28:J28)</f>
        <v>0.54590000000000005</v>
      </c>
      <c r="L28" s="30">
        <f>+(K28/$H$11)*100</f>
        <v>0.23703864524533216</v>
      </c>
      <c r="M28" s="58">
        <v>9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19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+PCI_U21!D4+1</f>
        <v>243</v>
      </c>
      <c r="D4" s="1">
        <v>246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+PCI_U21!F11</f>
        <v>K0+761,51</v>
      </c>
      <c r="G9" s="27"/>
      <c r="H9" s="106" t="s">
        <v>86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193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81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4</v>
      </c>
      <c r="D26" s="29" t="s">
        <v>43</v>
      </c>
      <c r="E26" s="30">
        <f>6.1*0.6</f>
        <v>3.6599999999999997</v>
      </c>
      <c r="F26" s="30"/>
      <c r="G26" s="30"/>
      <c r="H26" s="30"/>
      <c r="I26" s="30"/>
      <c r="J26" s="30"/>
      <c r="K26" s="30">
        <f>+SUM(E26:J26)</f>
        <v>3.6599999999999997</v>
      </c>
      <c r="L26" s="30">
        <f>+(K26/$H$11)*100</f>
        <v>1.5892314372557532</v>
      </c>
      <c r="M26" s="72">
        <v>4.5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1.5*0.6</f>
        <v>0.89999999999999991</v>
      </c>
      <c r="F27" s="30">
        <f>1.8*0.6</f>
        <v>1.08</v>
      </c>
      <c r="G27" s="30"/>
      <c r="H27" s="30"/>
      <c r="I27" s="30"/>
      <c r="J27" s="30"/>
      <c r="K27" s="30">
        <f>+SUM(E27:J27)</f>
        <v>1.98</v>
      </c>
      <c r="L27" s="30">
        <f>+(K27/$H$11)*100</f>
        <v>0.85974815458098131</v>
      </c>
      <c r="M27" s="70">
        <v>0</v>
      </c>
    </row>
    <row r="28" spans="3:15" x14ac:dyDescent="0.3">
      <c r="C28" s="29">
        <v>16</v>
      </c>
      <c r="D28" s="29" t="s">
        <v>43</v>
      </c>
      <c r="E28" s="30">
        <f>9*0.6</f>
        <v>5.3999999999999995</v>
      </c>
      <c r="F28" s="30"/>
      <c r="G28" s="30"/>
      <c r="H28" s="30"/>
      <c r="I28" s="30"/>
      <c r="J28" s="30"/>
      <c r="K28" s="30">
        <f>+SUM(E28:J28)</f>
        <v>5.3999999999999995</v>
      </c>
      <c r="L28" s="30">
        <f>+(K28/$H$11)*100</f>
        <v>2.3447676943117668</v>
      </c>
      <c r="M28" s="73">
        <v>27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19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+PCI_U22!D4+1</f>
        <v>247</v>
      </c>
      <c r="D4" s="1">
        <v>250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+PCI_U22!F11</f>
        <v>K0+797,65</v>
      </c>
      <c r="G9" s="27"/>
      <c r="H9" s="106" t="s">
        <v>87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194</v>
      </c>
      <c r="G11" s="27"/>
      <c r="H11" s="105">
        <v>230.3</v>
      </c>
      <c r="I11" s="105"/>
      <c r="J11" s="9"/>
      <c r="K11" s="111"/>
      <c r="L11" s="112"/>
      <c r="M11" s="113"/>
      <c r="O11" t="s">
        <v>50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44023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1.54*0.36</f>
        <v>0.5544</v>
      </c>
      <c r="F26" s="30">
        <f>1.88*0.54</f>
        <v>1.0152000000000001</v>
      </c>
      <c r="G26" s="30"/>
      <c r="H26" s="30"/>
      <c r="I26" s="30"/>
      <c r="J26" s="30"/>
      <c r="K26" s="30">
        <f>+SUM(E26:J26)</f>
        <v>1.5696000000000001</v>
      </c>
      <c r="L26" s="30">
        <f>+(K26/$H$11)*100</f>
        <v>0.68154580981328705</v>
      </c>
      <c r="M26" s="58">
        <v>25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0.53*0.6</f>
        <v>0.318</v>
      </c>
      <c r="F27" s="30">
        <f>1*0.6</f>
        <v>0.6</v>
      </c>
      <c r="G27" s="30"/>
      <c r="H27" s="30"/>
      <c r="I27" s="30"/>
      <c r="J27" s="30"/>
      <c r="K27" s="30">
        <f>+SUM(E27:J27)</f>
        <v>0.91799999999999993</v>
      </c>
      <c r="L27" s="30">
        <f>+(K27/$H$11)*100</f>
        <v>0.39861050803300041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+PCI_U23!D4+1</f>
        <v>251</v>
      </c>
      <c r="D4" s="1">
        <v>259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+PCI_U23!F11</f>
        <v>K0+833,81</v>
      </c>
      <c r="G9" s="27"/>
      <c r="H9" s="106" t="s">
        <v>88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91</v>
      </c>
      <c r="G11" s="27"/>
      <c r="H11" s="105">
        <v>230.3</v>
      </c>
      <c r="I11" s="105"/>
      <c r="J11" s="9"/>
      <c r="K11" s="111"/>
      <c r="L11" s="112"/>
      <c r="M11" s="113"/>
      <c r="O11" t="s">
        <v>82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45</v>
      </c>
      <c r="E26" s="30">
        <f>0.63*0.6</f>
        <v>0.378</v>
      </c>
      <c r="F26" s="30"/>
      <c r="G26" s="30"/>
      <c r="H26" s="30"/>
      <c r="I26" s="30"/>
      <c r="J26" s="30"/>
      <c r="K26" s="30">
        <f t="shared" ref="K26:K32" si="0">+SUM(E26:J26)</f>
        <v>0.378</v>
      </c>
      <c r="L26" s="30">
        <f>+(K26/$H$11)*100</f>
        <v>0.1641337386018237</v>
      </c>
      <c r="M26" s="43">
        <v>0</v>
      </c>
      <c r="O26" t="s">
        <v>47</v>
      </c>
      <c r="T26" t="s">
        <v>50</v>
      </c>
    </row>
    <row r="27" spans="3:20" x14ac:dyDescent="0.3">
      <c r="C27" s="29">
        <v>8</v>
      </c>
      <c r="D27" s="29" t="s">
        <v>44</v>
      </c>
      <c r="E27" s="30">
        <f>3.96*0.6</f>
        <v>2.3759999999999999</v>
      </c>
      <c r="F27" s="30"/>
      <c r="G27" s="30"/>
      <c r="H27" s="30"/>
      <c r="I27" s="30"/>
      <c r="J27" s="30"/>
      <c r="K27" s="30">
        <f t="shared" si="0"/>
        <v>2.3759999999999999</v>
      </c>
      <c r="L27" s="30">
        <f t="shared" ref="L27:L32" si="1">+(K27/$H$11)*100</f>
        <v>1.0316977854971776</v>
      </c>
      <c r="M27" s="67">
        <v>3</v>
      </c>
    </row>
    <row r="28" spans="3:20" x14ac:dyDescent="0.3">
      <c r="C28" s="29">
        <v>11</v>
      </c>
      <c r="D28" s="29" t="s">
        <v>45</v>
      </c>
      <c r="E28" s="30">
        <f>1.14*0.97</f>
        <v>1.1057999999999999</v>
      </c>
      <c r="F28" s="30"/>
      <c r="G28" s="30"/>
      <c r="H28" s="30"/>
      <c r="I28" s="30"/>
      <c r="J28" s="30"/>
      <c r="K28" s="30">
        <f t="shared" si="0"/>
        <v>1.1057999999999999</v>
      </c>
      <c r="L28" s="30">
        <f t="shared" si="1"/>
        <v>0.48015631784628737</v>
      </c>
      <c r="M28" s="68">
        <v>1</v>
      </c>
    </row>
    <row r="29" spans="3:20" x14ac:dyDescent="0.3">
      <c r="C29" s="29">
        <v>11</v>
      </c>
      <c r="D29" s="29" t="s">
        <v>43</v>
      </c>
      <c r="E29" s="30">
        <f>14.7*2.11</f>
        <v>31.016999999999996</v>
      </c>
      <c r="F29" s="30">
        <f>5.38*1.34</f>
        <v>7.2092000000000001</v>
      </c>
      <c r="G29" s="30"/>
      <c r="H29" s="30"/>
      <c r="I29" s="30"/>
      <c r="J29" s="30"/>
      <c r="K29" s="30">
        <f t="shared" si="0"/>
        <v>38.226199999999999</v>
      </c>
      <c r="L29" s="30">
        <f t="shared" si="1"/>
        <v>16.598436821537124</v>
      </c>
      <c r="M29" s="44">
        <v>60</v>
      </c>
    </row>
    <row r="30" spans="3:20" x14ac:dyDescent="0.3">
      <c r="C30" s="29">
        <v>10</v>
      </c>
      <c r="D30" s="29" t="s">
        <v>43</v>
      </c>
      <c r="E30" s="30">
        <f>2.24*0.6</f>
        <v>1.3440000000000001</v>
      </c>
      <c r="F30" s="30"/>
      <c r="G30" s="30"/>
      <c r="H30" s="30"/>
      <c r="I30" s="30"/>
      <c r="J30" s="30"/>
      <c r="K30" s="30">
        <f t="shared" si="0"/>
        <v>1.3440000000000001</v>
      </c>
      <c r="L30" s="30">
        <f>+(K30/$H$11)*100</f>
        <v>0.5835866261398176</v>
      </c>
      <c r="M30" s="33">
        <v>6</v>
      </c>
    </row>
    <row r="31" spans="3:20" x14ac:dyDescent="0.3">
      <c r="C31" s="29">
        <v>13</v>
      </c>
      <c r="D31" s="29" t="s">
        <v>43</v>
      </c>
      <c r="E31" s="30">
        <f>0.2*0.2</f>
        <v>4.0000000000000008E-2</v>
      </c>
      <c r="F31" s="30">
        <f>0.75*0.3</f>
        <v>0.22499999999999998</v>
      </c>
      <c r="G31" s="30"/>
      <c r="H31" s="30"/>
      <c r="I31" s="30"/>
      <c r="J31" s="30"/>
      <c r="K31" s="30">
        <f t="shared" si="0"/>
        <v>0.26500000000000001</v>
      </c>
      <c r="L31" s="30">
        <f t="shared" si="1"/>
        <v>0.11506730351715155</v>
      </c>
      <c r="M31" s="73">
        <v>20</v>
      </c>
    </row>
    <row r="32" spans="3:20" x14ac:dyDescent="0.3">
      <c r="C32" s="29">
        <v>1</v>
      </c>
      <c r="D32" s="29" t="s">
        <v>43</v>
      </c>
      <c r="E32" s="30">
        <f>5.1*0.48</f>
        <v>2.448</v>
      </c>
      <c r="F32" s="30"/>
      <c r="G32" s="30"/>
      <c r="H32" s="30"/>
      <c r="I32" s="30"/>
      <c r="J32" s="30"/>
      <c r="K32" s="30">
        <f t="shared" si="0"/>
        <v>2.448</v>
      </c>
      <c r="L32" s="30">
        <f t="shared" si="1"/>
        <v>1.0629613547546677</v>
      </c>
      <c r="M32" s="74">
        <v>36.5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+PCI_U24!D4+1</f>
        <v>260</v>
      </c>
      <c r="D4" s="1">
        <v>273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+PCI_U24!F11</f>
        <v>K0+869,97</v>
      </c>
      <c r="G9" s="27"/>
      <c r="H9" s="106" t="s">
        <v>89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94</v>
      </c>
      <c r="G11" s="27"/>
      <c r="H11" s="105">
        <v>230.3</v>
      </c>
      <c r="I11" s="105"/>
      <c r="J11" s="9"/>
      <c r="K11" s="111"/>
      <c r="L11" s="112"/>
      <c r="M11" s="113"/>
      <c r="O11" t="s">
        <v>82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43</v>
      </c>
      <c r="E26" s="30">
        <f>3.18*0.6</f>
        <v>1.9079999999999999</v>
      </c>
      <c r="F26" s="30"/>
      <c r="G26" s="30"/>
      <c r="H26" s="30"/>
      <c r="I26" s="30"/>
      <c r="J26" s="30"/>
      <c r="K26" s="30">
        <f>+SUM(E26:J26)</f>
        <v>1.9079999999999999</v>
      </c>
      <c r="L26" s="30">
        <f>+(K26/$H$11)*100</f>
        <v>0.82848458532349101</v>
      </c>
      <c r="M26" s="68">
        <v>7.5</v>
      </c>
      <c r="O26" t="s">
        <v>47</v>
      </c>
      <c r="T26" t="s">
        <v>50</v>
      </c>
    </row>
    <row r="27" spans="3:20" x14ac:dyDescent="0.3">
      <c r="C27" s="29">
        <v>11</v>
      </c>
      <c r="D27" s="29" t="s">
        <v>43</v>
      </c>
      <c r="E27" s="30">
        <f>0.2+0.3</f>
        <v>0.5</v>
      </c>
      <c r="F27" s="30">
        <f>14.13*4</f>
        <v>56.52</v>
      </c>
      <c r="G27" s="30">
        <f>6.6*1.2</f>
        <v>7.919999999999999</v>
      </c>
      <c r="H27" s="30"/>
      <c r="I27" s="30"/>
      <c r="J27" s="30"/>
      <c r="K27" s="30">
        <f t="shared" ref="K27:K34" si="0">+SUM(E27:J27)</f>
        <v>64.94</v>
      </c>
      <c r="L27" s="30">
        <f t="shared" ref="L27:L34" si="1">+(K27/$H$11)*100</f>
        <v>28.198002605297432</v>
      </c>
      <c r="M27" s="76">
        <v>73</v>
      </c>
    </row>
    <row r="28" spans="3:20" x14ac:dyDescent="0.3">
      <c r="C28" s="29">
        <v>3</v>
      </c>
      <c r="D28" s="29" t="s">
        <v>44</v>
      </c>
      <c r="E28" s="30">
        <f>0.48*0.55</f>
        <v>0.26400000000000001</v>
      </c>
      <c r="F28" s="30"/>
      <c r="G28" s="30"/>
      <c r="H28" s="30"/>
      <c r="I28" s="30"/>
      <c r="J28" s="30"/>
      <c r="K28" s="30">
        <f t="shared" si="0"/>
        <v>0.26400000000000001</v>
      </c>
      <c r="L28" s="30">
        <f t="shared" si="1"/>
        <v>0.11463308727746417</v>
      </c>
      <c r="M28" s="43">
        <v>0</v>
      </c>
    </row>
    <row r="29" spans="3:20" x14ac:dyDescent="0.3">
      <c r="C29" s="29">
        <v>10</v>
      </c>
      <c r="D29" s="29" t="s">
        <v>45</v>
      </c>
      <c r="E29" s="30">
        <f>2.8*0.6</f>
        <v>1.68</v>
      </c>
      <c r="F29" s="30"/>
      <c r="G29" s="30"/>
      <c r="H29" s="30"/>
      <c r="I29" s="30"/>
      <c r="J29" s="30"/>
      <c r="K29" s="30">
        <f t="shared" si="0"/>
        <v>1.68</v>
      </c>
      <c r="L29" s="30">
        <f t="shared" si="1"/>
        <v>0.72948328267477203</v>
      </c>
      <c r="M29" s="43">
        <v>0</v>
      </c>
    </row>
    <row r="30" spans="3:20" x14ac:dyDescent="0.3">
      <c r="C30" s="29">
        <v>1</v>
      </c>
      <c r="D30" s="29" t="s">
        <v>43</v>
      </c>
      <c r="E30" s="30">
        <f>6.26*0.33</f>
        <v>2.0657999999999999</v>
      </c>
      <c r="F30" s="30">
        <f>5.95*1.1</f>
        <v>6.5450000000000008</v>
      </c>
      <c r="G30" s="30"/>
      <c r="H30" s="30"/>
      <c r="I30" s="30"/>
      <c r="J30" s="30"/>
      <c r="K30" s="30">
        <f t="shared" si="0"/>
        <v>8.6108000000000011</v>
      </c>
      <c r="L30" s="30">
        <f t="shared" si="1"/>
        <v>3.7389491966999566</v>
      </c>
      <c r="M30" s="74">
        <v>48.7</v>
      </c>
    </row>
    <row r="31" spans="3:20" x14ac:dyDescent="0.3">
      <c r="C31" s="29">
        <v>11</v>
      </c>
      <c r="D31" s="29" t="s">
        <v>45</v>
      </c>
      <c r="E31" s="30">
        <f>5.05*0.44</f>
        <v>2.222</v>
      </c>
      <c r="F31" s="30">
        <f>5.2*1.66</f>
        <v>8.6319999999999997</v>
      </c>
      <c r="G31" s="30">
        <f>4.05*0.6</f>
        <v>2.4299999999999997</v>
      </c>
      <c r="H31" s="30"/>
      <c r="I31" s="30"/>
      <c r="J31" s="30"/>
      <c r="K31" s="30">
        <f t="shared" si="0"/>
        <v>13.283999999999999</v>
      </c>
      <c r="L31" s="30">
        <f t="shared" si="1"/>
        <v>5.7681285280069465</v>
      </c>
      <c r="M31" s="77">
        <v>11</v>
      </c>
    </row>
    <row r="32" spans="3:20" x14ac:dyDescent="0.3">
      <c r="C32" s="29">
        <v>8</v>
      </c>
      <c r="D32" s="29" t="s">
        <v>43</v>
      </c>
      <c r="E32" s="30">
        <f>11.2*0.6</f>
        <v>6.72</v>
      </c>
      <c r="F32" s="30"/>
      <c r="G32" s="30"/>
      <c r="H32" s="30"/>
      <c r="I32" s="30"/>
      <c r="J32" s="30"/>
      <c r="K32" s="30">
        <f t="shared" si="0"/>
        <v>6.72</v>
      </c>
      <c r="L32" s="30">
        <f t="shared" si="1"/>
        <v>2.9179331306990881</v>
      </c>
      <c r="M32" s="72">
        <v>15</v>
      </c>
    </row>
    <row r="33" spans="3:13" x14ac:dyDescent="0.3">
      <c r="C33" s="29">
        <v>1</v>
      </c>
      <c r="D33" s="29" t="s">
        <v>44</v>
      </c>
      <c r="E33" s="30">
        <f>1.68*1.2</f>
        <v>2.016</v>
      </c>
      <c r="F33" s="30"/>
      <c r="G33" s="30"/>
      <c r="H33" s="30"/>
      <c r="I33" s="30"/>
      <c r="J33" s="30"/>
      <c r="K33" s="30">
        <f t="shared" si="0"/>
        <v>2.016</v>
      </c>
      <c r="L33" s="30">
        <f t="shared" si="1"/>
        <v>0.87537993920972634</v>
      </c>
      <c r="M33" s="78">
        <v>20</v>
      </c>
    </row>
    <row r="34" spans="3:13" x14ac:dyDescent="0.3">
      <c r="C34" s="43">
        <v>11</v>
      </c>
      <c r="D34" s="43" t="s">
        <v>44</v>
      </c>
      <c r="E34" s="56">
        <f>20+1.78</f>
        <v>21.78</v>
      </c>
      <c r="F34" s="56"/>
      <c r="G34" s="56"/>
      <c r="H34" s="56"/>
      <c r="I34" s="56"/>
      <c r="J34" s="56"/>
      <c r="K34" s="30">
        <f t="shared" si="0"/>
        <v>21.78</v>
      </c>
      <c r="L34" s="30">
        <f t="shared" si="1"/>
        <v>9.4572297003907941</v>
      </c>
      <c r="M34" s="65">
        <v>29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+PCI_U25!D4+1</f>
        <v>274</v>
      </c>
      <c r="D4" s="1">
        <v>281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+PCI_U25!F11</f>
        <v>K0+906,12</v>
      </c>
      <c r="G9" s="27"/>
      <c r="H9" s="106" t="s">
        <v>90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95</v>
      </c>
      <c r="G11" s="27"/>
      <c r="H11" s="105">
        <v>230.3</v>
      </c>
      <c r="I11" s="105"/>
      <c r="J11" s="9"/>
      <c r="K11" s="111"/>
      <c r="L11" s="112"/>
      <c r="M11" s="113"/>
      <c r="O11" t="s">
        <v>82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8</v>
      </c>
      <c r="D26" s="29" t="s">
        <v>43</v>
      </c>
      <c r="E26" s="30">
        <f>16.3*0.6</f>
        <v>9.7799999999999994</v>
      </c>
      <c r="F26" s="30"/>
      <c r="G26" s="30"/>
      <c r="H26" s="30"/>
      <c r="I26" s="30"/>
      <c r="J26" s="30"/>
      <c r="K26" s="30">
        <f>+SUM(E26:J26)</f>
        <v>9.7799999999999994</v>
      </c>
      <c r="L26" s="30">
        <f>+(K26/$H$11)*100</f>
        <v>4.2466348241424221</v>
      </c>
      <c r="M26" s="68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1.6*0.64</f>
        <v>1.024</v>
      </c>
      <c r="F27" s="30"/>
      <c r="G27" s="30"/>
      <c r="H27" s="30"/>
      <c r="I27" s="30"/>
      <c r="J27" s="30"/>
      <c r="K27" s="30">
        <f t="shared" ref="K27:K32" si="0">+SUM(E27:J27)</f>
        <v>1.024</v>
      </c>
      <c r="L27" s="30">
        <f t="shared" ref="L27:L32" si="1">+(K27/$H$11)*100</f>
        <v>0.44463742943986101</v>
      </c>
      <c r="M27" s="58">
        <v>21.8</v>
      </c>
    </row>
    <row r="28" spans="3:20" x14ac:dyDescent="0.3">
      <c r="C28" s="29">
        <v>11</v>
      </c>
      <c r="D28" s="29" t="s">
        <v>44</v>
      </c>
      <c r="E28" s="30">
        <f>8*3.65</f>
        <v>29.2</v>
      </c>
      <c r="F28" s="30">
        <f>8.85*1.73</f>
        <v>15.310499999999999</v>
      </c>
      <c r="G28" s="30"/>
      <c r="H28" s="30"/>
      <c r="I28" s="30"/>
      <c r="J28" s="30"/>
      <c r="K28" s="30">
        <f t="shared" si="0"/>
        <v>44.5105</v>
      </c>
      <c r="L28" s="30">
        <f t="shared" si="1"/>
        <v>19.327181936604429</v>
      </c>
      <c r="M28" s="45">
        <v>40</v>
      </c>
    </row>
    <row r="29" spans="3:20" x14ac:dyDescent="0.3">
      <c r="C29" s="29">
        <v>8</v>
      </c>
      <c r="D29" s="29" t="s">
        <v>44</v>
      </c>
      <c r="E29" s="30">
        <f>3.67*0.6</f>
        <v>2.202</v>
      </c>
      <c r="F29" s="30"/>
      <c r="G29" s="30"/>
      <c r="H29" s="30"/>
      <c r="I29" s="30"/>
      <c r="J29" s="30"/>
      <c r="K29" s="30">
        <f t="shared" si="0"/>
        <v>2.202</v>
      </c>
      <c r="L29" s="30">
        <f t="shared" si="1"/>
        <v>0.95614415979157608</v>
      </c>
      <c r="M29" s="67">
        <v>2.7</v>
      </c>
    </row>
    <row r="30" spans="3:20" x14ac:dyDescent="0.3">
      <c r="C30" s="29">
        <v>10</v>
      </c>
      <c r="D30" s="29" t="s">
        <v>45</v>
      </c>
      <c r="E30" s="30">
        <f>1.78*0.6</f>
        <v>1.0680000000000001</v>
      </c>
      <c r="F30" s="30"/>
      <c r="G30" s="30"/>
      <c r="H30" s="30"/>
      <c r="I30" s="30"/>
      <c r="J30" s="30"/>
      <c r="K30" s="30">
        <f t="shared" si="0"/>
        <v>1.0680000000000001</v>
      </c>
      <c r="L30" s="30">
        <f t="shared" si="1"/>
        <v>0.46374294398610505</v>
      </c>
      <c r="M30" s="43">
        <v>0</v>
      </c>
    </row>
    <row r="31" spans="3:20" x14ac:dyDescent="0.3">
      <c r="C31" s="29">
        <v>10</v>
      </c>
      <c r="D31" s="29" t="s">
        <v>44</v>
      </c>
      <c r="E31" s="30">
        <f>4.07*0.6</f>
        <v>2.4420000000000002</v>
      </c>
      <c r="F31" s="30"/>
      <c r="G31" s="30"/>
      <c r="H31" s="30"/>
      <c r="I31" s="30"/>
      <c r="J31" s="30"/>
      <c r="K31" s="30">
        <f t="shared" si="0"/>
        <v>2.4420000000000002</v>
      </c>
      <c r="L31" s="30">
        <f t="shared" si="1"/>
        <v>1.0603560573165436</v>
      </c>
      <c r="M31" s="65">
        <v>2</v>
      </c>
    </row>
    <row r="32" spans="3:20" x14ac:dyDescent="0.3">
      <c r="C32" s="29">
        <v>3</v>
      </c>
      <c r="D32" s="29" t="s">
        <v>43</v>
      </c>
      <c r="E32" s="30">
        <f>3.9*0.83</f>
        <v>3.2369999999999997</v>
      </c>
      <c r="F32" s="30"/>
      <c r="G32" s="30"/>
      <c r="H32" s="30"/>
      <c r="I32" s="30"/>
      <c r="J32" s="30"/>
      <c r="K32" s="30">
        <f t="shared" si="0"/>
        <v>3.2369999999999997</v>
      </c>
      <c r="L32" s="30">
        <f t="shared" si="1"/>
        <v>1.4055579678679981</v>
      </c>
      <c r="M32" s="73">
        <v>9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+PCI_U26!D4+1</f>
        <v>282</v>
      </c>
      <c r="D4" s="1">
        <v>298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+PCI_U26!F11</f>
        <v>K0+942,28</v>
      </c>
      <c r="G9" s="27"/>
      <c r="H9" s="106" t="s">
        <v>92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96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53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43</v>
      </c>
      <c r="E26" s="30">
        <f>4.08*1.32</f>
        <v>5.3856000000000002</v>
      </c>
      <c r="F26" s="30">
        <f>2.26*1.94</f>
        <v>4.3843999999999994</v>
      </c>
      <c r="G26" s="30"/>
      <c r="H26" s="30"/>
      <c r="I26" s="30"/>
      <c r="J26" s="30"/>
      <c r="K26" s="30">
        <f>+SUM(E26:J26)</f>
        <v>9.77</v>
      </c>
      <c r="L26" s="30">
        <f>+(K26/$H$11)*100</f>
        <v>4.242292661745549</v>
      </c>
      <c r="M26" s="68">
        <v>18.899999999999999</v>
      </c>
      <c r="O26" t="s">
        <v>47</v>
      </c>
      <c r="T26" t="s">
        <v>50</v>
      </c>
      <c r="Y26" t="s">
        <v>67</v>
      </c>
    </row>
    <row r="27" spans="3:25" x14ac:dyDescent="0.3">
      <c r="C27" s="29">
        <v>1</v>
      </c>
      <c r="D27" s="29" t="s">
        <v>44</v>
      </c>
      <c r="E27" s="30">
        <f>1.28*1.4</f>
        <v>1.7919999999999998</v>
      </c>
      <c r="F27" s="30"/>
      <c r="G27" s="30"/>
      <c r="H27" s="30"/>
      <c r="I27" s="30"/>
      <c r="J27" s="30"/>
      <c r="K27" s="30">
        <f>+SUM(E27:J27)</f>
        <v>1.7919999999999998</v>
      </c>
      <c r="L27" s="30">
        <f t="shared" ref="L27:L36" si="0">+(K27/$H$11)*100</f>
        <v>0.77811550151975672</v>
      </c>
      <c r="M27" s="45">
        <v>19</v>
      </c>
    </row>
    <row r="28" spans="3:25" x14ac:dyDescent="0.3">
      <c r="C28" s="29">
        <v>10</v>
      </c>
      <c r="D28" s="29" t="s">
        <v>44</v>
      </c>
      <c r="E28" s="30">
        <f>2.64*0.6</f>
        <v>1.5840000000000001</v>
      </c>
      <c r="F28" s="30"/>
      <c r="G28" s="30"/>
      <c r="H28" s="30"/>
      <c r="I28" s="30"/>
      <c r="J28" s="30"/>
      <c r="K28" s="30">
        <f>+SUM(E28:J28)</f>
        <v>1.5840000000000001</v>
      </c>
      <c r="L28" s="30">
        <f t="shared" si="0"/>
        <v>0.687798523664785</v>
      </c>
      <c r="M28" s="76">
        <v>1</v>
      </c>
    </row>
    <row r="29" spans="3:25" x14ac:dyDescent="0.3">
      <c r="C29" s="29">
        <v>17</v>
      </c>
      <c r="D29" s="29" t="s">
        <v>44</v>
      </c>
      <c r="E29" s="30">
        <f>1.53*0.82</f>
        <v>1.2545999999999999</v>
      </c>
      <c r="F29" s="30"/>
      <c r="G29" s="30"/>
      <c r="H29" s="30"/>
      <c r="I29" s="30"/>
      <c r="J29" s="30"/>
      <c r="K29" s="30">
        <f>+SUM(E29:J29)</f>
        <v>1.2545999999999999</v>
      </c>
      <c r="L29" s="30">
        <f t="shared" si="0"/>
        <v>0.54476769431176719</v>
      </c>
      <c r="M29" s="48">
        <v>7.5</v>
      </c>
    </row>
    <row r="30" spans="3:25" x14ac:dyDescent="0.3">
      <c r="C30" s="29">
        <v>7</v>
      </c>
      <c r="D30" s="29" t="s">
        <v>44</v>
      </c>
      <c r="E30" s="30">
        <f>6.8*1.7</f>
        <v>11.559999999999999</v>
      </c>
      <c r="F30" s="30"/>
      <c r="G30" s="30"/>
      <c r="H30" s="30"/>
      <c r="I30" s="30"/>
      <c r="J30" s="30"/>
      <c r="K30" s="30">
        <f>+SUM(E30:J30)</f>
        <v>11.559999999999999</v>
      </c>
      <c r="L30" s="30">
        <f t="shared" si="0"/>
        <v>5.0195397307859304</v>
      </c>
      <c r="M30" s="79">
        <v>10</v>
      </c>
    </row>
    <row r="31" spans="3:25" x14ac:dyDescent="0.3">
      <c r="C31" s="29">
        <v>3</v>
      </c>
      <c r="D31" s="29" t="s">
        <v>44</v>
      </c>
      <c r="E31" s="30">
        <f>3.6*2.85</f>
        <v>10.26</v>
      </c>
      <c r="F31" s="30">
        <f>1.68*0.75</f>
        <v>1.26</v>
      </c>
      <c r="G31" s="30">
        <f>1.04*1.04</f>
        <v>1.0816000000000001</v>
      </c>
      <c r="H31" s="30">
        <f>1.86*1.14</f>
        <v>2.1204000000000001</v>
      </c>
      <c r="I31" s="30"/>
      <c r="J31" s="30"/>
      <c r="K31" s="30">
        <f t="shared" ref="K31:K36" si="1">+SUM(E31:J31)</f>
        <v>14.722</v>
      </c>
      <c r="L31" s="30">
        <f t="shared" si="0"/>
        <v>6.392531480677377</v>
      </c>
      <c r="M31" s="72">
        <v>5</v>
      </c>
    </row>
    <row r="32" spans="3:25" x14ac:dyDescent="0.3">
      <c r="C32" s="29">
        <v>11</v>
      </c>
      <c r="D32" s="29" t="s">
        <v>45</v>
      </c>
      <c r="E32" s="30">
        <f>3.3*2.69</f>
        <v>8.8769999999999989</v>
      </c>
      <c r="F32" s="30"/>
      <c r="G32" s="30"/>
      <c r="H32" s="30"/>
      <c r="I32" s="30"/>
      <c r="J32" s="30"/>
      <c r="K32" s="30">
        <f t="shared" si="1"/>
        <v>8.8769999999999989</v>
      </c>
      <c r="L32" s="30">
        <f t="shared" si="0"/>
        <v>3.854537559704732</v>
      </c>
      <c r="M32" s="78">
        <v>8</v>
      </c>
    </row>
    <row r="33" spans="3:13" x14ac:dyDescent="0.3">
      <c r="C33" s="29">
        <v>7</v>
      </c>
      <c r="D33" s="29" t="s">
        <v>43</v>
      </c>
      <c r="E33" s="30">
        <f>3.36*1.38</f>
        <v>4.6367999999999991</v>
      </c>
      <c r="F33" s="30"/>
      <c r="G33" s="30"/>
      <c r="H33" s="30"/>
      <c r="I33" s="30"/>
      <c r="J33" s="30"/>
      <c r="K33" s="30">
        <f t="shared" si="1"/>
        <v>4.6367999999999991</v>
      </c>
      <c r="L33" s="30">
        <f t="shared" si="0"/>
        <v>2.0133738601823703</v>
      </c>
      <c r="M33" s="71">
        <v>11</v>
      </c>
    </row>
    <row r="34" spans="3:13" x14ac:dyDescent="0.3">
      <c r="C34" s="43">
        <v>10</v>
      </c>
      <c r="D34" s="43" t="s">
        <v>45</v>
      </c>
      <c r="E34" s="56">
        <f>1.15*0.6</f>
        <v>0.69</v>
      </c>
      <c r="F34" s="56">
        <f>1.32*0.6</f>
        <v>0.79200000000000004</v>
      </c>
      <c r="G34" s="56"/>
      <c r="H34" s="56"/>
      <c r="I34" s="56"/>
      <c r="J34" s="56"/>
      <c r="K34" s="30">
        <f t="shared" si="1"/>
        <v>1.482</v>
      </c>
      <c r="L34" s="30">
        <f t="shared" si="0"/>
        <v>0.64350846721667387</v>
      </c>
      <c r="M34" s="70">
        <v>0</v>
      </c>
    </row>
    <row r="35" spans="3:13" x14ac:dyDescent="0.3">
      <c r="C35" s="49">
        <v>1</v>
      </c>
      <c r="D35" s="49" t="s">
        <v>43</v>
      </c>
      <c r="E35" s="57">
        <f>5.4*2.3</f>
        <v>12.42</v>
      </c>
      <c r="F35" s="57"/>
      <c r="G35" s="57"/>
      <c r="H35" s="57"/>
      <c r="I35" s="57"/>
      <c r="J35" s="57"/>
      <c r="K35" s="30">
        <f t="shared" si="1"/>
        <v>12.42</v>
      </c>
      <c r="L35" s="30">
        <f t="shared" si="0"/>
        <v>5.3929656969170647</v>
      </c>
      <c r="M35" s="74">
        <v>55</v>
      </c>
    </row>
    <row r="36" spans="3:13" x14ac:dyDescent="0.3">
      <c r="C36" s="63">
        <v>10</v>
      </c>
      <c r="D36" s="63" t="s">
        <v>43</v>
      </c>
      <c r="E36" s="46">
        <f>1.97*0.6</f>
        <v>1.1819999999999999</v>
      </c>
      <c r="F36" s="46">
        <f>2.61*0.6</f>
        <v>1.5659999999999998</v>
      </c>
      <c r="G36" s="46"/>
      <c r="H36" s="46"/>
      <c r="I36" s="46"/>
      <c r="J36" s="46"/>
      <c r="K36" s="30">
        <f t="shared" si="1"/>
        <v>2.7479999999999998</v>
      </c>
      <c r="L36" s="30">
        <f t="shared" si="0"/>
        <v>1.1932262266608769</v>
      </c>
      <c r="M36" s="65">
        <v>9</v>
      </c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+PCI_U27!D4+1</f>
        <v>299</v>
      </c>
      <c r="D4" s="1">
        <v>319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+PCI_U27!F11</f>
        <v>K0+978,43</v>
      </c>
      <c r="G9" s="27"/>
      <c r="H9" s="106" t="s">
        <v>93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99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53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43</v>
      </c>
      <c r="E26" s="30">
        <f>2.18*0.71</f>
        <v>1.5478000000000001</v>
      </c>
      <c r="F26" s="30"/>
      <c r="G26" s="30"/>
      <c r="H26" s="30"/>
      <c r="I26" s="30"/>
      <c r="J26" s="30"/>
      <c r="K26" s="30">
        <f>+SUM(E26:J26)</f>
        <v>1.5478000000000001</v>
      </c>
      <c r="L26" s="30">
        <f>+(K26/$H$11)*100</f>
        <v>0.67207989578810245</v>
      </c>
      <c r="M26" s="44">
        <v>15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44</v>
      </c>
      <c r="E27" s="30">
        <f>2.48*0.6</f>
        <v>1.488</v>
      </c>
      <c r="F27" s="30"/>
      <c r="G27" s="30"/>
      <c r="H27" s="30"/>
      <c r="I27" s="30"/>
      <c r="J27" s="30"/>
      <c r="K27" s="30">
        <f t="shared" ref="K27:K35" si="0">+SUM(E27:J27)</f>
        <v>1.488</v>
      </c>
      <c r="L27" s="30">
        <f t="shared" ref="L27:L35" si="1">+(K27/$H$11)*100</f>
        <v>0.64611376465479808</v>
      </c>
      <c r="M27" s="67">
        <v>1</v>
      </c>
    </row>
    <row r="28" spans="3:20" x14ac:dyDescent="0.3">
      <c r="C28" s="29">
        <v>3</v>
      </c>
      <c r="D28" s="29" t="s">
        <v>43</v>
      </c>
      <c r="E28" s="30">
        <f>7.86*1.73</f>
        <v>13.597800000000001</v>
      </c>
      <c r="F28" s="30">
        <f>4.54*1.95</f>
        <v>8.8529999999999998</v>
      </c>
      <c r="G28" s="30"/>
      <c r="H28" s="30"/>
      <c r="I28" s="30"/>
      <c r="J28" s="30"/>
      <c r="K28" s="30">
        <f t="shared" si="0"/>
        <v>22.450800000000001</v>
      </c>
      <c r="L28" s="30">
        <f t="shared" si="1"/>
        <v>9.7485019539730775</v>
      </c>
      <c r="M28" s="33">
        <v>27</v>
      </c>
    </row>
    <row r="29" spans="3:20" x14ac:dyDescent="0.3">
      <c r="C29" s="29">
        <v>3</v>
      </c>
      <c r="D29" s="29" t="s">
        <v>44</v>
      </c>
      <c r="E29" s="30">
        <f>5.68*0.84</f>
        <v>4.7711999999999994</v>
      </c>
      <c r="F29" s="30">
        <f>1.38*0.91</f>
        <v>1.2558</v>
      </c>
      <c r="G29" s="30">
        <f>1.18*1.48</f>
        <v>1.7464</v>
      </c>
      <c r="H29" s="30">
        <f>0.8*1.23</f>
        <v>0.98399999999999999</v>
      </c>
      <c r="I29" s="30">
        <f>4.64*2.68</f>
        <v>12.4352</v>
      </c>
      <c r="J29" s="30"/>
      <c r="K29" s="30">
        <f t="shared" si="0"/>
        <v>21.192599999999999</v>
      </c>
      <c r="L29" s="30">
        <f t="shared" si="1"/>
        <v>9.2021710811984363</v>
      </c>
      <c r="M29" s="48">
        <v>15</v>
      </c>
    </row>
    <row r="30" spans="3:20" x14ac:dyDescent="0.3">
      <c r="C30" s="29">
        <v>10</v>
      </c>
      <c r="D30" s="29" t="s">
        <v>43</v>
      </c>
      <c r="E30" s="30">
        <f>2.06*0.6</f>
        <v>1.236</v>
      </c>
      <c r="F30" s="30">
        <f>1.33*0.6</f>
        <v>0.79800000000000004</v>
      </c>
      <c r="G30" s="30">
        <f>2.09*0.6</f>
        <v>1.2539999999999998</v>
      </c>
      <c r="H30" s="30"/>
      <c r="I30" s="30"/>
      <c r="J30" s="30"/>
      <c r="K30" s="30">
        <f t="shared" si="0"/>
        <v>3.2879999999999994</v>
      </c>
      <c r="L30" s="30">
        <f t="shared" si="1"/>
        <v>1.4277029960920533</v>
      </c>
      <c r="M30" s="80">
        <v>10</v>
      </c>
    </row>
    <row r="31" spans="3:20" x14ac:dyDescent="0.3">
      <c r="C31" s="29">
        <v>10</v>
      </c>
      <c r="D31" s="29" t="s">
        <v>45</v>
      </c>
      <c r="E31" s="30">
        <f>1.88*0.6</f>
        <v>1.1279999999999999</v>
      </c>
      <c r="F31" s="30">
        <f>1.44*0.6</f>
        <v>0.86399999999999999</v>
      </c>
      <c r="G31" s="30"/>
      <c r="H31" s="30"/>
      <c r="I31" s="30"/>
      <c r="J31" s="30"/>
      <c r="K31" s="30">
        <f t="shared" si="0"/>
        <v>1.992</v>
      </c>
      <c r="L31" s="30">
        <f t="shared" si="1"/>
        <v>0.86495874945722961</v>
      </c>
      <c r="M31" s="70">
        <v>0</v>
      </c>
    </row>
    <row r="32" spans="3:20" x14ac:dyDescent="0.3">
      <c r="C32" s="29">
        <v>3</v>
      </c>
      <c r="D32" s="29" t="s">
        <v>45</v>
      </c>
      <c r="E32" s="30">
        <f>2*0.7</f>
        <v>1.4</v>
      </c>
      <c r="F32" s="30">
        <f>0.85*0.82</f>
        <v>0.69699999999999995</v>
      </c>
      <c r="G32" s="30"/>
      <c r="H32" s="30"/>
      <c r="I32" s="30"/>
      <c r="J32" s="30"/>
      <c r="K32" s="30">
        <f t="shared" si="0"/>
        <v>2.097</v>
      </c>
      <c r="L32" s="30">
        <f t="shared" si="1"/>
        <v>0.9105514546244029</v>
      </c>
      <c r="M32" s="70">
        <v>0</v>
      </c>
    </row>
    <row r="33" spans="3:13" x14ac:dyDescent="0.3">
      <c r="C33" s="29">
        <v>4</v>
      </c>
      <c r="D33" s="29" t="s">
        <v>44</v>
      </c>
      <c r="E33" s="30">
        <f>0.2*0.3</f>
        <v>0.06</v>
      </c>
      <c r="F33" s="30"/>
      <c r="G33" s="30"/>
      <c r="H33" s="30"/>
      <c r="I33" s="30"/>
      <c r="J33" s="30"/>
      <c r="K33" s="30">
        <f t="shared" si="0"/>
        <v>0.06</v>
      </c>
      <c r="L33" s="30">
        <f t="shared" si="1"/>
        <v>2.6052974381241857E-2</v>
      </c>
      <c r="M33" s="70">
        <v>0</v>
      </c>
    </row>
    <row r="34" spans="3:13" x14ac:dyDescent="0.3">
      <c r="C34" s="43">
        <v>1</v>
      </c>
      <c r="D34" s="43" t="s">
        <v>43</v>
      </c>
      <c r="E34" s="56">
        <f>1.54*2.93</f>
        <v>4.5122</v>
      </c>
      <c r="F34" s="56">
        <f>1.68*0.94</f>
        <v>1.5791999999999999</v>
      </c>
      <c r="G34" s="56"/>
      <c r="H34" s="56"/>
      <c r="I34" s="56"/>
      <c r="J34" s="56"/>
      <c r="K34" s="30">
        <f t="shared" si="0"/>
        <v>6.0914000000000001</v>
      </c>
      <c r="L34" s="30">
        <f t="shared" si="1"/>
        <v>2.6449848024316109</v>
      </c>
      <c r="M34" s="74">
        <v>44.9</v>
      </c>
    </row>
    <row r="35" spans="3:13" x14ac:dyDescent="0.3">
      <c r="C35" s="49">
        <v>1</v>
      </c>
      <c r="D35" s="49" t="s">
        <v>44</v>
      </c>
      <c r="E35" s="57">
        <f>1.95*1.1</f>
        <v>2.145</v>
      </c>
      <c r="F35" s="57">
        <f>0.84*0.9</f>
        <v>0.75600000000000001</v>
      </c>
      <c r="G35" s="57"/>
      <c r="H35" s="57"/>
      <c r="I35" s="57"/>
      <c r="J35" s="57"/>
      <c r="K35" s="30">
        <f t="shared" si="0"/>
        <v>2.9009999999999998</v>
      </c>
      <c r="L35" s="30">
        <f t="shared" si="1"/>
        <v>1.2596613113330437</v>
      </c>
      <c r="M35" s="77">
        <v>24</v>
      </c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+PCI_U28!D4+1</f>
        <v>320</v>
      </c>
      <c r="D4" s="1">
        <v>335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+PCI_U28!F11</f>
        <v>K1+014,58</v>
      </c>
      <c r="G9" s="27"/>
      <c r="H9" s="106" t="s">
        <v>97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100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</v>
      </c>
      <c r="D26" s="29" t="s">
        <v>43</v>
      </c>
      <c r="E26" s="30">
        <f>9*2.95</f>
        <v>26.55</v>
      </c>
      <c r="F26" s="30">
        <f>3.64*1.42</f>
        <v>5.1688000000000001</v>
      </c>
      <c r="G26" s="30"/>
      <c r="H26" s="30"/>
      <c r="I26" s="30"/>
      <c r="J26" s="30"/>
      <c r="K26" s="30">
        <f>+SUM(E26:J26)</f>
        <v>31.718800000000002</v>
      </c>
      <c r="L26" s="30">
        <f>+(K26/$H$11)*100</f>
        <v>13.772818063395571</v>
      </c>
      <c r="M26" s="85">
        <v>81.7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43</v>
      </c>
      <c r="E27" s="30">
        <f>7.66*2.98</f>
        <v>22.826799999999999</v>
      </c>
      <c r="F27" s="30"/>
      <c r="G27" s="30"/>
      <c r="H27" s="30"/>
      <c r="I27" s="30"/>
      <c r="J27" s="30"/>
      <c r="K27" s="30">
        <f t="shared" ref="K27:K33" si="0">+SUM(E27:J27)</f>
        <v>22.826799999999999</v>
      </c>
      <c r="L27" s="30">
        <f t="shared" ref="L27:L33" si="1">+(K27/$H$11)*100</f>
        <v>9.9117672600955267</v>
      </c>
      <c r="M27" s="86">
        <v>29</v>
      </c>
    </row>
    <row r="28" spans="3:20" x14ac:dyDescent="0.3">
      <c r="C28" s="29">
        <v>10</v>
      </c>
      <c r="D28" s="29" t="s">
        <v>45</v>
      </c>
      <c r="E28" s="30">
        <f>1.44*0.6</f>
        <v>0.86399999999999999</v>
      </c>
      <c r="F28" s="30">
        <f>1.88*0.6</f>
        <v>1.1279999999999999</v>
      </c>
      <c r="G28" s="30"/>
      <c r="H28" s="30"/>
      <c r="I28" s="30"/>
      <c r="J28" s="30"/>
      <c r="K28" s="30">
        <f t="shared" si="0"/>
        <v>1.992</v>
      </c>
      <c r="L28" s="30">
        <f t="shared" si="1"/>
        <v>0.86495874945722961</v>
      </c>
      <c r="M28" s="75">
        <v>0</v>
      </c>
    </row>
    <row r="29" spans="3:20" x14ac:dyDescent="0.3">
      <c r="C29" s="29">
        <v>3</v>
      </c>
      <c r="D29" s="29" t="s">
        <v>45</v>
      </c>
      <c r="E29" s="30">
        <f>1.35*0.82</f>
        <v>1.107</v>
      </c>
      <c r="F29" s="30">
        <f>7.28*1.23</f>
        <v>8.9543999999999997</v>
      </c>
      <c r="G29" s="30"/>
      <c r="H29" s="30"/>
      <c r="I29" s="30"/>
      <c r="J29" s="30"/>
      <c r="K29" s="30">
        <f t="shared" si="0"/>
        <v>10.061399999999999</v>
      </c>
      <c r="L29" s="30">
        <f t="shared" si="1"/>
        <v>4.3688232739904462</v>
      </c>
      <c r="M29" s="87">
        <v>5</v>
      </c>
    </row>
    <row r="30" spans="3:20" x14ac:dyDescent="0.3">
      <c r="C30" s="29">
        <v>1</v>
      </c>
      <c r="D30" s="29" t="s">
        <v>44</v>
      </c>
      <c r="E30" s="30">
        <f>7.6*1.14</f>
        <v>8.6639999999999997</v>
      </c>
      <c r="F30" s="30">
        <f>3.2*1.71</f>
        <v>5.4720000000000004</v>
      </c>
      <c r="G30" s="30">
        <f>6.7*1.33</f>
        <v>8.9110000000000014</v>
      </c>
      <c r="H30" s="30">
        <f>1.22*1.57</f>
        <v>1.9154</v>
      </c>
      <c r="I30" s="30">
        <f>1.72*0.72</f>
        <v>1.2383999999999999</v>
      </c>
      <c r="J30" s="30"/>
      <c r="K30" s="30">
        <f t="shared" si="0"/>
        <v>26.200800000000001</v>
      </c>
      <c r="L30" s="30">
        <f t="shared" si="1"/>
        <v>11.376812852800693</v>
      </c>
      <c r="M30" s="83">
        <v>51</v>
      </c>
    </row>
    <row r="31" spans="3:20" x14ac:dyDescent="0.3">
      <c r="C31" s="29">
        <v>4</v>
      </c>
      <c r="D31" s="29" t="s">
        <v>44</v>
      </c>
      <c r="E31" s="30">
        <f>1.7*0.8</f>
        <v>1.36</v>
      </c>
      <c r="F31" s="30"/>
      <c r="G31" s="30"/>
      <c r="H31" s="30"/>
      <c r="I31" s="30"/>
      <c r="J31" s="30"/>
      <c r="K31" s="30">
        <f t="shared" si="0"/>
        <v>1.36</v>
      </c>
      <c r="L31" s="30">
        <f t="shared" si="1"/>
        <v>0.59053408597481549</v>
      </c>
      <c r="M31" s="81">
        <v>8</v>
      </c>
    </row>
    <row r="32" spans="3:20" ht="14.4" customHeight="1" x14ac:dyDescent="0.3">
      <c r="C32" s="29">
        <v>1</v>
      </c>
      <c r="D32" s="29" t="s">
        <v>45</v>
      </c>
      <c r="E32" s="30">
        <f>2.23*0.76</f>
        <v>1.6948000000000001</v>
      </c>
      <c r="F32" s="30">
        <f>8*1.5</f>
        <v>12</v>
      </c>
      <c r="G32" s="30"/>
      <c r="H32" s="30"/>
      <c r="I32" s="30"/>
      <c r="J32" s="30"/>
      <c r="K32" s="30">
        <f t="shared" si="0"/>
        <v>13.694800000000001</v>
      </c>
      <c r="L32" s="30">
        <f t="shared" si="1"/>
        <v>5.946504559270517</v>
      </c>
      <c r="M32" s="84">
        <v>27.5</v>
      </c>
    </row>
    <row r="33" spans="3:13" x14ac:dyDescent="0.3">
      <c r="C33" s="29">
        <v>11</v>
      </c>
      <c r="D33" s="29" t="s">
        <v>45</v>
      </c>
      <c r="E33" s="30">
        <f>1.19*1.24</f>
        <v>1.4756</v>
      </c>
      <c r="F33" s="30"/>
      <c r="G33" s="30"/>
      <c r="H33" s="30"/>
      <c r="I33" s="30"/>
      <c r="J33" s="30"/>
      <c r="K33" s="30">
        <f t="shared" si="0"/>
        <v>1.4756</v>
      </c>
      <c r="L33" s="30">
        <f t="shared" si="1"/>
        <v>0.64072948328267476</v>
      </c>
      <c r="M33" s="82">
        <v>1.5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92"/>
  <sheetViews>
    <sheetView showGridLines="0" topLeftCell="B1" zoomScale="115" zoomScaleNormal="115" workbookViewId="0">
      <selection activeCell="P72" sqref="P7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9" width="8.109375" customWidth="1"/>
    <col min="10" max="12" width="8.77734375" customWidth="1"/>
    <col min="13" max="13" width="10.109375" customWidth="1"/>
  </cols>
  <sheetData>
    <row r="1" spans="3:25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21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21">
        <v>22</v>
      </c>
      <c r="D4" s="1">
        <v>34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2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28" t="s">
        <v>38</v>
      </c>
      <c r="D9" s="27"/>
      <c r="E9" s="27"/>
      <c r="F9" s="28" t="str">
        <f>+PCI_U2!F11</f>
        <v>K0+072,30</v>
      </c>
      <c r="G9" s="27"/>
      <c r="H9" s="106" t="s">
        <v>51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2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28" t="s">
        <v>39</v>
      </c>
      <c r="D11" s="27"/>
      <c r="E11" s="27"/>
      <c r="F11" s="28" t="s">
        <v>184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23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22" t="s">
        <v>1</v>
      </c>
      <c r="D25" s="22" t="s">
        <v>29</v>
      </c>
      <c r="E25" s="126" t="s">
        <v>30</v>
      </c>
      <c r="F25" s="127"/>
      <c r="G25" s="127"/>
      <c r="H25" s="127"/>
      <c r="I25" s="127"/>
      <c r="J25" s="128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10</v>
      </c>
      <c r="D26" s="29" t="s">
        <v>45</v>
      </c>
      <c r="E26" s="30">
        <f>1.83*0.6</f>
        <v>1.0980000000000001</v>
      </c>
      <c r="F26" s="30">
        <f>1.9*0.6</f>
        <v>1.1399999999999999</v>
      </c>
      <c r="G26" s="30"/>
      <c r="H26" s="30"/>
      <c r="I26" s="30"/>
      <c r="J26" s="30"/>
      <c r="K26" s="30">
        <f>+SUM(E26:J26)</f>
        <v>2.238</v>
      </c>
      <c r="L26" s="30">
        <f>+(K26/$H$11)*100</f>
        <v>0.97177594442032122</v>
      </c>
      <c r="M26" s="43">
        <v>0</v>
      </c>
      <c r="O26" t="s">
        <v>47</v>
      </c>
      <c r="T26" t="s">
        <v>53</v>
      </c>
    </row>
    <row r="27" spans="3:20" x14ac:dyDescent="0.3">
      <c r="C27" s="29">
        <v>3</v>
      </c>
      <c r="D27" s="29" t="s">
        <v>45</v>
      </c>
      <c r="E27" s="30">
        <f>2.3*2</f>
        <v>4.5999999999999996</v>
      </c>
      <c r="F27" s="30">
        <f>1.2*0.77</f>
        <v>0.92399999999999993</v>
      </c>
      <c r="G27" s="30">
        <f>0.7*1.6</f>
        <v>1.1199999999999999</v>
      </c>
      <c r="H27" s="30">
        <f>1.4*0.53</f>
        <v>0.74199999999999999</v>
      </c>
      <c r="I27" s="30"/>
      <c r="J27" s="30"/>
      <c r="K27" s="30">
        <f t="shared" ref="K27:K33" si="0">+SUM(E27:J27)</f>
        <v>7.3859999999999992</v>
      </c>
      <c r="L27" s="30">
        <f t="shared" ref="L27:L33" si="1">+(K27/$H$11)*100</f>
        <v>3.2071211463308722</v>
      </c>
      <c r="M27" s="44">
        <v>3</v>
      </c>
    </row>
    <row r="28" spans="3:20" x14ac:dyDescent="0.3">
      <c r="C28" s="29">
        <v>3</v>
      </c>
      <c r="D28" s="29" t="s">
        <v>44</v>
      </c>
      <c r="E28" s="30">
        <f>2.16*1.6</f>
        <v>3.4560000000000004</v>
      </c>
      <c r="F28" s="30"/>
      <c r="G28" s="30"/>
      <c r="H28" s="30"/>
      <c r="I28" s="30"/>
      <c r="J28" s="30"/>
      <c r="K28" s="30">
        <f t="shared" si="0"/>
        <v>3.4560000000000004</v>
      </c>
      <c r="L28" s="30">
        <f t="shared" si="1"/>
        <v>1.5006513243595312</v>
      </c>
      <c r="M28" s="31">
        <v>4</v>
      </c>
    </row>
    <row r="29" spans="3:20" x14ac:dyDescent="0.3">
      <c r="C29" s="29">
        <v>3</v>
      </c>
      <c r="D29" s="29" t="s">
        <v>43</v>
      </c>
      <c r="E29" s="30">
        <f>5.68*1.64</f>
        <v>9.315199999999999</v>
      </c>
      <c r="F29" s="30"/>
      <c r="G29" s="30"/>
      <c r="H29" s="30"/>
      <c r="I29" s="30"/>
      <c r="J29" s="30"/>
      <c r="K29" s="30">
        <f t="shared" si="0"/>
        <v>9.315199999999999</v>
      </c>
      <c r="L29" s="30">
        <f t="shared" si="1"/>
        <v>4.0448111159357358</v>
      </c>
      <c r="M29" s="47">
        <v>18</v>
      </c>
    </row>
    <row r="30" spans="3:20" x14ac:dyDescent="0.3">
      <c r="C30" s="29">
        <v>10</v>
      </c>
      <c r="D30" s="29" t="s">
        <v>43</v>
      </c>
      <c r="E30" s="30">
        <f>5*0.6</f>
        <v>3</v>
      </c>
      <c r="F30" s="30"/>
      <c r="G30" s="30"/>
      <c r="H30" s="30"/>
      <c r="I30" s="30"/>
      <c r="J30" s="30"/>
      <c r="K30" s="30">
        <f t="shared" si="0"/>
        <v>3</v>
      </c>
      <c r="L30" s="30">
        <f t="shared" si="1"/>
        <v>1.3026487190620928</v>
      </c>
      <c r="M30" s="40">
        <v>9.6</v>
      </c>
    </row>
    <row r="31" spans="3:20" x14ac:dyDescent="0.3">
      <c r="C31" s="29">
        <v>13</v>
      </c>
      <c r="D31" s="29" t="s">
        <v>43</v>
      </c>
      <c r="E31" s="30">
        <f>0.7*1</f>
        <v>0.7</v>
      </c>
      <c r="F31" s="30"/>
      <c r="G31" s="30"/>
      <c r="H31" s="30"/>
      <c r="I31" s="30"/>
      <c r="J31" s="30"/>
      <c r="K31" s="30">
        <f t="shared" si="0"/>
        <v>0.7</v>
      </c>
      <c r="L31" s="30">
        <f t="shared" si="1"/>
        <v>0.30395136778115495</v>
      </c>
      <c r="M31" s="33">
        <v>31</v>
      </c>
    </row>
    <row r="32" spans="3:20" x14ac:dyDescent="0.3">
      <c r="C32" s="29">
        <v>11</v>
      </c>
      <c r="D32" s="29" t="s">
        <v>45</v>
      </c>
      <c r="E32" s="30">
        <f>6.7*6.11</f>
        <v>40.937000000000005</v>
      </c>
      <c r="F32" s="30">
        <f>11.15*2.1</f>
        <v>23.415000000000003</v>
      </c>
      <c r="G32" s="30"/>
      <c r="H32" s="30"/>
      <c r="I32" s="30"/>
      <c r="J32" s="30"/>
      <c r="K32" s="30">
        <f t="shared" si="0"/>
        <v>64.352000000000004</v>
      </c>
      <c r="L32" s="30">
        <f t="shared" si="1"/>
        <v>27.942683456361266</v>
      </c>
      <c r="M32" s="41">
        <v>27.5</v>
      </c>
    </row>
    <row r="33" spans="3:21" x14ac:dyDescent="0.3">
      <c r="C33" s="29">
        <v>17</v>
      </c>
      <c r="D33" s="29" t="s">
        <v>44</v>
      </c>
      <c r="E33" s="30">
        <f>4.3*1.25</f>
        <v>5.375</v>
      </c>
      <c r="F33" s="30"/>
      <c r="G33" s="30"/>
      <c r="H33" s="30"/>
      <c r="I33" s="30"/>
      <c r="J33" s="30"/>
      <c r="K33" s="30">
        <f t="shared" si="0"/>
        <v>5.375</v>
      </c>
      <c r="L33" s="30">
        <f t="shared" si="1"/>
        <v>2.3339122883195831</v>
      </c>
      <c r="M33" s="48">
        <v>20</v>
      </c>
    </row>
    <row r="34" spans="3:21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21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21" x14ac:dyDescent="0.3"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9"/>
    </row>
    <row r="37" spans="3:21" x14ac:dyDescent="0.3">
      <c r="C37" s="2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1" x14ac:dyDescent="0.3">
      <c r="L38" s="100" t="s">
        <v>238</v>
      </c>
      <c r="M38" s="100">
        <f>+MAX(M26:M37)</f>
        <v>31</v>
      </c>
    </row>
    <row r="45" spans="3:21" x14ac:dyDescent="0.3">
      <c r="C45" s="143"/>
      <c r="D45" s="143"/>
      <c r="E45" s="143"/>
      <c r="F45" s="143"/>
      <c r="G45" s="143"/>
      <c r="H45" s="138"/>
      <c r="I45" s="138"/>
      <c r="J45" s="134"/>
      <c r="K45" s="144"/>
      <c r="L45" s="144"/>
      <c r="M45" s="144"/>
      <c r="N45" s="144"/>
      <c r="O45" s="144"/>
      <c r="P45" s="144"/>
      <c r="Q45" s="144"/>
      <c r="R45" s="144"/>
      <c r="S45" s="134"/>
      <c r="T45" s="134"/>
      <c r="U45" s="134"/>
    </row>
    <row r="46" spans="3:21" x14ac:dyDescent="0.3">
      <c r="C46" s="145"/>
      <c r="D46" s="145"/>
      <c r="E46" s="145"/>
      <c r="F46" s="136"/>
      <c r="G46" s="137"/>
      <c r="H46" s="137"/>
      <c r="I46" s="138"/>
      <c r="J46" s="134"/>
      <c r="K46" s="134"/>
      <c r="L46" s="134"/>
      <c r="M46" s="134"/>
      <c r="N46" s="134"/>
      <c r="O46" s="134"/>
      <c r="P46" s="134"/>
      <c r="Q46" s="134"/>
      <c r="R46" s="139"/>
      <c r="S46" s="140"/>
      <c r="T46" s="134"/>
      <c r="U46" s="134"/>
    </row>
    <row r="47" spans="3:21" x14ac:dyDescent="0.3">
      <c r="C47" s="145"/>
      <c r="D47" s="145"/>
      <c r="E47" s="145"/>
      <c r="F47" s="141"/>
      <c r="G47" s="136"/>
      <c r="H47" s="138"/>
      <c r="I47" s="138"/>
      <c r="J47" s="134"/>
      <c r="K47" s="134"/>
      <c r="L47" s="134"/>
      <c r="M47" s="134"/>
      <c r="N47" s="134"/>
      <c r="O47" s="134"/>
      <c r="P47" s="134"/>
      <c r="Q47" s="134"/>
      <c r="R47" s="139"/>
      <c r="S47" s="140"/>
      <c r="T47" s="134"/>
      <c r="U47" s="134"/>
    </row>
    <row r="48" spans="3:21" x14ac:dyDescent="0.3">
      <c r="C48" s="145"/>
      <c r="D48" s="145"/>
      <c r="E48" s="145"/>
      <c r="F48" s="141"/>
      <c r="G48" s="141"/>
      <c r="H48" s="138"/>
      <c r="I48" s="138"/>
      <c r="J48" s="134"/>
      <c r="K48" s="134"/>
      <c r="L48" s="134"/>
      <c r="M48" s="134"/>
      <c r="N48" s="134"/>
      <c r="O48" s="134"/>
      <c r="P48" s="134"/>
      <c r="Q48" s="134"/>
      <c r="R48" s="139"/>
      <c r="S48" s="140"/>
      <c r="T48" s="134"/>
      <c r="U48" s="134"/>
    </row>
    <row r="49" spans="3:21" x14ac:dyDescent="0.3">
      <c r="C49" s="138"/>
      <c r="D49" s="134"/>
      <c r="E49" s="138"/>
      <c r="F49" s="141"/>
      <c r="G49" s="141"/>
      <c r="H49" s="138"/>
      <c r="I49" s="138"/>
      <c r="J49" s="134"/>
      <c r="K49" s="134"/>
      <c r="L49" s="134"/>
      <c r="M49" s="134"/>
      <c r="N49" s="134"/>
      <c r="O49" s="134"/>
      <c r="P49" s="134"/>
      <c r="Q49" s="134"/>
      <c r="R49" s="139"/>
      <c r="S49" s="140"/>
      <c r="T49" s="134"/>
      <c r="U49" s="134"/>
    </row>
    <row r="50" spans="3:21" x14ac:dyDescent="0.3">
      <c r="C50" s="138"/>
      <c r="D50" s="134"/>
      <c r="E50" s="138"/>
      <c r="F50" s="141"/>
      <c r="G50" s="141"/>
      <c r="H50" s="138"/>
      <c r="I50" s="138"/>
      <c r="J50" s="134"/>
      <c r="K50" s="134"/>
      <c r="L50" s="134"/>
      <c r="M50" s="134"/>
      <c r="N50" s="134"/>
      <c r="O50" s="134"/>
      <c r="P50" s="134"/>
      <c r="Q50" s="134"/>
      <c r="R50" s="139"/>
      <c r="S50" s="140"/>
      <c r="T50" s="134"/>
      <c r="U50" s="134"/>
    </row>
    <row r="51" spans="3:21" x14ac:dyDescent="0.3">
      <c r="C51" s="143"/>
      <c r="D51" s="143"/>
      <c r="E51" s="143"/>
      <c r="F51" s="136"/>
      <c r="G51" s="136"/>
      <c r="H51" s="138"/>
      <c r="I51" s="138"/>
      <c r="J51" s="134"/>
      <c r="K51" s="134"/>
      <c r="L51" s="134"/>
      <c r="M51" s="134"/>
      <c r="N51" s="134"/>
      <c r="O51" s="134"/>
      <c r="P51" s="134"/>
      <c r="Q51" s="134"/>
      <c r="R51" s="139"/>
      <c r="S51" s="140"/>
      <c r="T51" s="134"/>
      <c r="U51" s="134"/>
    </row>
    <row r="52" spans="3:21" x14ac:dyDescent="0.3">
      <c r="C52" s="143"/>
      <c r="D52" s="143"/>
      <c r="E52" s="143"/>
      <c r="F52" s="142"/>
      <c r="G52" s="142"/>
      <c r="H52" s="138"/>
      <c r="I52" s="138"/>
      <c r="J52" s="134"/>
      <c r="K52" s="134"/>
      <c r="L52" s="134"/>
      <c r="M52" s="134"/>
      <c r="N52" s="134"/>
      <c r="O52" s="134"/>
      <c r="P52" s="134"/>
      <c r="Q52" s="134"/>
      <c r="R52" s="139"/>
      <c r="S52" s="140"/>
      <c r="T52" s="134"/>
      <c r="U52" s="134"/>
    </row>
    <row r="53" spans="3:21" x14ac:dyDescent="0.3">
      <c r="C53" s="138"/>
      <c r="D53" s="134"/>
      <c r="E53" s="138"/>
      <c r="F53" s="138"/>
      <c r="G53" s="138"/>
      <c r="H53" s="138"/>
      <c r="I53" s="138"/>
      <c r="J53" s="134"/>
      <c r="K53" s="134"/>
      <c r="L53" s="134"/>
      <c r="M53" s="134"/>
      <c r="N53" s="134"/>
      <c r="O53" s="134"/>
      <c r="P53" s="134"/>
      <c r="Q53" s="134"/>
      <c r="R53" s="139"/>
      <c r="S53" s="140"/>
      <c r="T53" s="134"/>
      <c r="U53" s="134"/>
    </row>
    <row r="54" spans="3:21" x14ac:dyDescent="0.3">
      <c r="C54" s="138"/>
      <c r="D54" s="134"/>
      <c r="E54" s="138"/>
      <c r="F54" s="138"/>
      <c r="G54" s="138"/>
      <c r="H54" s="138"/>
      <c r="I54" s="138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</row>
    <row r="55" spans="3:21" x14ac:dyDescent="0.3">
      <c r="C55" s="138"/>
      <c r="D55" s="134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46"/>
      <c r="U55" s="146"/>
    </row>
    <row r="56" spans="3:21" x14ac:dyDescent="0.3">
      <c r="C56" s="138"/>
      <c r="D56" s="134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</row>
    <row r="57" spans="3:21" x14ac:dyDescent="0.3">
      <c r="C57" s="138"/>
      <c r="D57" s="134"/>
      <c r="E57" s="138"/>
      <c r="F57" s="138"/>
      <c r="G57" s="138"/>
      <c r="H57" s="138"/>
      <c r="I57" s="138"/>
      <c r="J57" s="138"/>
      <c r="K57" s="138"/>
      <c r="L57" s="134"/>
      <c r="M57" s="138"/>
      <c r="N57" s="138"/>
      <c r="O57" s="138"/>
      <c r="P57" s="138"/>
      <c r="Q57" s="138"/>
      <c r="R57" s="138"/>
      <c r="S57" s="138"/>
      <c r="T57" s="138"/>
      <c r="U57" s="138"/>
    </row>
    <row r="58" spans="3:21" x14ac:dyDescent="0.3">
      <c r="C58" s="138"/>
      <c r="D58" s="134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</row>
    <row r="59" spans="3:21" x14ac:dyDescent="0.3">
      <c r="C59" s="138"/>
      <c r="D59" s="134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</row>
    <row r="60" spans="3:21" x14ac:dyDescent="0.3">
      <c r="C60" s="138"/>
      <c r="D60" s="134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</row>
    <row r="61" spans="3:21" x14ac:dyDescent="0.3">
      <c r="C61" s="138"/>
      <c r="D61" s="134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</row>
    <row r="62" spans="3:21" x14ac:dyDescent="0.3">
      <c r="C62" s="138"/>
      <c r="D62" s="134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</row>
    <row r="63" spans="3:21" x14ac:dyDescent="0.3">
      <c r="C63" s="138"/>
      <c r="D63" s="134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</row>
    <row r="64" spans="3:21" x14ac:dyDescent="0.3">
      <c r="C64" s="138"/>
      <c r="D64" s="134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</row>
    <row r="65" spans="3:21" x14ac:dyDescent="0.3">
      <c r="C65" s="138"/>
      <c r="D65" s="134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</row>
    <row r="66" spans="3:21" x14ac:dyDescent="0.3">
      <c r="C66" s="138"/>
      <c r="D66" s="134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</row>
    <row r="67" spans="3:21" x14ac:dyDescent="0.3">
      <c r="C67" s="138"/>
      <c r="D67" s="134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</row>
    <row r="68" spans="3:21" x14ac:dyDescent="0.3">
      <c r="C68" s="138"/>
      <c r="D68" s="134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</row>
    <row r="69" spans="3:21" x14ac:dyDescent="0.3">
      <c r="C69" s="138"/>
      <c r="D69" s="134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</row>
    <row r="70" spans="3:21" x14ac:dyDescent="0.3">
      <c r="C70" s="138"/>
      <c r="D70" s="134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</row>
    <row r="71" spans="3:21" x14ac:dyDescent="0.3">
      <c r="C71" s="138"/>
      <c r="D71" s="134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</row>
    <row r="72" spans="3:21" x14ac:dyDescent="0.3">
      <c r="C72" s="138"/>
      <c r="D72" s="134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</row>
    <row r="73" spans="3:21" x14ac:dyDescent="0.3">
      <c r="C73" s="138"/>
      <c r="D73" s="134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</row>
    <row r="74" spans="3:21" x14ac:dyDescent="0.3">
      <c r="C74" s="138"/>
      <c r="D74" s="134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</row>
    <row r="75" spans="3:21" x14ac:dyDescent="0.3">
      <c r="C75" s="138"/>
      <c r="D75" s="134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</row>
    <row r="76" spans="3:21" x14ac:dyDescent="0.3">
      <c r="C76" s="138"/>
      <c r="D76" s="134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</row>
    <row r="77" spans="3:21" x14ac:dyDescent="0.3">
      <c r="C77" s="138"/>
      <c r="D77" s="134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</row>
    <row r="78" spans="3:21" x14ac:dyDescent="0.3">
      <c r="C78" s="138"/>
      <c r="D78" s="134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</row>
    <row r="79" spans="3:21" x14ac:dyDescent="0.3">
      <c r="C79" s="138"/>
      <c r="D79" s="134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</row>
    <row r="80" spans="3:21" x14ac:dyDescent="0.3">
      <c r="C80" s="138"/>
      <c r="D80" s="134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</row>
    <row r="81" spans="3:21" x14ac:dyDescent="0.3">
      <c r="C81" s="138"/>
      <c r="D81" s="134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</row>
    <row r="82" spans="3:21" x14ac:dyDescent="0.3">
      <c r="C82" s="138"/>
      <c r="D82" s="134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</row>
    <row r="83" spans="3:21" x14ac:dyDescent="0.3">
      <c r="C83" s="138"/>
      <c r="D83" s="134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</row>
    <row r="84" spans="3:21" x14ac:dyDescent="0.3">
      <c r="C84" s="138"/>
      <c r="D84" s="134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</row>
    <row r="85" spans="3:21" x14ac:dyDescent="0.3">
      <c r="C85" s="138"/>
      <c r="D85" s="134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</row>
    <row r="86" spans="3:21" x14ac:dyDescent="0.3">
      <c r="C86" s="138"/>
      <c r="D86" s="134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</row>
    <row r="87" spans="3:21" x14ac:dyDescent="0.3">
      <c r="C87" s="138"/>
      <c r="D87" s="134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</row>
    <row r="88" spans="3:21" x14ac:dyDescent="0.3">
      <c r="C88" s="138"/>
      <c r="D88" s="134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</row>
    <row r="89" spans="3:21" x14ac:dyDescent="0.3">
      <c r="C89" s="138"/>
      <c r="D89" s="134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</row>
    <row r="90" spans="3:21" x14ac:dyDescent="0.3">
      <c r="C90"/>
      <c r="D90" s="2"/>
    </row>
    <row r="91" spans="3:21" x14ac:dyDescent="0.3">
      <c r="C91"/>
      <c r="D91" s="2"/>
    </row>
    <row r="92" spans="3:21" x14ac:dyDescent="0.3">
      <c r="C92"/>
      <c r="D92" s="2"/>
    </row>
  </sheetData>
  <mergeCells count="29">
    <mergeCell ref="C45:G45"/>
    <mergeCell ref="C46:E48"/>
    <mergeCell ref="C51:E52"/>
    <mergeCell ref="F52:G52"/>
    <mergeCell ref="K45:R45"/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+PCI_U29!D4+1</f>
        <v>336</v>
      </c>
      <c r="D4" s="1">
        <v>355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+PCI_U29!F11</f>
        <v>K1+050,74</v>
      </c>
      <c r="G9" s="27"/>
      <c r="H9" s="106" t="s">
        <v>98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102</v>
      </c>
      <c r="G11" s="27"/>
      <c r="H11" s="105">
        <v>230.3</v>
      </c>
      <c r="I11" s="105"/>
      <c r="J11" s="9"/>
      <c r="K11" s="111"/>
      <c r="L11" s="112"/>
      <c r="M11" s="113"/>
      <c r="O11" t="s">
        <v>82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</v>
      </c>
      <c r="D26" s="29" t="s">
        <v>44</v>
      </c>
      <c r="E26" s="30">
        <f>3.4*1.16</f>
        <v>3.9439999999999995</v>
      </c>
      <c r="F26" s="30"/>
      <c r="G26" s="30"/>
      <c r="H26" s="30"/>
      <c r="I26" s="30"/>
      <c r="J26" s="30"/>
      <c r="K26" s="30">
        <f>+SUM(E26:J26)</f>
        <v>3.9439999999999995</v>
      </c>
      <c r="L26" s="30">
        <f>+(K26/$H$11)*100</f>
        <v>1.7125488493269645</v>
      </c>
      <c r="M26" s="45">
        <v>26</v>
      </c>
      <c r="O26" t="s">
        <v>52</v>
      </c>
      <c r="T26" t="s">
        <v>50</v>
      </c>
      <c r="Y26" t="s">
        <v>67</v>
      </c>
    </row>
    <row r="27" spans="3:25" x14ac:dyDescent="0.3">
      <c r="C27" s="29">
        <v>11</v>
      </c>
      <c r="D27" s="29" t="s">
        <v>45</v>
      </c>
      <c r="E27" s="30">
        <f>3.12*1.32</f>
        <v>4.1184000000000003</v>
      </c>
      <c r="F27" s="30">
        <f>1.8*1.22</f>
        <v>2.1960000000000002</v>
      </c>
      <c r="G27" s="30">
        <f>7.9*1.35</f>
        <v>10.665000000000001</v>
      </c>
      <c r="H27" s="30">
        <f>5.03*1.53</f>
        <v>7.6959000000000009</v>
      </c>
      <c r="I27" s="30">
        <f>7.3*2.94</f>
        <v>21.462</v>
      </c>
      <c r="J27" s="30">
        <f>(8.15*2.04)+(8.15*2.04)</f>
        <v>33.252000000000002</v>
      </c>
      <c r="K27" s="30">
        <f>+SUM(E27:J27)</f>
        <v>79.389300000000006</v>
      </c>
      <c r="L27" s="30">
        <f>+(K27/$H$11)*100</f>
        <v>34.47212331741207</v>
      </c>
      <c r="M27" s="44">
        <v>29</v>
      </c>
    </row>
    <row r="28" spans="3:25" x14ac:dyDescent="0.3">
      <c r="C28" s="29">
        <v>1</v>
      </c>
      <c r="D28" s="29" t="s">
        <v>43</v>
      </c>
      <c r="E28" s="30">
        <f>2.9*1.03</f>
        <v>2.9870000000000001</v>
      </c>
      <c r="F28" s="30"/>
      <c r="G28" s="30"/>
      <c r="H28" s="30"/>
      <c r="I28" s="30"/>
      <c r="J28" s="30"/>
      <c r="K28" s="30">
        <f>+SUM(E28:J28)</f>
        <v>2.9870000000000001</v>
      </c>
      <c r="L28" s="30">
        <f>+(K28/$H$11)*100</f>
        <v>1.2970039079461573</v>
      </c>
      <c r="M28" s="58">
        <v>33</v>
      </c>
    </row>
    <row r="29" spans="3:25" x14ac:dyDescent="0.3">
      <c r="C29" s="29">
        <v>13</v>
      </c>
      <c r="D29" s="29" t="s">
        <v>43</v>
      </c>
      <c r="E29" s="30">
        <f>0.84*0.29</f>
        <v>0.24359999999999998</v>
      </c>
      <c r="F29" s="30">
        <f>0.54*0.4</f>
        <v>0.21600000000000003</v>
      </c>
      <c r="G29" s="30">
        <f>0.56*0.45</f>
        <v>0.25200000000000006</v>
      </c>
      <c r="H29" s="30">
        <f>0.36*0.21</f>
        <v>7.5600000000000001E-2</v>
      </c>
      <c r="I29" s="30">
        <f>0.19*0.14</f>
        <v>2.6600000000000002E-2</v>
      </c>
      <c r="J29" s="30">
        <f>(0.45*0.4)+(0.34*0.35)+(0.4*0.25)+(0.93*0.43)</f>
        <v>0.79890000000000005</v>
      </c>
      <c r="K29" s="30">
        <f>+SUM(E29:J29)</f>
        <v>1.6127</v>
      </c>
      <c r="L29" s="30">
        <f>+(K29/$H$11)*100</f>
        <v>0.70026052974381237</v>
      </c>
      <c r="M29" s="48">
        <v>26</v>
      </c>
    </row>
    <row r="30" spans="3:25" x14ac:dyDescent="0.3">
      <c r="C30" s="29">
        <v>8</v>
      </c>
      <c r="D30" s="29" t="s">
        <v>43</v>
      </c>
      <c r="E30" s="30">
        <f>4.57*0.6</f>
        <v>2.742</v>
      </c>
      <c r="F30" s="30"/>
      <c r="G30" s="30"/>
      <c r="H30" s="30"/>
      <c r="I30" s="30"/>
      <c r="J30" s="30"/>
      <c r="K30" s="30">
        <f>+SUM(E30:J30)</f>
        <v>2.742</v>
      </c>
      <c r="L30" s="30">
        <f>+(K30/$H$11)*100</f>
        <v>1.1906209292227528</v>
      </c>
      <c r="M30" s="72">
        <v>8</v>
      </c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+PCI_U30!D4+1</f>
        <v>356</v>
      </c>
      <c r="D4" s="1">
        <v>365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+PCI_U30!F11</f>
        <v>K1+086,91</v>
      </c>
      <c r="G9" s="27"/>
      <c r="H9" s="106" t="s">
        <v>101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105</v>
      </c>
      <c r="G11" s="27"/>
      <c r="H11" s="105">
        <v>230.3</v>
      </c>
      <c r="I11" s="105"/>
      <c r="J11" s="9"/>
      <c r="K11" s="111"/>
      <c r="L11" s="112"/>
      <c r="M11" s="113"/>
      <c r="O11" t="s">
        <v>48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45</v>
      </c>
      <c r="E26" s="30">
        <f>3.18*2.02</f>
        <v>6.4236000000000004</v>
      </c>
      <c r="F26" s="30">
        <f>9.6*1.92</f>
        <v>18.431999999999999</v>
      </c>
      <c r="G26" s="30">
        <f>15.26*3.6</f>
        <v>54.936</v>
      </c>
      <c r="H26" s="30">
        <f>1.95*1.72</f>
        <v>3.3540000000000001</v>
      </c>
      <c r="I26" s="30"/>
      <c r="J26" s="30"/>
      <c r="K26" s="30">
        <f>+SUM(E26:J26)</f>
        <v>83.145600000000002</v>
      </c>
      <c r="L26" s="30">
        <f>+(K26/$H$11)*100</f>
        <v>36.103169778549713</v>
      </c>
      <c r="M26" s="67">
        <v>29</v>
      </c>
      <c r="O26" t="s">
        <v>52</v>
      </c>
    </row>
    <row r="27" spans="3:15" x14ac:dyDescent="0.3">
      <c r="C27" s="29">
        <v>13</v>
      </c>
      <c r="D27" s="29" t="s">
        <v>43</v>
      </c>
      <c r="E27" s="30">
        <f>0.23*0.28</f>
        <v>6.4400000000000013E-2</v>
      </c>
      <c r="F27" s="30">
        <f>0.34*0.29</f>
        <v>9.8600000000000007E-2</v>
      </c>
      <c r="G27" s="30">
        <f>0.43*0.4</f>
        <v>0.17200000000000001</v>
      </c>
      <c r="H27" s="30">
        <f>0.17*0.22</f>
        <v>3.7400000000000003E-2</v>
      </c>
      <c r="I27" s="30"/>
      <c r="J27" s="30"/>
      <c r="K27" s="30">
        <f>+SUM(E27:J27)</f>
        <v>0.37240000000000006</v>
      </c>
      <c r="L27" s="30">
        <f>+(K27/$H$11)*100</f>
        <v>0.16170212765957451</v>
      </c>
      <c r="M27" s="48">
        <v>21.7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+PCI_U31!D4+1</f>
        <v>366</v>
      </c>
      <c r="D4" s="1">
        <v>372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/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+PCI_U31!F11</f>
        <v>K1+122,68</v>
      </c>
      <c r="G9" s="27"/>
      <c r="H9" s="106" t="s">
        <v>103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95" t="s">
        <v>106</v>
      </c>
      <c r="G11" s="27"/>
      <c r="H11" s="105">
        <v>230.3</v>
      </c>
      <c r="I11" s="105"/>
      <c r="J11" s="9"/>
      <c r="K11" s="111"/>
      <c r="L11" s="112"/>
      <c r="M11" s="113"/>
      <c r="O11" t="s">
        <v>52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45</v>
      </c>
      <c r="E26" s="30">
        <f>2.8*1.4</f>
        <v>3.9199999999999995</v>
      </c>
      <c r="F26" s="30">
        <f>3.84*1.18</f>
        <v>4.5311999999999992</v>
      </c>
      <c r="G26" s="30">
        <f>2*1.7</f>
        <v>3.4</v>
      </c>
      <c r="H26" s="30">
        <f>5.45*2.58</f>
        <v>14.061000000000002</v>
      </c>
      <c r="I26" s="30"/>
      <c r="J26" s="30"/>
      <c r="K26" s="30">
        <f>+SUM(E26:J26)</f>
        <v>25.912199999999999</v>
      </c>
      <c r="L26" s="30">
        <f>+(K26/$H$11)*100</f>
        <v>11.251498046026921</v>
      </c>
      <c r="M26" s="67">
        <v>24</v>
      </c>
      <c r="O26" t="s">
        <v>47</v>
      </c>
    </row>
    <row r="27" spans="3:15" x14ac:dyDescent="0.3">
      <c r="C27" s="29">
        <v>13</v>
      </c>
      <c r="D27" s="29" t="s">
        <v>43</v>
      </c>
      <c r="E27" s="30">
        <f>0.6*0.44</f>
        <v>0.26400000000000001</v>
      </c>
      <c r="F27" s="30">
        <f>2.4*0.46</f>
        <v>1.1040000000000001</v>
      </c>
      <c r="G27" s="30"/>
      <c r="H27" s="30"/>
      <c r="I27" s="30"/>
      <c r="J27" s="30"/>
      <c r="K27" s="30">
        <f>+SUM(E27:J27)</f>
        <v>1.3680000000000001</v>
      </c>
      <c r="L27" s="30">
        <f>+(K27/$H$11)*100</f>
        <v>0.59400781589231444</v>
      </c>
      <c r="M27" s="48">
        <v>42</v>
      </c>
    </row>
    <row r="28" spans="3:15" x14ac:dyDescent="0.3">
      <c r="C28" s="29">
        <v>10</v>
      </c>
      <c r="D28" s="29" t="s">
        <v>45</v>
      </c>
      <c r="E28" s="30">
        <f>7.37*0.6</f>
        <v>4.4219999999999997</v>
      </c>
      <c r="F28" s="30"/>
      <c r="G28" s="30"/>
      <c r="H28" s="30"/>
      <c r="I28" s="30"/>
      <c r="J28" s="30"/>
      <c r="K28" s="30">
        <f>+SUM(E28:J28)</f>
        <v>4.4219999999999997</v>
      </c>
      <c r="L28" s="30">
        <f>+(K28/$H$11)*100</f>
        <v>1.9201042118975247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+PCI_U32!D4+1</f>
        <v>373</v>
      </c>
      <c r="D4" s="1">
        <v>377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+PCI_U32!F11</f>
        <v>K1+158,83</v>
      </c>
      <c r="G9" s="27"/>
      <c r="H9" s="106" t="s">
        <v>104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109</v>
      </c>
      <c r="G11" s="27"/>
      <c r="H11" s="105">
        <v>230.3</v>
      </c>
      <c r="I11" s="105"/>
      <c r="J11" s="9"/>
      <c r="K11" s="111"/>
      <c r="L11" s="112"/>
      <c r="M11" s="113"/>
      <c r="O11" t="s">
        <v>82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11</v>
      </c>
      <c r="D26" s="29" t="s">
        <v>45</v>
      </c>
      <c r="E26" s="30">
        <f>5.45*2.58</f>
        <v>14.061000000000002</v>
      </c>
      <c r="F26" s="30">
        <f>1.47*1.21</f>
        <v>1.7786999999999999</v>
      </c>
      <c r="G26" s="30"/>
      <c r="H26" s="30"/>
      <c r="I26" s="30"/>
      <c r="J26" s="30"/>
      <c r="K26" s="30">
        <f>+SUM(E26:J26)</f>
        <v>15.839700000000002</v>
      </c>
      <c r="L26" s="30">
        <f>+(K26/$H$11)*100</f>
        <v>6.8778549717759461</v>
      </c>
      <c r="M26" s="44">
        <v>12</v>
      </c>
      <c r="O26" t="s">
        <v>47</v>
      </c>
      <c r="T26" t="s">
        <v>52</v>
      </c>
    </row>
    <row r="27" spans="3:20" x14ac:dyDescent="0.3">
      <c r="C27" s="29">
        <v>10</v>
      </c>
      <c r="D27" s="29" t="s">
        <v>45</v>
      </c>
      <c r="E27" s="30">
        <f>1.5*0.6</f>
        <v>0.89999999999999991</v>
      </c>
      <c r="F27" s="30"/>
      <c r="G27" s="30"/>
      <c r="H27" s="30"/>
      <c r="I27" s="30"/>
      <c r="J27" s="30"/>
      <c r="K27" s="30">
        <f>+SUM(E27:J27)</f>
        <v>0.89999999999999991</v>
      </c>
      <c r="L27" s="30">
        <f>+(K27/$H$11)*100</f>
        <v>0.39079461571862784</v>
      </c>
      <c r="M27" s="43">
        <v>0</v>
      </c>
    </row>
    <row r="28" spans="3:20" x14ac:dyDescent="0.3">
      <c r="C28" s="29">
        <v>13</v>
      </c>
      <c r="D28" s="29" t="s">
        <v>43</v>
      </c>
      <c r="E28" s="30">
        <f>0.46*0.33</f>
        <v>0.15180000000000002</v>
      </c>
      <c r="F28" s="30"/>
      <c r="G28" s="30"/>
      <c r="H28" s="30"/>
      <c r="I28" s="30"/>
      <c r="J28" s="30"/>
      <c r="K28" s="30">
        <f>+SUM(E28:J28)</f>
        <v>0.15180000000000002</v>
      </c>
      <c r="L28" s="30">
        <f>+(K28/$H$11)*100</f>
        <v>6.5914025184541911E-2</v>
      </c>
      <c r="M28" s="43">
        <v>0</v>
      </c>
    </row>
    <row r="29" spans="3:20" x14ac:dyDescent="0.3">
      <c r="C29" s="29">
        <v>8</v>
      </c>
      <c r="D29" s="29" t="s">
        <v>45</v>
      </c>
      <c r="E29" s="30">
        <f>6.78*0.6</f>
        <v>4.0679999999999996</v>
      </c>
      <c r="F29" s="30"/>
      <c r="G29" s="30"/>
      <c r="H29" s="30"/>
      <c r="I29" s="30"/>
      <c r="J29" s="30"/>
      <c r="K29" s="30">
        <f>+SUM(E29:J29)</f>
        <v>4.0679999999999996</v>
      </c>
      <c r="L29" s="30">
        <f>+(K29/$H$11)*100</f>
        <v>1.7663916630481977</v>
      </c>
      <c r="M29" s="72">
        <v>1</v>
      </c>
    </row>
    <row r="30" spans="3:20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+PCI_U33!D4+1</f>
        <v>378</v>
      </c>
      <c r="D4" s="1">
        <v>379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+PCI_U33!F11</f>
        <v>K1+194,99</v>
      </c>
      <c r="G9" s="27"/>
      <c r="H9" s="106" t="s">
        <v>107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111</v>
      </c>
      <c r="G11" s="27"/>
      <c r="H11" s="105">
        <v>230.3</v>
      </c>
      <c r="I11" s="105"/>
      <c r="J11" s="9"/>
      <c r="K11" s="111"/>
      <c r="L11" s="112"/>
      <c r="M11" s="113"/>
      <c r="O11" t="s">
        <v>47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10</v>
      </c>
      <c r="D26" s="29" t="s">
        <v>45</v>
      </c>
      <c r="E26" s="30">
        <f>1.23*0.6</f>
        <v>0.73799999999999999</v>
      </c>
      <c r="F26" s="30"/>
      <c r="G26" s="30"/>
      <c r="H26" s="30"/>
      <c r="I26" s="30"/>
      <c r="J26" s="30"/>
      <c r="K26" s="30">
        <f>+SUM(E26:J26)</f>
        <v>0.73799999999999999</v>
      </c>
      <c r="L26" s="30">
        <f>+(K26/$H$11)*100</f>
        <v>0.32045158488927483</v>
      </c>
      <c r="M26" s="43">
        <v>0</v>
      </c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+PCI_U34!D4+1</f>
        <v>380</v>
      </c>
      <c r="D4" s="1">
        <v>385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+PCI_U34!F11</f>
        <v>K1+231,14</v>
      </c>
      <c r="G9" s="27"/>
      <c r="H9" s="106" t="s">
        <v>108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112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6.2*2</f>
        <v>12.4</v>
      </c>
      <c r="F26" s="30">
        <f>6.05*0.6</f>
        <v>3.63</v>
      </c>
      <c r="G26" s="30"/>
      <c r="H26" s="30"/>
      <c r="I26" s="30"/>
      <c r="J26" s="30"/>
      <c r="K26" s="30">
        <f>+SUM(E26:J26)</f>
        <v>16.03</v>
      </c>
      <c r="L26" s="30">
        <f>+(K26/$H$11)*100</f>
        <v>6.9604863221884496</v>
      </c>
      <c r="M26" s="58">
        <v>58</v>
      </c>
      <c r="O26" t="s">
        <v>46</v>
      </c>
    </row>
    <row r="27" spans="3:15" x14ac:dyDescent="0.3">
      <c r="C27" s="29">
        <v>4</v>
      </c>
      <c r="D27" s="29" t="s">
        <v>43</v>
      </c>
      <c r="E27" s="30">
        <f>4.2*1.1</f>
        <v>4.620000000000001</v>
      </c>
      <c r="F27" s="30"/>
      <c r="G27" s="30"/>
      <c r="H27" s="30"/>
      <c r="I27" s="30"/>
      <c r="J27" s="30"/>
      <c r="K27" s="30">
        <f>+SUM(E27:J27)</f>
        <v>4.620000000000001</v>
      </c>
      <c r="L27" s="30">
        <f>+(K27/$H$11)*100</f>
        <v>2.0060790273556237</v>
      </c>
      <c r="M27" s="67">
        <v>44</v>
      </c>
    </row>
    <row r="28" spans="3:15" x14ac:dyDescent="0.3">
      <c r="C28" s="29">
        <v>3</v>
      </c>
      <c r="D28" s="29" t="s">
        <v>45</v>
      </c>
      <c r="E28" s="30">
        <f>2.1*1.1</f>
        <v>2.3100000000000005</v>
      </c>
      <c r="F28" s="30"/>
      <c r="G28" s="30"/>
      <c r="H28" s="30"/>
      <c r="I28" s="30"/>
      <c r="J28" s="30"/>
      <c r="K28" s="30">
        <f>+SUM(E28:J28)</f>
        <v>2.3100000000000005</v>
      </c>
      <c r="L28" s="30">
        <f>+(K28/$H$11)*100</f>
        <v>1.0030395136778119</v>
      </c>
      <c r="M28" s="48">
        <v>1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+PCI_U35!D4+1</f>
        <v>386</v>
      </c>
      <c r="D4" s="1">
        <v>396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+PCI_U35!F11</f>
        <v>K1+267,29</v>
      </c>
      <c r="G9" s="27"/>
      <c r="H9" s="106" t="s">
        <v>116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117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45</v>
      </c>
      <c r="E26" s="30">
        <f>0.79*0.6</f>
        <v>0.47399999999999998</v>
      </c>
      <c r="F26" s="30">
        <f>0.47*0.8</f>
        <v>0.376</v>
      </c>
      <c r="G26" s="30"/>
      <c r="H26" s="30"/>
      <c r="I26" s="30"/>
      <c r="J26" s="30"/>
      <c r="K26" s="30">
        <f>+SUM(E26:J26)</f>
        <v>0.85</v>
      </c>
      <c r="L26" s="30">
        <f>+(K26/$H$11)*100</f>
        <v>0.36908380373425964</v>
      </c>
      <c r="M26" s="68">
        <v>2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1.8*0.6</f>
        <v>1.08</v>
      </c>
      <c r="F27" s="30">
        <f>0.83*0.6</f>
        <v>0.49799999999999994</v>
      </c>
      <c r="G27" s="30">
        <f>0.74*0.6</f>
        <v>0.44400000000000001</v>
      </c>
      <c r="H27" s="30">
        <f>5.5*0.6</f>
        <v>3.3</v>
      </c>
      <c r="I27" s="30">
        <f>0.9*0.6</f>
        <v>0.54</v>
      </c>
      <c r="J27" s="30">
        <f>4.4*0.6</f>
        <v>2.64</v>
      </c>
      <c r="K27" s="30">
        <f>+SUM(E27:J27)</f>
        <v>8.5020000000000007</v>
      </c>
      <c r="L27" s="30">
        <f>+(K27/$H$11)*100</f>
        <v>3.6917064698219719</v>
      </c>
      <c r="M27" s="67">
        <v>2</v>
      </c>
    </row>
    <row r="28" spans="3:15" x14ac:dyDescent="0.3">
      <c r="C28" s="29">
        <v>10</v>
      </c>
      <c r="D28" s="29" t="s">
        <v>44</v>
      </c>
      <c r="E28" s="30">
        <f>1.12*0.6</f>
        <v>0.67200000000000004</v>
      </c>
      <c r="F28" s="30"/>
      <c r="G28" s="30"/>
      <c r="H28" s="30"/>
      <c r="I28" s="30"/>
      <c r="J28" s="30"/>
      <c r="K28" s="30">
        <f>+SUM(E28:J28)</f>
        <v>0.67200000000000004</v>
      </c>
      <c r="L28" s="30">
        <f>+(K28/$H$11)*100</f>
        <v>0.2917933130699088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0.9*0.6</f>
        <v>0.54</v>
      </c>
      <c r="F29" s="30">
        <f>1.33*1.1</f>
        <v>1.4630000000000003</v>
      </c>
      <c r="G29" s="30"/>
      <c r="H29" s="30"/>
      <c r="I29" s="30"/>
      <c r="J29" s="30"/>
      <c r="K29" s="30">
        <f>+SUM(E29:J29)</f>
        <v>2.0030000000000001</v>
      </c>
      <c r="L29" s="30">
        <f>+(K29/$H$11)*100</f>
        <v>0.86973512809379072</v>
      </c>
      <c r="M29" s="43">
        <v>0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1" sqref="C4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+PCI_U36!D4+1</f>
        <v>397</v>
      </c>
      <c r="D4" s="1">
        <v>407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+PCI_U36!F11</f>
        <v>K1+303,42</v>
      </c>
      <c r="G9" s="27"/>
      <c r="H9" s="106" t="s">
        <v>110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120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45</v>
      </c>
      <c r="E26" s="30">
        <f>1.12*0.2</f>
        <v>0.22400000000000003</v>
      </c>
      <c r="F26" s="30"/>
      <c r="G26" s="30"/>
      <c r="H26" s="30"/>
      <c r="I26" s="30"/>
      <c r="J26" s="30"/>
      <c r="K26" s="30">
        <f t="shared" ref="K26:K31" si="0">+SUM(E26:J26)</f>
        <v>0.22400000000000003</v>
      </c>
      <c r="L26" s="30">
        <f t="shared" ref="L26:L31" si="1">+(K26/$H$11)*100</f>
        <v>9.7264437689969618E-2</v>
      </c>
      <c r="M26" s="43">
        <v>0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45</v>
      </c>
      <c r="E27" s="30">
        <f>1.05*0.4</f>
        <v>0.42000000000000004</v>
      </c>
      <c r="F27" s="30"/>
      <c r="G27" s="30"/>
      <c r="H27" s="30"/>
      <c r="I27" s="30"/>
      <c r="J27" s="30"/>
      <c r="K27" s="30">
        <f t="shared" si="0"/>
        <v>0.42000000000000004</v>
      </c>
      <c r="L27" s="30">
        <f t="shared" si="1"/>
        <v>0.18237082066869303</v>
      </c>
      <c r="M27" s="43">
        <v>0</v>
      </c>
    </row>
    <row r="28" spans="3:20" x14ac:dyDescent="0.3">
      <c r="C28" s="29">
        <v>1</v>
      </c>
      <c r="D28" s="29" t="s">
        <v>44</v>
      </c>
      <c r="E28" s="30">
        <f>4.5*0.97</f>
        <v>4.3650000000000002</v>
      </c>
      <c r="F28" s="30">
        <f>2.21*1.1</f>
        <v>2.431</v>
      </c>
      <c r="G28" s="30"/>
      <c r="H28" s="30"/>
      <c r="I28" s="30"/>
      <c r="J28" s="30"/>
      <c r="K28" s="30">
        <f t="shared" si="0"/>
        <v>6.7960000000000003</v>
      </c>
      <c r="L28" s="30">
        <f t="shared" si="1"/>
        <v>2.9509335649153279</v>
      </c>
      <c r="M28" s="45">
        <v>32</v>
      </c>
    </row>
    <row r="29" spans="3:20" x14ac:dyDescent="0.3">
      <c r="C29" s="29">
        <v>10</v>
      </c>
      <c r="D29" s="29" t="s">
        <v>45</v>
      </c>
      <c r="E29" s="30">
        <f>2.23*0.6</f>
        <v>1.3379999999999999</v>
      </c>
      <c r="F29" s="30">
        <f>1.38*0.6</f>
        <v>0.82799999999999996</v>
      </c>
      <c r="G29" s="30">
        <f>0.88*0.6</f>
        <v>0.52800000000000002</v>
      </c>
      <c r="H29" s="30"/>
      <c r="I29" s="30"/>
      <c r="J29" s="30"/>
      <c r="K29" s="30">
        <f t="shared" si="0"/>
        <v>2.694</v>
      </c>
      <c r="L29" s="30">
        <f t="shared" si="1"/>
        <v>1.1697785497177593</v>
      </c>
      <c r="M29" s="43">
        <v>0</v>
      </c>
    </row>
    <row r="30" spans="3:20" x14ac:dyDescent="0.3">
      <c r="C30" s="29">
        <v>1</v>
      </c>
      <c r="D30" s="29" t="s">
        <v>43</v>
      </c>
      <c r="E30" s="30">
        <f>3.35*0.8</f>
        <v>2.68</v>
      </c>
      <c r="F30" s="30"/>
      <c r="G30" s="30"/>
      <c r="H30" s="30"/>
      <c r="I30" s="30"/>
      <c r="J30" s="30"/>
      <c r="K30" s="30">
        <f t="shared" si="0"/>
        <v>2.68</v>
      </c>
      <c r="L30" s="30">
        <f t="shared" si="1"/>
        <v>1.1636995223621363</v>
      </c>
      <c r="M30" s="74">
        <v>31</v>
      </c>
    </row>
    <row r="31" spans="3:20" x14ac:dyDescent="0.3">
      <c r="C31" s="29">
        <v>3</v>
      </c>
      <c r="D31" s="29" t="s">
        <v>44</v>
      </c>
      <c r="E31" s="30">
        <f>12.65*1.8</f>
        <v>22.77</v>
      </c>
      <c r="F31" s="30">
        <f>2.3*2.64</f>
        <v>6.0720000000000001</v>
      </c>
      <c r="G31" s="30">
        <f>1.57*1.18</f>
        <v>1.8526</v>
      </c>
      <c r="H31" s="30"/>
      <c r="I31" s="30"/>
      <c r="J31" s="30"/>
      <c r="K31" s="30">
        <f t="shared" si="0"/>
        <v>30.694599999999998</v>
      </c>
      <c r="L31" s="30">
        <f t="shared" si="1"/>
        <v>13.32809379070777</v>
      </c>
      <c r="M31" s="80">
        <v>18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+PCI_U37!D4+1</f>
        <v>408</v>
      </c>
      <c r="D4" s="1">
        <v>414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+PCI_U37!F11</f>
        <v>K1+339,57</v>
      </c>
      <c r="G9" s="27"/>
      <c r="H9" s="106" t="s">
        <v>113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121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50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1.04*0.6</f>
        <v>0.624</v>
      </c>
      <c r="F26" s="30">
        <f>0.38*0.6</f>
        <v>0.22799999999999998</v>
      </c>
      <c r="G26" s="30"/>
      <c r="H26" s="30"/>
      <c r="I26" s="30"/>
      <c r="J26" s="30"/>
      <c r="K26" s="30">
        <f>+SUM(E26:J26)</f>
        <v>0.85199999999999998</v>
      </c>
      <c r="L26" s="30">
        <f>+(K26/$H$11)*100</f>
        <v>0.36995223621363438</v>
      </c>
      <c r="M26" s="43">
        <v>0</v>
      </c>
      <c r="O26" t="s">
        <v>47</v>
      </c>
      <c r="Y26" t="s">
        <v>67</v>
      </c>
    </row>
    <row r="27" spans="3:25" x14ac:dyDescent="0.3">
      <c r="C27" s="29">
        <v>3</v>
      </c>
      <c r="D27" s="29" t="s">
        <v>45</v>
      </c>
      <c r="E27" s="30">
        <f>2.26*0.36</f>
        <v>0.81359999999999988</v>
      </c>
      <c r="F27" s="30">
        <f>2.47*0.57</f>
        <v>1.4078999999999999</v>
      </c>
      <c r="G27" s="30">
        <f>1.2*0.25</f>
        <v>0.3</v>
      </c>
      <c r="H27" s="30"/>
      <c r="I27" s="30"/>
      <c r="J27" s="30"/>
      <c r="K27" s="30">
        <f>+SUM(E27:J27)</f>
        <v>2.5214999999999996</v>
      </c>
      <c r="L27" s="30">
        <f>+(K27/$H$11)*100</f>
        <v>1.094876248371689</v>
      </c>
      <c r="M27" s="67">
        <v>1</v>
      </c>
    </row>
    <row r="28" spans="3:25" x14ac:dyDescent="0.3">
      <c r="C28" s="29">
        <v>1</v>
      </c>
      <c r="D28" s="29" t="s">
        <v>44</v>
      </c>
      <c r="E28" s="30">
        <f>1.86*1.47</f>
        <v>2.7342</v>
      </c>
      <c r="F28" s="30"/>
      <c r="G28" s="30"/>
      <c r="H28" s="30"/>
      <c r="I28" s="30"/>
      <c r="J28" s="30"/>
      <c r="K28" s="30">
        <f>+SUM(E28:J28)</f>
        <v>2.7342</v>
      </c>
      <c r="L28" s="30">
        <f>+(K28/$H$11)*100</f>
        <v>1.1872340425531913</v>
      </c>
      <c r="M28" s="58">
        <v>22</v>
      </c>
    </row>
    <row r="29" spans="3:25" x14ac:dyDescent="0.3">
      <c r="C29" s="29">
        <v>3</v>
      </c>
      <c r="D29" s="29" t="s">
        <v>44</v>
      </c>
      <c r="E29" s="30">
        <f>1.38*0.54</f>
        <v>0.74519999999999997</v>
      </c>
      <c r="F29" s="30"/>
      <c r="G29" s="30"/>
      <c r="H29" s="30"/>
      <c r="I29" s="30"/>
      <c r="J29" s="30"/>
      <c r="K29" s="30">
        <f>+SUM(E29:J29)</f>
        <v>0.74519999999999997</v>
      </c>
      <c r="L29" s="30">
        <f>+(K29/$H$11)*100</f>
        <v>0.32357794181502386</v>
      </c>
      <c r="M29" s="43">
        <v>0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+PCI_U38!D4+1</f>
        <v>415</v>
      </c>
      <c r="D4" s="1">
        <v>429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+PCI_U38!F11</f>
        <v>K1+375,73</v>
      </c>
      <c r="G9" s="27"/>
      <c r="H9" s="106" t="s">
        <v>114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124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  <c r="Y11" t="s">
        <v>181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12</v>
      </c>
      <c r="D26" s="29" t="s">
        <v>44</v>
      </c>
      <c r="E26" s="30">
        <f>4.51*1.1</f>
        <v>4.9610000000000003</v>
      </c>
      <c r="F26" s="30"/>
      <c r="G26" s="30"/>
      <c r="H26" s="30"/>
      <c r="I26" s="30"/>
      <c r="J26" s="30"/>
      <c r="K26" s="30">
        <f>+SUM(E26:J26)</f>
        <v>4.9610000000000003</v>
      </c>
      <c r="L26" s="30">
        <f>+(K26/$H$11)*100</f>
        <v>2.1541467650890143</v>
      </c>
      <c r="M26" s="43">
        <v>0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44</v>
      </c>
      <c r="E27" s="30">
        <f>0.69*0.6</f>
        <v>0.41399999999999998</v>
      </c>
      <c r="F27" s="30">
        <f>0.7*0.6</f>
        <v>0.42</v>
      </c>
      <c r="G27" s="30">
        <f>1.84*0.6</f>
        <v>1.1040000000000001</v>
      </c>
      <c r="H27" s="30"/>
      <c r="I27" s="30"/>
      <c r="J27" s="30"/>
      <c r="K27" s="30">
        <f t="shared" ref="K27:K34" si="0">+SUM(E27:J27)</f>
        <v>1.9380000000000002</v>
      </c>
      <c r="L27" s="30">
        <f t="shared" ref="L27:L34" si="1">+(K27/$H$11)*100</f>
        <v>0.84151107251411206</v>
      </c>
      <c r="M27" s="68">
        <v>2</v>
      </c>
    </row>
    <row r="28" spans="3:25" x14ac:dyDescent="0.3">
      <c r="C28" s="29">
        <v>10</v>
      </c>
      <c r="D28" s="29" t="s">
        <v>45</v>
      </c>
      <c r="E28" s="30">
        <f>0.92*0.6</f>
        <v>0.55200000000000005</v>
      </c>
      <c r="F28" s="30">
        <f>0.64*0.6</f>
        <v>0.38400000000000001</v>
      </c>
      <c r="G28" s="30">
        <f>0.5*0.6</f>
        <v>0.3</v>
      </c>
      <c r="H28" s="30"/>
      <c r="I28" s="30"/>
      <c r="J28" s="30"/>
      <c r="K28" s="30">
        <f t="shared" si="0"/>
        <v>1.236</v>
      </c>
      <c r="L28" s="30">
        <f t="shared" si="1"/>
        <v>0.53669127225358226</v>
      </c>
      <c r="M28" s="43">
        <v>0</v>
      </c>
    </row>
    <row r="29" spans="3:25" x14ac:dyDescent="0.3">
      <c r="C29" s="29">
        <v>3</v>
      </c>
      <c r="D29" s="29" t="s">
        <v>44</v>
      </c>
      <c r="E29" s="30">
        <f>0.94*1.83</f>
        <v>1.7202</v>
      </c>
      <c r="F29" s="30"/>
      <c r="G29" s="30"/>
      <c r="H29" s="30"/>
      <c r="I29" s="30"/>
      <c r="J29" s="30"/>
      <c r="K29" s="30">
        <f t="shared" si="0"/>
        <v>1.7202</v>
      </c>
      <c r="L29" s="30">
        <f t="shared" si="1"/>
        <v>0.74693877551020404</v>
      </c>
      <c r="M29" s="67">
        <v>2</v>
      </c>
    </row>
    <row r="30" spans="3:25" x14ac:dyDescent="0.3">
      <c r="C30" s="29">
        <v>1</v>
      </c>
      <c r="D30" s="29" t="s">
        <v>43</v>
      </c>
      <c r="E30" s="30">
        <f>4.46*1.33</f>
        <v>5.9318</v>
      </c>
      <c r="F30" s="30"/>
      <c r="G30" s="30"/>
      <c r="H30" s="30"/>
      <c r="I30" s="30"/>
      <c r="J30" s="30"/>
      <c r="K30" s="30">
        <f t="shared" si="0"/>
        <v>5.9318</v>
      </c>
      <c r="L30" s="30">
        <f t="shared" si="1"/>
        <v>2.5756838905775075</v>
      </c>
      <c r="M30" s="74">
        <v>30</v>
      </c>
    </row>
    <row r="31" spans="3:25" x14ac:dyDescent="0.3">
      <c r="C31" s="29">
        <v>10</v>
      </c>
      <c r="D31" s="29" t="s">
        <v>43</v>
      </c>
      <c r="E31" s="30">
        <f>0.33*0.6</f>
        <v>0.19800000000000001</v>
      </c>
      <c r="F31" s="30">
        <f>0.4*0.6</f>
        <v>0.24</v>
      </c>
      <c r="G31" s="30"/>
      <c r="H31" s="30"/>
      <c r="I31" s="30"/>
      <c r="J31" s="30"/>
      <c r="K31" s="30">
        <f t="shared" si="0"/>
        <v>0.438</v>
      </c>
      <c r="L31" s="30">
        <f t="shared" si="1"/>
        <v>0.19018671298306555</v>
      </c>
      <c r="M31" s="70">
        <v>0</v>
      </c>
    </row>
    <row r="32" spans="3:25" x14ac:dyDescent="0.3">
      <c r="C32" s="29">
        <v>3</v>
      </c>
      <c r="D32" s="29" t="s">
        <v>45</v>
      </c>
      <c r="E32" s="30">
        <f>1.81*0.74</f>
        <v>1.3393999999999999</v>
      </c>
      <c r="F32" s="30"/>
      <c r="G32" s="30"/>
      <c r="H32" s="30"/>
      <c r="I32" s="30"/>
      <c r="J32" s="30"/>
      <c r="K32" s="30">
        <f t="shared" si="0"/>
        <v>1.3393999999999999</v>
      </c>
      <c r="L32" s="30">
        <f t="shared" si="1"/>
        <v>0.58158923143725572</v>
      </c>
      <c r="M32" s="70">
        <v>0</v>
      </c>
    </row>
    <row r="33" spans="3:13" x14ac:dyDescent="0.3">
      <c r="C33" s="29">
        <v>7</v>
      </c>
      <c r="D33" s="29" t="s">
        <v>45</v>
      </c>
      <c r="E33" s="30">
        <f>0.31*0.45</f>
        <v>0.13950000000000001</v>
      </c>
      <c r="F33" s="30"/>
      <c r="G33" s="30"/>
      <c r="H33" s="30"/>
      <c r="I33" s="30"/>
      <c r="J33" s="30"/>
      <c r="K33" s="30">
        <f t="shared" si="0"/>
        <v>0.13950000000000001</v>
      </c>
      <c r="L33" s="30">
        <f t="shared" si="1"/>
        <v>6.0573165436387327E-2</v>
      </c>
      <c r="M33" s="70">
        <v>0</v>
      </c>
    </row>
    <row r="34" spans="3:13" x14ac:dyDescent="0.3">
      <c r="C34" s="43">
        <v>17</v>
      </c>
      <c r="D34" s="43" t="s">
        <v>45</v>
      </c>
      <c r="E34" s="56">
        <f>0.14*0.45</f>
        <v>6.3000000000000014E-2</v>
      </c>
      <c r="F34" s="56">
        <f>0.35*0.1</f>
        <v>3.4999999999999996E-2</v>
      </c>
      <c r="G34" s="56"/>
      <c r="H34" s="56"/>
      <c r="I34" s="56"/>
      <c r="J34" s="56"/>
      <c r="K34" s="30">
        <f t="shared" si="0"/>
        <v>9.8000000000000004E-2</v>
      </c>
      <c r="L34" s="30">
        <f t="shared" si="1"/>
        <v>4.2553191489361701E-2</v>
      </c>
      <c r="M34" s="70">
        <v>0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8"/>
  <sheetViews>
    <sheetView showGridLines="0" topLeftCell="B1" zoomScale="115" zoomScaleNormal="115" workbookViewId="0">
      <selection activeCell="I46" sqref="I4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15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21">
        <v>35</v>
      </c>
      <c r="D3" s="1">
        <v>39</v>
      </c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21"/>
      <c r="D4" s="1"/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2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28" t="s">
        <v>38</v>
      </c>
      <c r="D9" s="27"/>
      <c r="E9" s="27"/>
      <c r="F9" s="28" t="str">
        <f>+PCI_U3!F11</f>
        <v>K0+108,46</v>
      </c>
      <c r="G9" s="27"/>
      <c r="H9" s="106" t="s">
        <v>56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2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28" t="s">
        <v>39</v>
      </c>
      <c r="D11" s="27"/>
      <c r="E11" s="27"/>
      <c r="F11" s="28" t="s">
        <v>54</v>
      </c>
      <c r="G11" s="27"/>
      <c r="H11" s="105">
        <v>230.3</v>
      </c>
      <c r="I11" s="105"/>
      <c r="J11" s="9"/>
      <c r="K11" s="111"/>
      <c r="L11" s="112"/>
      <c r="M11" s="113"/>
      <c r="O11" t="s">
        <v>48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23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22" t="s">
        <v>1</v>
      </c>
      <c r="D25" s="22" t="s">
        <v>29</v>
      </c>
      <c r="E25" s="126" t="s">
        <v>30</v>
      </c>
      <c r="F25" s="127"/>
      <c r="G25" s="127"/>
      <c r="H25" s="127"/>
      <c r="I25" s="127"/>
      <c r="J25" s="128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11</v>
      </c>
      <c r="D26" s="29" t="s">
        <v>45</v>
      </c>
      <c r="E26" s="2">
        <f>5.8*3.5</f>
        <v>20.3</v>
      </c>
      <c r="F26" s="30">
        <f>3.97*1.7</f>
        <v>6.7490000000000006</v>
      </c>
      <c r="G26" s="30"/>
      <c r="H26" s="30"/>
      <c r="I26" s="30"/>
      <c r="J26" s="30"/>
      <c r="K26" s="30">
        <f>+SUM(E26:J26)</f>
        <v>27.048999999999999</v>
      </c>
      <c r="L26" s="30">
        <f>+(K26/$H$11)*100</f>
        <v>11.745115067303516</v>
      </c>
      <c r="M26" s="41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5.76*2.4</f>
        <v>13.824</v>
      </c>
      <c r="F27" s="30"/>
      <c r="G27" s="30"/>
      <c r="H27" s="30"/>
      <c r="I27" s="30"/>
      <c r="J27" s="30"/>
      <c r="K27" s="30">
        <f>+SUM(E27:J27)</f>
        <v>13.824</v>
      </c>
      <c r="L27" s="30">
        <f>+(K27/$H$11)*100</f>
        <v>6.0026052974381239</v>
      </c>
      <c r="M27" s="45">
        <v>39.799999999999997</v>
      </c>
    </row>
    <row r="28" spans="3:20" x14ac:dyDescent="0.3">
      <c r="C28" s="29">
        <v>10</v>
      </c>
      <c r="D28" s="29" t="s">
        <v>45</v>
      </c>
      <c r="E28" s="30">
        <f>6.5*0.6</f>
        <v>3.9</v>
      </c>
      <c r="F28" s="30"/>
      <c r="G28" s="30"/>
      <c r="H28" s="30"/>
      <c r="I28" s="30"/>
      <c r="J28" s="30"/>
      <c r="K28" s="30">
        <f>+SUM(E28:J28)</f>
        <v>3.9</v>
      </c>
      <c r="L28" s="30">
        <f>+(K28/$H$11)*100</f>
        <v>1.6934433347807205</v>
      </c>
      <c r="M28" s="43">
        <v>0</v>
      </c>
    </row>
    <row r="29" spans="3:20" x14ac:dyDescent="0.3">
      <c r="C29" s="29">
        <v>1</v>
      </c>
      <c r="D29" s="29" t="s">
        <v>45</v>
      </c>
      <c r="E29" s="30">
        <f>1.9*1.2</f>
        <v>2.2799999999999998</v>
      </c>
      <c r="F29" s="30"/>
      <c r="G29" s="30"/>
      <c r="H29" s="30"/>
      <c r="I29" s="30"/>
      <c r="J29" s="30"/>
      <c r="K29" s="30">
        <f>+SUM(E29:J29)</f>
        <v>2.2799999999999998</v>
      </c>
      <c r="L29" s="30">
        <f>+(K29/$H$11)*100</f>
        <v>0.99001302648719058</v>
      </c>
      <c r="M29" s="58">
        <v>11</v>
      </c>
    </row>
    <row r="30" spans="3:20" x14ac:dyDescent="0.3">
      <c r="C30" s="43"/>
      <c r="D30" s="43"/>
      <c r="E30" s="56"/>
      <c r="F30" s="56"/>
      <c r="G30" s="56"/>
      <c r="H30" s="56"/>
      <c r="I30" s="56"/>
      <c r="J30" s="56"/>
      <c r="K30" s="56"/>
      <c r="L30" s="56"/>
      <c r="M30" s="43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</row>
    <row r="37" spans="3:13" x14ac:dyDescent="0.3"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</row>
    <row r="38" spans="3:13" x14ac:dyDescent="0.3">
      <c r="L38" s="100" t="s">
        <v>238</v>
      </c>
      <c r="M38" s="100">
        <f>+MAX(M26:M37)</f>
        <v>39.799999999999997</v>
      </c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+PCI_U39!D4+1</f>
        <v>430</v>
      </c>
      <c r="D4" s="1">
        <v>447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+PCI_U39!F11</f>
        <v>K1+411,88</v>
      </c>
      <c r="G9" s="27"/>
      <c r="H9" s="106" t="s">
        <v>115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125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52</v>
      </c>
      <c r="Y11" t="s">
        <v>53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13</v>
      </c>
      <c r="D26" s="29" t="s">
        <v>44</v>
      </c>
      <c r="E26" s="30">
        <f>1.6*0.3</f>
        <v>0.48</v>
      </c>
      <c r="F26" s="30"/>
      <c r="G26" s="30"/>
      <c r="H26" s="30"/>
      <c r="I26" s="30"/>
      <c r="J26" s="30"/>
      <c r="K26" s="30">
        <f t="shared" ref="K26:K32" si="0">+SUM(E26:J26)</f>
        <v>0.48</v>
      </c>
      <c r="L26" s="30">
        <f t="shared" ref="L26:L32" si="1">+(K26/$H$11)*100</f>
        <v>0.20842379504993486</v>
      </c>
      <c r="M26" s="90">
        <v>10</v>
      </c>
      <c r="O26" t="s">
        <v>47</v>
      </c>
      <c r="T26" t="s">
        <v>181</v>
      </c>
    </row>
    <row r="27" spans="3:20" x14ac:dyDescent="0.3">
      <c r="C27" s="29">
        <v>10</v>
      </c>
      <c r="D27" s="29" t="s">
        <v>45</v>
      </c>
      <c r="E27" s="30">
        <f>0.63*0.6</f>
        <v>0.378</v>
      </c>
      <c r="F27" s="30">
        <f>0.29*0.6</f>
        <v>0.17399999999999999</v>
      </c>
      <c r="G27" s="30">
        <f>0.34*0.6</f>
        <v>0.20400000000000001</v>
      </c>
      <c r="H27" s="30">
        <f>1.63*0.6</f>
        <v>0.97799999999999987</v>
      </c>
      <c r="I27" s="30"/>
      <c r="J27" s="30"/>
      <c r="K27" s="30">
        <f t="shared" si="0"/>
        <v>1.734</v>
      </c>
      <c r="L27" s="30">
        <f t="shared" si="1"/>
        <v>0.75293095961788969</v>
      </c>
      <c r="M27" s="75">
        <v>0</v>
      </c>
    </row>
    <row r="28" spans="3:20" x14ac:dyDescent="0.3">
      <c r="C28" s="29">
        <v>3</v>
      </c>
      <c r="D28" s="29" t="s">
        <v>45</v>
      </c>
      <c r="E28" s="30">
        <f>0.72*0.47</f>
        <v>0.33839999999999998</v>
      </c>
      <c r="F28" s="30">
        <f>0.89*0.23</f>
        <v>0.20470000000000002</v>
      </c>
      <c r="G28" s="30">
        <f>1.66*1.12</f>
        <v>1.8592000000000002</v>
      </c>
      <c r="H28" s="30">
        <f>0.37*0.18</f>
        <v>6.6599999999999993E-2</v>
      </c>
      <c r="I28" s="30">
        <f>1.45*1.47</f>
        <v>2.1315</v>
      </c>
      <c r="J28" s="30"/>
      <c r="K28" s="30">
        <f t="shared" si="0"/>
        <v>4.6004000000000005</v>
      </c>
      <c r="L28" s="30">
        <f t="shared" si="1"/>
        <v>1.9975683890577509</v>
      </c>
      <c r="M28" s="89">
        <v>1.6</v>
      </c>
    </row>
    <row r="29" spans="3:20" x14ac:dyDescent="0.3">
      <c r="C29" s="29">
        <v>12</v>
      </c>
      <c r="D29" s="29" t="s">
        <v>44</v>
      </c>
      <c r="E29" s="30">
        <f>3.74*0.63</f>
        <v>2.3562000000000003</v>
      </c>
      <c r="F29" s="30">
        <f>3.04*1.23</f>
        <v>3.7391999999999999</v>
      </c>
      <c r="G29" s="30"/>
      <c r="H29" s="30"/>
      <c r="I29" s="30"/>
      <c r="J29" s="30"/>
      <c r="K29" s="30">
        <f t="shared" si="0"/>
        <v>6.0953999999999997</v>
      </c>
      <c r="L29" s="30">
        <f t="shared" si="1"/>
        <v>2.6467216673903602</v>
      </c>
      <c r="M29" s="75">
        <v>0</v>
      </c>
    </row>
    <row r="30" spans="3:20" x14ac:dyDescent="0.3">
      <c r="C30" s="29">
        <v>3</v>
      </c>
      <c r="D30" s="29" t="s">
        <v>44</v>
      </c>
      <c r="E30" s="30">
        <f>0.75*0.74</f>
        <v>0.55499999999999994</v>
      </c>
      <c r="F30" s="30">
        <f>1.33*1.93</f>
        <v>2.5669</v>
      </c>
      <c r="G30" s="30"/>
      <c r="H30" s="30"/>
      <c r="I30" s="30"/>
      <c r="J30" s="30"/>
      <c r="K30" s="30">
        <f t="shared" si="0"/>
        <v>3.1219000000000001</v>
      </c>
      <c r="L30" s="30">
        <f t="shared" si="1"/>
        <v>1.3555796786799827</v>
      </c>
      <c r="M30" s="88">
        <v>3</v>
      </c>
    </row>
    <row r="31" spans="3:20" x14ac:dyDescent="0.3">
      <c r="C31" s="29">
        <v>10</v>
      </c>
      <c r="D31" s="29" t="s">
        <v>44</v>
      </c>
      <c r="E31" s="30">
        <f>2.18*0.6</f>
        <v>1.3080000000000001</v>
      </c>
      <c r="F31" s="30">
        <f>1.37*0.6</f>
        <v>0.82200000000000006</v>
      </c>
      <c r="G31" s="30">
        <f>1.74*0.6</f>
        <v>1.044</v>
      </c>
      <c r="H31" s="30"/>
      <c r="I31" s="30"/>
      <c r="J31" s="30"/>
      <c r="K31" s="30">
        <f t="shared" si="0"/>
        <v>3.1739999999999999</v>
      </c>
      <c r="L31" s="30">
        <f t="shared" si="1"/>
        <v>1.3782023447676941</v>
      </c>
      <c r="M31" s="82">
        <v>2</v>
      </c>
    </row>
    <row r="32" spans="3:20" x14ac:dyDescent="0.3">
      <c r="C32" s="29">
        <v>17</v>
      </c>
      <c r="D32" s="29" t="s">
        <v>44</v>
      </c>
      <c r="E32" s="30">
        <f>1.02*0.47</f>
        <v>0.47939999999999999</v>
      </c>
      <c r="F32" s="30"/>
      <c r="G32" s="30"/>
      <c r="H32" s="30"/>
      <c r="I32" s="30"/>
      <c r="J32" s="30"/>
      <c r="K32" s="30">
        <f t="shared" si="0"/>
        <v>0.47939999999999999</v>
      </c>
      <c r="L32" s="30">
        <f t="shared" si="1"/>
        <v>0.20816326530612245</v>
      </c>
      <c r="M32" s="91">
        <v>4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60">
        <f>+PCI_U40!D4+1</f>
        <v>448</v>
      </c>
      <c r="D4" s="1">
        <v>473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3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3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3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30" x14ac:dyDescent="0.3">
      <c r="C9" s="62" t="s">
        <v>38</v>
      </c>
      <c r="D9" s="27"/>
      <c r="E9" s="27"/>
      <c r="F9" s="62" t="str">
        <f>+PCI_U40!F11</f>
        <v>K1+448,03</v>
      </c>
      <c r="G9" s="27"/>
      <c r="H9" s="106" t="s">
        <v>118</v>
      </c>
      <c r="I9" s="106"/>
      <c r="J9" s="9"/>
      <c r="K9" s="111"/>
      <c r="L9" s="112"/>
      <c r="M9" s="113"/>
    </row>
    <row r="10" spans="3:3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30" x14ac:dyDescent="0.3">
      <c r="C11" s="62" t="s">
        <v>39</v>
      </c>
      <c r="D11" s="27"/>
      <c r="E11" s="27"/>
      <c r="F11" s="62" t="s">
        <v>131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  <c r="AD11" t="s">
        <v>82</v>
      </c>
    </row>
    <row r="12" spans="3:3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30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3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3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3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44</v>
      </c>
      <c r="E26" s="30">
        <f>2.45*1.94</f>
        <v>4.7530000000000001</v>
      </c>
      <c r="F26" s="30">
        <f>0.63*0.3</f>
        <v>0.189</v>
      </c>
      <c r="G26" s="30">
        <f>0.53*0.54</f>
        <v>0.28620000000000001</v>
      </c>
      <c r="H26" s="30">
        <f>0.58*0.94</f>
        <v>0.54519999999999991</v>
      </c>
      <c r="I26" s="30"/>
      <c r="J26" s="30"/>
      <c r="K26" s="30">
        <f>+SUM(E26:J26)</f>
        <v>5.7734000000000005</v>
      </c>
      <c r="L26" s="30">
        <f>+(K26/$H$11)*100</f>
        <v>2.506904038211029</v>
      </c>
      <c r="M26" s="67">
        <v>7</v>
      </c>
      <c r="O26" t="s">
        <v>47</v>
      </c>
      <c r="T26" t="s">
        <v>50</v>
      </c>
      <c r="Y26" t="s">
        <v>53</v>
      </c>
    </row>
    <row r="27" spans="3:25" x14ac:dyDescent="0.3">
      <c r="C27" s="29">
        <v>8</v>
      </c>
      <c r="D27" s="29" t="s">
        <v>43</v>
      </c>
      <c r="E27" s="30">
        <f>7.38*0.6</f>
        <v>4.4279999999999999</v>
      </c>
      <c r="F27" s="30"/>
      <c r="G27" s="30"/>
      <c r="H27" s="30"/>
      <c r="I27" s="30"/>
      <c r="J27" s="30"/>
      <c r="K27" s="30">
        <f t="shared" ref="K27:K34" si="0">+SUM(E27:J27)</f>
        <v>4.4279999999999999</v>
      </c>
      <c r="L27" s="30">
        <f t="shared" ref="L27:L34" si="1">+(K27/$H$11)*100</f>
        <v>1.922709509335649</v>
      </c>
      <c r="M27" s="48">
        <v>11</v>
      </c>
    </row>
    <row r="28" spans="3:25" x14ac:dyDescent="0.3">
      <c r="C28" s="29">
        <v>1</v>
      </c>
      <c r="D28" s="29" t="s">
        <v>43</v>
      </c>
      <c r="E28" s="30">
        <f>5.13*0.43</f>
        <v>2.2058999999999997</v>
      </c>
      <c r="F28" s="30">
        <f>1.85*0.84</f>
        <v>1.554</v>
      </c>
      <c r="G28" s="30">
        <f>2.2*1.83</f>
        <v>4.0260000000000007</v>
      </c>
      <c r="H28" s="30">
        <f>3.82*1.98</f>
        <v>7.5635999999999992</v>
      </c>
      <c r="I28" s="30">
        <f>3.43*2.1</f>
        <v>7.2030000000000003</v>
      </c>
      <c r="J28" s="30">
        <f>(3.44*3.2)+(1.32*1.1)</f>
        <v>12.46</v>
      </c>
      <c r="K28" s="30">
        <f t="shared" si="0"/>
        <v>35.012500000000003</v>
      </c>
      <c r="L28" s="30">
        <f t="shared" si="1"/>
        <v>15.202996092053844</v>
      </c>
      <c r="M28" s="92">
        <v>67</v>
      </c>
    </row>
    <row r="29" spans="3:25" x14ac:dyDescent="0.3">
      <c r="C29" s="29">
        <v>13</v>
      </c>
      <c r="D29" s="29" t="s">
        <v>43</v>
      </c>
      <c r="E29" s="30">
        <f>0.4*0.36</f>
        <v>0.14399999999999999</v>
      </c>
      <c r="F29" s="30">
        <f>0.22*0.12</f>
        <v>2.64E-2</v>
      </c>
      <c r="G29" s="30"/>
      <c r="H29" s="30"/>
      <c r="I29" s="30"/>
      <c r="J29" s="30"/>
      <c r="K29" s="30">
        <f t="shared" si="0"/>
        <v>0.1704</v>
      </c>
      <c r="L29" s="30">
        <f t="shared" si="1"/>
        <v>7.3990447242726881E-2</v>
      </c>
      <c r="M29" s="75">
        <v>0</v>
      </c>
    </row>
    <row r="30" spans="3:25" x14ac:dyDescent="0.3">
      <c r="C30" s="29">
        <v>11</v>
      </c>
      <c r="D30" s="29" t="s">
        <v>44</v>
      </c>
      <c r="E30" s="30">
        <f>0.73*0.73</f>
        <v>0.53289999999999993</v>
      </c>
      <c r="F30" s="30"/>
      <c r="G30" s="30"/>
      <c r="H30" s="30"/>
      <c r="I30" s="30"/>
      <c r="J30" s="30"/>
      <c r="K30" s="30">
        <f t="shared" si="0"/>
        <v>0.53289999999999993</v>
      </c>
      <c r="L30" s="30">
        <f t="shared" si="1"/>
        <v>0.23139383412939638</v>
      </c>
      <c r="M30" s="93">
        <v>4</v>
      </c>
    </row>
    <row r="31" spans="3:25" x14ac:dyDescent="0.3">
      <c r="C31" s="29">
        <v>10</v>
      </c>
      <c r="D31" s="29" t="s">
        <v>44</v>
      </c>
      <c r="E31" s="30">
        <f>0.9*0.6</f>
        <v>0.54</v>
      </c>
      <c r="F31" s="30">
        <f>0.47*0.6</f>
        <v>0.28199999999999997</v>
      </c>
      <c r="G31" s="30"/>
      <c r="H31" s="30"/>
      <c r="I31" s="30"/>
      <c r="J31" s="30"/>
      <c r="K31" s="30">
        <f t="shared" si="0"/>
        <v>0.82200000000000006</v>
      </c>
      <c r="L31" s="30">
        <f t="shared" si="1"/>
        <v>0.35692574902301349</v>
      </c>
      <c r="M31" s="69">
        <v>0</v>
      </c>
    </row>
    <row r="32" spans="3:25" x14ac:dyDescent="0.3">
      <c r="C32" s="29">
        <v>3</v>
      </c>
      <c r="D32" s="29" t="s">
        <v>43</v>
      </c>
      <c r="E32" s="30">
        <f>5.93*0.66</f>
        <v>3.9138000000000002</v>
      </c>
      <c r="F32" s="30">
        <f>6.9*0.97</f>
        <v>6.6930000000000005</v>
      </c>
      <c r="G32" s="30">
        <f>5.62*0.87</f>
        <v>4.8894000000000002</v>
      </c>
      <c r="H32" s="30">
        <f>0.26*0.28</f>
        <v>7.2800000000000004E-2</v>
      </c>
      <c r="I32" s="30">
        <f>3.3*2.4</f>
        <v>7.919999999999999</v>
      </c>
      <c r="J32" s="30">
        <f>0.89*1.37</f>
        <v>1.2193000000000001</v>
      </c>
      <c r="K32" s="30">
        <f t="shared" si="0"/>
        <v>24.708300000000001</v>
      </c>
      <c r="L32" s="30">
        <f t="shared" si="1"/>
        <v>10.728745115067303</v>
      </c>
      <c r="M32" s="88">
        <v>39</v>
      </c>
    </row>
    <row r="33" spans="3:13" x14ac:dyDescent="0.3">
      <c r="C33" s="29">
        <v>17</v>
      </c>
      <c r="D33" s="29" t="s">
        <v>44</v>
      </c>
      <c r="E33" s="30">
        <f>0.13*0.5</f>
        <v>6.5000000000000002E-2</v>
      </c>
      <c r="F33" s="30"/>
      <c r="G33" s="30"/>
      <c r="H33" s="30"/>
      <c r="I33" s="30"/>
      <c r="J33" s="30"/>
      <c r="K33" s="30">
        <f t="shared" si="0"/>
        <v>6.5000000000000002E-2</v>
      </c>
      <c r="L33" s="30">
        <f t="shared" si="1"/>
        <v>2.8224055579678681E-2</v>
      </c>
      <c r="M33" s="69">
        <v>0</v>
      </c>
    </row>
    <row r="34" spans="3:13" x14ac:dyDescent="0.3">
      <c r="C34" s="43">
        <v>10</v>
      </c>
      <c r="D34" s="43" t="s">
        <v>43</v>
      </c>
      <c r="E34" s="56">
        <f>0.64*0.6</f>
        <v>0.38400000000000001</v>
      </c>
      <c r="F34" s="56">
        <f>1.46*0.6</f>
        <v>0.876</v>
      </c>
      <c r="G34" s="56"/>
      <c r="H34" s="56"/>
      <c r="I34" s="56"/>
      <c r="J34" s="56"/>
      <c r="K34" s="30">
        <f t="shared" si="0"/>
        <v>1.26</v>
      </c>
      <c r="L34" s="30">
        <f t="shared" si="1"/>
        <v>0.54711246200607899</v>
      </c>
      <c r="M34" s="82">
        <v>6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+PCI_U41!D4+1</f>
        <v>474</v>
      </c>
      <c r="D4" s="1">
        <v>499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+PCI_U41!F11</f>
        <v>K1+484,19</v>
      </c>
      <c r="G9" s="27"/>
      <c r="H9" s="106" t="s">
        <v>119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138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44025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44</v>
      </c>
      <c r="E26" s="30">
        <f>0.68*0.6</f>
        <v>0.40800000000000003</v>
      </c>
      <c r="F26" s="30">
        <f>0.66*0.6</f>
        <v>0.39600000000000002</v>
      </c>
      <c r="G26" s="30"/>
      <c r="H26" s="30"/>
      <c r="I26" s="30"/>
      <c r="J26" s="30"/>
      <c r="K26" s="30">
        <f>+SUM(E26:J26)</f>
        <v>0.80400000000000005</v>
      </c>
      <c r="L26" s="30">
        <f>+(K26/$H$11)*100</f>
        <v>0.34910985670864086</v>
      </c>
      <c r="M26" s="43">
        <v>0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0.78*0.56</f>
        <v>0.43680000000000008</v>
      </c>
      <c r="F27" s="30">
        <f>0.83*1.3</f>
        <v>1.079</v>
      </c>
      <c r="G27" s="30">
        <f>0.92*0.79</f>
        <v>0.72680000000000011</v>
      </c>
      <c r="H27" s="30"/>
      <c r="I27" s="30"/>
      <c r="J27" s="30"/>
      <c r="K27" s="30">
        <f t="shared" ref="K27:K34" si="0">+SUM(E27:J27)</f>
        <v>2.2426000000000004</v>
      </c>
      <c r="L27" s="30">
        <f t="shared" ref="L27:L34" si="1">+(K27/$H$11)*100</f>
        <v>0.97377333912288322</v>
      </c>
      <c r="M27" s="45">
        <v>21.7</v>
      </c>
    </row>
    <row r="28" spans="3:20" x14ac:dyDescent="0.3">
      <c r="C28" s="29">
        <v>1</v>
      </c>
      <c r="D28" s="29" t="s">
        <v>43</v>
      </c>
      <c r="E28" s="30">
        <f>0.44*1.34</f>
        <v>0.58960000000000001</v>
      </c>
      <c r="F28" s="30">
        <f>7.5*1.64</f>
        <v>12.299999999999999</v>
      </c>
      <c r="G28" s="30">
        <f>2.15*1.84</f>
        <v>3.956</v>
      </c>
      <c r="H28" s="30">
        <f>1.44*0.98</f>
        <v>1.4112</v>
      </c>
      <c r="I28" s="30">
        <f>3.86*1</f>
        <v>3.86</v>
      </c>
      <c r="J28" s="30"/>
      <c r="K28" s="30">
        <f t="shared" si="0"/>
        <v>22.116800000000001</v>
      </c>
      <c r="L28" s="30">
        <f t="shared" si="1"/>
        <v>9.6034737299174981</v>
      </c>
      <c r="M28" s="58">
        <v>61.7</v>
      </c>
    </row>
    <row r="29" spans="3:20" x14ac:dyDescent="0.3">
      <c r="C29" s="29">
        <v>17</v>
      </c>
      <c r="D29" s="29" t="s">
        <v>44</v>
      </c>
      <c r="E29" s="30">
        <f>0.88*0.3</f>
        <v>0.26400000000000001</v>
      </c>
      <c r="F29" s="30">
        <f>0.5*1.4</f>
        <v>0.7</v>
      </c>
      <c r="G29" s="30"/>
      <c r="H29" s="30"/>
      <c r="I29" s="30"/>
      <c r="J29" s="30"/>
      <c r="K29" s="30">
        <f t="shared" si="0"/>
        <v>0.96399999999999997</v>
      </c>
      <c r="L29" s="30">
        <f t="shared" si="1"/>
        <v>0.41858445505861913</v>
      </c>
      <c r="M29" s="33">
        <v>6</v>
      </c>
    </row>
    <row r="30" spans="3:20" x14ac:dyDescent="0.3">
      <c r="C30" s="29">
        <v>3</v>
      </c>
      <c r="D30" s="29" t="s">
        <v>43</v>
      </c>
      <c r="E30" s="30">
        <f>0.5*0.45</f>
        <v>0.22500000000000001</v>
      </c>
      <c r="F30" s="30">
        <f>0.86*0.73</f>
        <v>0.62780000000000002</v>
      </c>
      <c r="G30" s="30">
        <f>0.9*0.5</f>
        <v>0.45</v>
      </c>
      <c r="H30" s="30">
        <f>0.46*0.84</f>
        <v>0.38640000000000002</v>
      </c>
      <c r="I30" s="30">
        <f>1.86*1.51</f>
        <v>2.8086000000000002</v>
      </c>
      <c r="J30" s="30">
        <f>2.65*3.15</f>
        <v>8.3475000000000001</v>
      </c>
      <c r="K30" s="30">
        <f t="shared" si="0"/>
        <v>12.8453</v>
      </c>
      <c r="L30" s="30">
        <f t="shared" si="1"/>
        <v>5.5776378636561006</v>
      </c>
      <c r="M30" s="80">
        <v>21.7</v>
      </c>
    </row>
    <row r="31" spans="3:20" x14ac:dyDescent="0.3">
      <c r="C31" s="29">
        <v>3</v>
      </c>
      <c r="D31" s="29" t="s">
        <v>44</v>
      </c>
      <c r="E31" s="30">
        <f>0.72*1.24</f>
        <v>0.89279999999999993</v>
      </c>
      <c r="F31" s="30">
        <f>0.86*0.54</f>
        <v>0.46440000000000003</v>
      </c>
      <c r="G31" s="30">
        <f>0.64*0.62</f>
        <v>0.39679999999999999</v>
      </c>
      <c r="H31" s="30">
        <f>0.33*0.43</f>
        <v>0.1419</v>
      </c>
      <c r="I31" s="30"/>
      <c r="J31" s="30"/>
      <c r="K31" s="30">
        <f t="shared" si="0"/>
        <v>1.8958999999999999</v>
      </c>
      <c r="L31" s="30">
        <f t="shared" si="1"/>
        <v>0.82323056882327383</v>
      </c>
      <c r="M31" s="72">
        <v>1.7</v>
      </c>
    </row>
    <row r="32" spans="3:20" x14ac:dyDescent="0.3">
      <c r="C32" s="29">
        <v>10</v>
      </c>
      <c r="D32" s="29" t="s">
        <v>45</v>
      </c>
      <c r="E32" s="30">
        <f>0.87*0.6</f>
        <v>0.52200000000000002</v>
      </c>
      <c r="F32" s="30"/>
      <c r="G32" s="30"/>
      <c r="H32" s="30"/>
      <c r="I32" s="30"/>
      <c r="J32" s="30"/>
      <c r="K32" s="30">
        <f t="shared" si="0"/>
        <v>0.52200000000000002</v>
      </c>
      <c r="L32" s="30">
        <f t="shared" si="1"/>
        <v>0.22666087711680416</v>
      </c>
      <c r="M32" s="70">
        <v>0</v>
      </c>
    </row>
    <row r="33" spans="3:13" x14ac:dyDescent="0.3">
      <c r="C33" s="29">
        <v>3</v>
      </c>
      <c r="D33" s="29" t="s">
        <v>45</v>
      </c>
      <c r="E33" s="30">
        <f>0.48*0.6</f>
        <v>0.28799999999999998</v>
      </c>
      <c r="F33" s="30"/>
      <c r="G33" s="30"/>
      <c r="H33" s="30"/>
      <c r="I33" s="30"/>
      <c r="J33" s="30"/>
      <c r="K33" s="30">
        <f t="shared" si="0"/>
        <v>0.28799999999999998</v>
      </c>
      <c r="L33" s="30">
        <f t="shared" si="1"/>
        <v>0.12505427702996091</v>
      </c>
      <c r="M33" s="70">
        <v>0</v>
      </c>
    </row>
    <row r="34" spans="3:13" x14ac:dyDescent="0.3">
      <c r="C34" s="43">
        <v>10</v>
      </c>
      <c r="D34" s="43" t="s">
        <v>43</v>
      </c>
      <c r="E34" s="56">
        <f>0.64*0.6</f>
        <v>0.38400000000000001</v>
      </c>
      <c r="F34" s="56">
        <f>0.77*0.6</f>
        <v>0.46199999999999997</v>
      </c>
      <c r="G34" s="56"/>
      <c r="H34" s="56"/>
      <c r="I34" s="56"/>
      <c r="J34" s="56"/>
      <c r="K34" s="30">
        <f t="shared" si="0"/>
        <v>0.84599999999999997</v>
      </c>
      <c r="L34" s="30">
        <f t="shared" si="1"/>
        <v>0.36734693877551017</v>
      </c>
      <c r="M34" s="65">
        <v>4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+PCI_U42!D4+1</f>
        <v>500</v>
      </c>
      <c r="D4" s="1">
        <v>515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+PCI_U42!F11</f>
        <v>K1+520,34</v>
      </c>
      <c r="G9" s="27"/>
      <c r="H9" s="106" t="s">
        <v>122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145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43</v>
      </c>
      <c r="E26" s="30">
        <f>0.7*0.6</f>
        <v>0.42</v>
      </c>
      <c r="F26" s="30">
        <f>1.14*0.6</f>
        <v>0.68399999999999994</v>
      </c>
      <c r="G26" s="30"/>
      <c r="H26" s="30"/>
      <c r="I26" s="30"/>
      <c r="J26" s="30"/>
      <c r="K26" s="30">
        <f>+SUM(E26:J26)</f>
        <v>1.1039999999999999</v>
      </c>
      <c r="L26" s="30">
        <f>+(K26/$H$11)*100</f>
        <v>0.47937472861485009</v>
      </c>
      <c r="M26" s="67">
        <v>5</v>
      </c>
      <c r="O26" t="s">
        <v>47</v>
      </c>
      <c r="T26" t="s">
        <v>50</v>
      </c>
      <c r="Y26" t="s">
        <v>82</v>
      </c>
    </row>
    <row r="27" spans="3:25" x14ac:dyDescent="0.3">
      <c r="C27" s="29">
        <v>10</v>
      </c>
      <c r="D27" s="29" t="s">
        <v>45</v>
      </c>
      <c r="E27" s="30">
        <f>6.64*0.6</f>
        <v>3.9839999999999995</v>
      </c>
      <c r="F27" s="30">
        <f>1.43*0.6</f>
        <v>0.85799999999999998</v>
      </c>
      <c r="G27" s="30">
        <f>1.23*0.6</f>
        <v>0.73799999999999999</v>
      </c>
      <c r="H27" s="30">
        <f>1.2*0.6</f>
        <v>0.72</v>
      </c>
      <c r="I27" s="30"/>
      <c r="J27" s="30"/>
      <c r="K27" s="30">
        <f t="shared" ref="K27:K33" si="0">+SUM(E27:J27)</f>
        <v>6.3</v>
      </c>
      <c r="L27" s="30">
        <f t="shared" ref="L27:L33" si="1">+(K27/$H$11)*100</f>
        <v>2.735562310030395</v>
      </c>
      <c r="M27" s="44">
        <v>1</v>
      </c>
    </row>
    <row r="28" spans="3:25" x14ac:dyDescent="0.3">
      <c r="C28" s="29">
        <v>3</v>
      </c>
      <c r="D28" s="29" t="s">
        <v>43</v>
      </c>
      <c r="E28" s="30">
        <f>3.66*1.74</f>
        <v>6.3684000000000003</v>
      </c>
      <c r="F28" s="30">
        <f>1.62*1.04</f>
        <v>1.6848000000000001</v>
      </c>
      <c r="G28" s="30">
        <f>3.3*1.03</f>
        <v>3.399</v>
      </c>
      <c r="H28" s="30">
        <f>1.13*0.65</f>
        <v>0.73449999999999993</v>
      </c>
      <c r="I28" s="30"/>
      <c r="J28" s="30"/>
      <c r="K28" s="30">
        <f t="shared" si="0"/>
        <v>12.186700000000002</v>
      </c>
      <c r="L28" s="30">
        <f t="shared" si="1"/>
        <v>5.2916630481980036</v>
      </c>
      <c r="M28" s="68">
        <v>20</v>
      </c>
    </row>
    <row r="29" spans="3:25" x14ac:dyDescent="0.3">
      <c r="C29" s="29">
        <v>13</v>
      </c>
      <c r="D29" s="29" t="s">
        <v>43</v>
      </c>
      <c r="E29" s="30">
        <f>0.48*0.68</f>
        <v>0.32640000000000002</v>
      </c>
      <c r="F29" s="30"/>
      <c r="G29" s="30"/>
      <c r="H29" s="30"/>
      <c r="I29" s="30"/>
      <c r="J29" s="30"/>
      <c r="K29" s="30">
        <f t="shared" si="0"/>
        <v>0.32640000000000002</v>
      </c>
      <c r="L29" s="30">
        <f t="shared" si="1"/>
        <v>0.1417281806339557</v>
      </c>
      <c r="M29" s="48">
        <v>21.7</v>
      </c>
    </row>
    <row r="30" spans="3:25" x14ac:dyDescent="0.3">
      <c r="C30" s="29">
        <v>1</v>
      </c>
      <c r="D30" s="29" t="s">
        <v>43</v>
      </c>
      <c r="E30" s="30">
        <f>6*1.64</f>
        <v>9.84</v>
      </c>
      <c r="F30" s="30">
        <f>0.8*1.1</f>
        <v>0.88000000000000012</v>
      </c>
      <c r="G30" s="30"/>
      <c r="H30" s="30"/>
      <c r="I30" s="30"/>
      <c r="J30" s="30"/>
      <c r="K30" s="30">
        <f t="shared" si="0"/>
        <v>10.72</v>
      </c>
      <c r="L30" s="30">
        <f t="shared" si="1"/>
        <v>4.654798089448545</v>
      </c>
      <c r="M30" s="74">
        <v>52</v>
      </c>
    </row>
    <row r="31" spans="3:25" x14ac:dyDescent="0.3">
      <c r="C31" s="29">
        <v>8</v>
      </c>
      <c r="D31" s="29" t="s">
        <v>45</v>
      </c>
      <c r="E31" s="30">
        <f>6.86*0.6</f>
        <v>4.1159999999999997</v>
      </c>
      <c r="F31" s="30"/>
      <c r="G31" s="30"/>
      <c r="H31" s="30"/>
      <c r="I31" s="30"/>
      <c r="J31" s="30"/>
      <c r="K31" s="30">
        <f t="shared" si="0"/>
        <v>4.1159999999999997</v>
      </c>
      <c r="L31" s="30">
        <f t="shared" si="1"/>
        <v>1.7872340425531912</v>
      </c>
      <c r="M31" s="77">
        <v>1</v>
      </c>
    </row>
    <row r="32" spans="3:25" x14ac:dyDescent="0.3">
      <c r="C32" s="29">
        <v>11</v>
      </c>
      <c r="D32" s="29" t="s">
        <v>45</v>
      </c>
      <c r="E32" s="30">
        <f>3.38*0.7</f>
        <v>2.3659999999999997</v>
      </c>
      <c r="F32" s="30"/>
      <c r="G32" s="30"/>
      <c r="H32" s="30"/>
      <c r="I32" s="30"/>
      <c r="J32" s="30"/>
      <c r="K32" s="30">
        <f t="shared" si="0"/>
        <v>2.3659999999999997</v>
      </c>
      <c r="L32" s="30">
        <f t="shared" si="1"/>
        <v>1.0273556231003038</v>
      </c>
      <c r="M32" s="78">
        <v>2.5</v>
      </c>
    </row>
    <row r="33" spans="3:13" x14ac:dyDescent="0.3">
      <c r="C33" s="29">
        <v>10</v>
      </c>
      <c r="D33" s="29" t="s">
        <v>44</v>
      </c>
      <c r="E33" s="30">
        <f>0.95*0.6</f>
        <v>0.56999999999999995</v>
      </c>
      <c r="F33" s="30"/>
      <c r="G33" s="30"/>
      <c r="H33" s="30"/>
      <c r="I33" s="30"/>
      <c r="J33" s="30"/>
      <c r="K33" s="30">
        <f t="shared" si="0"/>
        <v>0.56999999999999995</v>
      </c>
      <c r="L33" s="30">
        <f t="shared" si="1"/>
        <v>0.24750325662179765</v>
      </c>
      <c r="M33" s="70">
        <v>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9"/>
  <sheetViews>
    <sheetView showGridLines="0" topLeftCell="B1" zoomScale="115" zoomScaleNormal="115" workbookViewId="0">
      <selection activeCell="H9" sqref="H9:I9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60">
        <f>+PCI_U43!D4+1</f>
        <v>516</v>
      </c>
      <c r="D4" s="1">
        <v>544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3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3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3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30" x14ac:dyDescent="0.3">
      <c r="C9" s="62" t="s">
        <v>38</v>
      </c>
      <c r="D9" s="27"/>
      <c r="E9" s="27"/>
      <c r="F9" s="62" t="str">
        <f>+PCI_U43!F11</f>
        <v>K1+556,50</v>
      </c>
      <c r="G9" s="27"/>
      <c r="H9" s="106" t="s">
        <v>123</v>
      </c>
      <c r="I9" s="106"/>
      <c r="J9" s="9"/>
      <c r="K9" s="111"/>
      <c r="L9" s="112"/>
      <c r="M9" s="113"/>
    </row>
    <row r="10" spans="3:3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30" x14ac:dyDescent="0.3">
      <c r="C11" s="62" t="s">
        <v>39</v>
      </c>
      <c r="D11" s="27"/>
      <c r="E11" s="27"/>
      <c r="F11" s="62" t="s">
        <v>149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48</v>
      </c>
      <c r="Y11" t="s">
        <v>52</v>
      </c>
      <c r="AD11" t="s">
        <v>46</v>
      </c>
    </row>
    <row r="12" spans="3:3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30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3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3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3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3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3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3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3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3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3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3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3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3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30" x14ac:dyDescent="0.3">
      <c r="C26" s="29">
        <v>10</v>
      </c>
      <c r="D26" s="29" t="s">
        <v>45</v>
      </c>
      <c r="E26" s="30">
        <f>1.1*0.6</f>
        <v>0.66</v>
      </c>
      <c r="F26" s="30"/>
      <c r="G26" s="30"/>
      <c r="H26" s="30"/>
      <c r="I26" s="30"/>
      <c r="J26" s="30"/>
      <c r="K26" s="30">
        <f>+SUM(E26:J26)</f>
        <v>0.66</v>
      </c>
      <c r="L26" s="30">
        <f>+(K26/$H$11)*100</f>
        <v>0.28658271819366044</v>
      </c>
      <c r="M26" s="43">
        <v>0</v>
      </c>
      <c r="O26" t="s">
        <v>47</v>
      </c>
      <c r="T26" t="s">
        <v>50</v>
      </c>
      <c r="Y26" t="s">
        <v>82</v>
      </c>
      <c r="AD26" t="s">
        <v>53</v>
      </c>
    </row>
    <row r="27" spans="3:30" x14ac:dyDescent="0.3">
      <c r="C27" s="29">
        <v>11</v>
      </c>
      <c r="D27" s="29" t="s">
        <v>45</v>
      </c>
      <c r="E27" s="30">
        <f>1.9*1.5</f>
        <v>2.8499999999999996</v>
      </c>
      <c r="F27" s="30">
        <f>16.16*3.28</f>
        <v>53.004799999999996</v>
      </c>
      <c r="G27" s="30">
        <f>3.84*1.95</f>
        <v>7.4879999999999995</v>
      </c>
      <c r="H27" s="30"/>
      <c r="I27" s="30"/>
      <c r="J27" s="30"/>
      <c r="K27" s="30">
        <f t="shared" ref="K27:K38" si="0">+SUM(E27:J27)</f>
        <v>63.342799999999997</v>
      </c>
      <c r="L27" s="30">
        <f t="shared" ref="L27:L39" si="1">+(K27/$H$11)*100</f>
        <v>27.504472427268777</v>
      </c>
      <c r="M27" s="76">
        <v>26</v>
      </c>
    </row>
    <row r="28" spans="3:30" x14ac:dyDescent="0.3">
      <c r="C28" s="29">
        <v>17</v>
      </c>
      <c r="D28" s="29" t="s">
        <v>43</v>
      </c>
      <c r="E28" s="30">
        <f>0.5*1.6</f>
        <v>0.8</v>
      </c>
      <c r="F28" s="30"/>
      <c r="G28" s="30"/>
      <c r="H28" s="30"/>
      <c r="I28" s="30"/>
      <c r="J28" s="30"/>
      <c r="K28" s="30">
        <f t="shared" si="0"/>
        <v>0.8</v>
      </c>
      <c r="L28" s="30">
        <f t="shared" si="1"/>
        <v>0.34737299174989145</v>
      </c>
      <c r="M28" s="47">
        <v>10</v>
      </c>
    </row>
    <row r="29" spans="3:30" x14ac:dyDescent="0.3">
      <c r="C29" s="29">
        <v>10</v>
      </c>
      <c r="D29" s="29" t="s">
        <v>44</v>
      </c>
      <c r="E29" s="30">
        <f>1.46*0.6</f>
        <v>0.876</v>
      </c>
      <c r="F29" s="30">
        <f>1.46*0.6</f>
        <v>0.876</v>
      </c>
      <c r="G29" s="30">
        <f>1.28*0.6</f>
        <v>0.76800000000000002</v>
      </c>
      <c r="H29" s="30">
        <f>0.9*0.6</f>
        <v>0.54</v>
      </c>
      <c r="I29" s="30"/>
      <c r="J29" s="30"/>
      <c r="K29" s="30">
        <f t="shared" si="0"/>
        <v>3.06</v>
      </c>
      <c r="L29" s="30">
        <f t="shared" si="1"/>
        <v>1.3287016934433347</v>
      </c>
      <c r="M29" s="33">
        <v>3</v>
      </c>
    </row>
    <row r="30" spans="3:30" x14ac:dyDescent="0.3">
      <c r="C30" s="29">
        <v>3</v>
      </c>
      <c r="D30" s="29" t="s">
        <v>44</v>
      </c>
      <c r="E30" s="30">
        <f>1.05*1.43</f>
        <v>1.5015000000000001</v>
      </c>
      <c r="F30" s="30">
        <f>2.9*1</f>
        <v>2.9</v>
      </c>
      <c r="G30" s="30"/>
      <c r="H30" s="30"/>
      <c r="I30" s="30"/>
      <c r="J30" s="30"/>
      <c r="K30" s="30">
        <f t="shared" si="0"/>
        <v>4.4015000000000004</v>
      </c>
      <c r="L30" s="30">
        <f t="shared" si="1"/>
        <v>1.9112027789839341</v>
      </c>
      <c r="M30" s="94">
        <v>5</v>
      </c>
    </row>
    <row r="31" spans="3:30" x14ac:dyDescent="0.3">
      <c r="C31" s="29">
        <v>3</v>
      </c>
      <c r="D31" s="29" t="s">
        <v>45</v>
      </c>
      <c r="E31" s="30">
        <f>1.78*1.23</f>
        <v>2.1894</v>
      </c>
      <c r="F31" s="30"/>
      <c r="G31" s="30"/>
      <c r="H31" s="30"/>
      <c r="I31" s="30"/>
      <c r="J31" s="30"/>
      <c r="K31" s="30">
        <f t="shared" si="0"/>
        <v>2.1894</v>
      </c>
      <c r="L31" s="30">
        <f t="shared" si="1"/>
        <v>0.95067303517151536</v>
      </c>
      <c r="M31" s="70">
        <v>0</v>
      </c>
    </row>
    <row r="32" spans="3:30" x14ac:dyDescent="0.3">
      <c r="C32" s="29">
        <v>10</v>
      </c>
      <c r="D32" s="29" t="s">
        <v>43</v>
      </c>
      <c r="E32" s="30">
        <f>2.34*0.6</f>
        <v>1.4039999999999999</v>
      </c>
      <c r="F32" s="30">
        <f>2.93*0.6</f>
        <v>1.758</v>
      </c>
      <c r="G32" s="30">
        <f>1.24*0.6</f>
        <v>0.74399999999999999</v>
      </c>
      <c r="H32" s="30">
        <f>1.79*0.6</f>
        <v>1.0740000000000001</v>
      </c>
      <c r="I32" s="30"/>
      <c r="J32" s="30"/>
      <c r="K32" s="30">
        <f t="shared" si="0"/>
        <v>4.9799999999999995</v>
      </c>
      <c r="L32" s="30">
        <f t="shared" si="1"/>
        <v>2.1623968736430741</v>
      </c>
      <c r="M32" s="80">
        <v>4</v>
      </c>
    </row>
    <row r="33" spans="3:13" x14ac:dyDescent="0.3">
      <c r="C33" s="29">
        <v>3</v>
      </c>
      <c r="D33" s="29" t="s">
        <v>43</v>
      </c>
      <c r="E33" s="30">
        <f>4*2.35</f>
        <v>9.4</v>
      </c>
      <c r="F33" s="30">
        <f>4.18*1.46</f>
        <v>6.1027999999999993</v>
      </c>
      <c r="G33" s="30">
        <f>4.4*1.44</f>
        <v>6.3360000000000003</v>
      </c>
      <c r="H33" s="30">
        <f>2.44*0.73</f>
        <v>1.7811999999999999</v>
      </c>
      <c r="I33" s="30">
        <f>2.1*0.76</f>
        <v>1.5960000000000001</v>
      </c>
      <c r="J33" s="30"/>
      <c r="K33" s="30">
        <f t="shared" si="0"/>
        <v>25.215999999999998</v>
      </c>
      <c r="L33" s="30">
        <f t="shared" si="1"/>
        <v>10.949196699956577</v>
      </c>
      <c r="M33" s="71">
        <v>30</v>
      </c>
    </row>
    <row r="34" spans="3:13" x14ac:dyDescent="0.3">
      <c r="C34" s="43">
        <v>11</v>
      </c>
      <c r="D34" s="43" t="s">
        <v>43</v>
      </c>
      <c r="E34" s="56">
        <f>0.22*0.25</f>
        <v>5.5E-2</v>
      </c>
      <c r="F34" s="56"/>
      <c r="G34" s="56"/>
      <c r="H34" s="56"/>
      <c r="I34" s="56"/>
      <c r="J34" s="56"/>
      <c r="K34" s="30">
        <f t="shared" si="0"/>
        <v>5.5E-2</v>
      </c>
      <c r="L34" s="30">
        <f t="shared" si="1"/>
        <v>2.3881893182805036E-2</v>
      </c>
      <c r="M34" s="70">
        <v>0</v>
      </c>
    </row>
    <row r="35" spans="3:13" x14ac:dyDescent="0.3">
      <c r="C35" s="49">
        <v>1</v>
      </c>
      <c r="D35" s="49" t="s">
        <v>43</v>
      </c>
      <c r="E35" s="57">
        <f>0.44*1.6</f>
        <v>0.70400000000000007</v>
      </c>
      <c r="F35" s="57">
        <f>2.14*2.18</f>
        <v>4.6652000000000005</v>
      </c>
      <c r="G35" s="57">
        <f>3.1*2.15</f>
        <v>6.665</v>
      </c>
      <c r="H35" s="57"/>
      <c r="I35" s="57"/>
      <c r="J35" s="57"/>
      <c r="K35" s="30">
        <f t="shared" si="0"/>
        <v>12.0342</v>
      </c>
      <c r="L35" s="30">
        <f t="shared" si="1"/>
        <v>5.2254450716456793</v>
      </c>
      <c r="M35" s="74">
        <v>54</v>
      </c>
    </row>
    <row r="36" spans="3:13" x14ac:dyDescent="0.3">
      <c r="C36" s="63">
        <v>13</v>
      </c>
      <c r="D36" s="63" t="s">
        <v>43</v>
      </c>
      <c r="E36" s="46">
        <f>0.25*0.53</f>
        <v>0.13250000000000001</v>
      </c>
      <c r="F36" s="46"/>
      <c r="G36" s="46"/>
      <c r="H36" s="46"/>
      <c r="I36" s="46"/>
      <c r="J36" s="46"/>
      <c r="K36" s="30">
        <f t="shared" si="0"/>
        <v>0.13250000000000001</v>
      </c>
      <c r="L36" s="30">
        <f t="shared" si="1"/>
        <v>5.7533651758575777E-2</v>
      </c>
      <c r="M36" s="70">
        <v>0</v>
      </c>
    </row>
    <row r="37" spans="3:13" x14ac:dyDescent="0.3">
      <c r="C37" s="63">
        <v>4</v>
      </c>
      <c r="D37" s="63" t="s">
        <v>44</v>
      </c>
      <c r="E37" s="63">
        <f>1.85*0.68</f>
        <v>1.2580000000000002</v>
      </c>
      <c r="F37" s="63"/>
      <c r="G37" s="63"/>
      <c r="H37" s="63"/>
      <c r="I37" s="63"/>
      <c r="J37" s="63"/>
      <c r="K37" s="30">
        <f t="shared" si="0"/>
        <v>1.2580000000000002</v>
      </c>
      <c r="L37" s="30">
        <f t="shared" si="1"/>
        <v>0.54624402952670437</v>
      </c>
      <c r="M37" s="65">
        <v>8</v>
      </c>
    </row>
    <row r="38" spans="3:13" x14ac:dyDescent="0.3">
      <c r="C38" s="71">
        <v>8</v>
      </c>
      <c r="D38" s="63" t="s">
        <v>44</v>
      </c>
      <c r="E38" s="63">
        <f>6.31*0.6</f>
        <v>3.7859999999999996</v>
      </c>
      <c r="F38" s="63"/>
      <c r="G38" s="63"/>
      <c r="H38" s="63"/>
      <c r="I38" s="63"/>
      <c r="J38" s="63"/>
      <c r="K38" s="30">
        <f t="shared" si="0"/>
        <v>3.7859999999999996</v>
      </c>
      <c r="L38" s="30">
        <f t="shared" si="1"/>
        <v>1.6439426834563609</v>
      </c>
      <c r="M38" s="73">
        <v>4</v>
      </c>
    </row>
    <row r="39" spans="3:13" x14ac:dyDescent="0.3">
      <c r="C39" s="71">
        <v>4</v>
      </c>
      <c r="D39" s="63" t="s">
        <v>43</v>
      </c>
      <c r="E39" s="63">
        <f>2.1*0.76</f>
        <v>1.5960000000000001</v>
      </c>
      <c r="F39" s="63"/>
      <c r="G39" s="63"/>
      <c r="H39" s="63"/>
      <c r="I39" s="63"/>
      <c r="J39" s="63"/>
      <c r="K39" s="30">
        <f>+SUM(E39:J39)</f>
        <v>1.5960000000000001</v>
      </c>
      <c r="L39" s="30">
        <f t="shared" si="1"/>
        <v>0.69300911854103342</v>
      </c>
      <c r="M39" s="72">
        <v>29</v>
      </c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G41" sqref="G4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+PCI_U44!D4+1</f>
        <v>545</v>
      </c>
      <c r="D4" s="1">
        <v>549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+PCI_U44!F11</f>
        <v>K1+592,71</v>
      </c>
      <c r="G9" s="27"/>
      <c r="H9" s="106" t="s">
        <v>126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154</v>
      </c>
      <c r="G11" s="27"/>
      <c r="H11" s="105">
        <v>230.3</v>
      </c>
      <c r="I11" s="105"/>
      <c r="J11" s="9"/>
      <c r="K11" s="111"/>
      <c r="L11" s="112"/>
      <c r="M11" s="113"/>
      <c r="O11" t="s">
        <v>68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11</v>
      </c>
      <c r="D26" s="29" t="s">
        <v>44</v>
      </c>
      <c r="E26" s="30">
        <f>0.88*0.92</f>
        <v>0.80959999999999999</v>
      </c>
      <c r="F26" s="30"/>
      <c r="G26" s="30"/>
      <c r="H26" s="30"/>
      <c r="I26" s="30"/>
      <c r="J26" s="30"/>
      <c r="K26" s="30">
        <f>+SUM(E26:J26)</f>
        <v>0.80959999999999999</v>
      </c>
      <c r="L26" s="30">
        <f>+(K26/$H$11)*100</f>
        <v>0.35154146765089012</v>
      </c>
      <c r="M26" s="44">
        <v>6</v>
      </c>
      <c r="O26" t="s">
        <v>82</v>
      </c>
      <c r="T26" t="s">
        <v>52</v>
      </c>
    </row>
    <row r="27" spans="3:20" x14ac:dyDescent="0.3">
      <c r="C27" s="29">
        <v>8</v>
      </c>
      <c r="D27" s="29" t="s">
        <v>45</v>
      </c>
      <c r="E27" s="30">
        <f>6*0.6</f>
        <v>3.5999999999999996</v>
      </c>
      <c r="F27" s="30"/>
      <c r="G27" s="30"/>
      <c r="H27" s="30"/>
      <c r="I27" s="30"/>
      <c r="J27" s="30"/>
      <c r="K27" s="30">
        <f>+SUM(E27:J27)</f>
        <v>3.5999999999999996</v>
      </c>
      <c r="L27" s="30">
        <f>+(K27/$H$11)*100</f>
        <v>1.5631784628745113</v>
      </c>
      <c r="M27" s="48">
        <v>1</v>
      </c>
    </row>
    <row r="28" spans="3:20" x14ac:dyDescent="0.3">
      <c r="C28" s="29">
        <v>13</v>
      </c>
      <c r="D28" s="29" t="s">
        <v>43</v>
      </c>
      <c r="E28" s="30">
        <f>0.42*0.22</f>
        <v>9.2399999999999996E-2</v>
      </c>
      <c r="F28" s="30"/>
      <c r="G28" s="30"/>
      <c r="H28" s="30"/>
      <c r="I28" s="30"/>
      <c r="J28" s="30"/>
      <c r="K28" s="30">
        <f>+SUM(E28:J28)</f>
        <v>9.2399999999999996E-2</v>
      </c>
      <c r="L28" s="30">
        <f>+(K28/$H$11)*100</f>
        <v>4.0121580547112456E-2</v>
      </c>
      <c r="M28" s="43">
        <v>0</v>
      </c>
    </row>
    <row r="29" spans="3:20" x14ac:dyDescent="0.3">
      <c r="C29" s="29">
        <v>4</v>
      </c>
      <c r="D29" s="29" t="s">
        <v>45</v>
      </c>
      <c r="E29" s="30">
        <f>1.8*0.5</f>
        <v>0.9</v>
      </c>
      <c r="F29" s="30"/>
      <c r="G29" s="30"/>
      <c r="H29" s="30"/>
      <c r="I29" s="30"/>
      <c r="J29" s="30"/>
      <c r="K29" s="30">
        <f>+SUM(E29:J29)</f>
        <v>0.9</v>
      </c>
      <c r="L29" s="30">
        <f>+(K29/$H$11)*100</f>
        <v>0.39079461571862784</v>
      </c>
      <c r="M29" s="67">
        <v>1</v>
      </c>
    </row>
    <row r="30" spans="3:20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+PCI_U45!D4+1</f>
        <v>550</v>
      </c>
      <c r="D4" s="1">
        <v>557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+PCI_U45!F11</f>
        <v>K1+628,86</v>
      </c>
      <c r="G9" s="27"/>
      <c r="H9" s="106" t="s">
        <v>127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158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44027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44</v>
      </c>
      <c r="E26" s="30">
        <f>0.7*0.93</f>
        <v>0.65100000000000002</v>
      </c>
      <c r="F26" s="30"/>
      <c r="G26" s="30"/>
      <c r="H26" s="30"/>
      <c r="I26" s="30"/>
      <c r="J26" s="30"/>
      <c r="K26" s="30">
        <f>+SUM(E26:J26)</f>
        <v>0.65100000000000002</v>
      </c>
      <c r="L26" s="30">
        <f>+(K26/$H$11)*100</f>
        <v>0.28267477203647418</v>
      </c>
      <c r="M26" s="48">
        <v>4.8</v>
      </c>
      <c r="O26" t="s">
        <v>47</v>
      </c>
    </row>
    <row r="27" spans="3:15" x14ac:dyDescent="0.3">
      <c r="C27" s="29">
        <v>10</v>
      </c>
      <c r="D27" s="29" t="s">
        <v>43</v>
      </c>
      <c r="E27" s="30">
        <f>0.54*0.6</f>
        <v>0.32400000000000001</v>
      </c>
      <c r="F27" s="30">
        <f>0.8*0.6</f>
        <v>0.48</v>
      </c>
      <c r="G27" s="30"/>
      <c r="H27" s="30"/>
      <c r="I27" s="30"/>
      <c r="J27" s="30"/>
      <c r="K27" s="30">
        <f>+SUM(E27:J27)</f>
        <v>0.80400000000000005</v>
      </c>
      <c r="L27" s="30">
        <f>+(K27/$H$11)*100</f>
        <v>0.34910985670864086</v>
      </c>
      <c r="M27" s="45">
        <v>4</v>
      </c>
    </row>
    <row r="28" spans="3:15" x14ac:dyDescent="0.3">
      <c r="C28" s="29">
        <v>3</v>
      </c>
      <c r="D28" s="29" t="s">
        <v>45</v>
      </c>
      <c r="E28" s="30">
        <f>3.07*0.84</f>
        <v>2.5787999999999998</v>
      </c>
      <c r="F28" s="30">
        <f>0.83*0.83</f>
        <v>0.68889999999999996</v>
      </c>
      <c r="G28" s="30"/>
      <c r="H28" s="30"/>
      <c r="I28" s="30"/>
      <c r="J28" s="30"/>
      <c r="K28" s="30">
        <f>+SUM(E28:J28)</f>
        <v>3.2676999999999996</v>
      </c>
      <c r="L28" s="30">
        <f>+(K28/$H$11)*100</f>
        <v>1.4188884064264</v>
      </c>
      <c r="M28" s="67">
        <v>1</v>
      </c>
    </row>
    <row r="29" spans="3:15" x14ac:dyDescent="0.3">
      <c r="C29" s="29">
        <v>10</v>
      </c>
      <c r="D29" s="29" t="s">
        <v>45</v>
      </c>
      <c r="E29" s="30">
        <f>0.8*0.6</f>
        <v>0.48</v>
      </c>
      <c r="F29" s="30">
        <f>1.58*0.6</f>
        <v>0.94799999999999995</v>
      </c>
      <c r="G29" s="30"/>
      <c r="H29" s="30"/>
      <c r="I29" s="30"/>
      <c r="J29" s="30"/>
      <c r="K29" s="30">
        <f>+SUM(E29:J29)</f>
        <v>1.4279999999999999</v>
      </c>
      <c r="L29" s="30">
        <f>+(K29/$H$11)*100</f>
        <v>0.62006079027355621</v>
      </c>
      <c r="M29" s="33">
        <v>1</v>
      </c>
    </row>
    <row r="30" spans="3:15" x14ac:dyDescent="0.3">
      <c r="C30" s="29">
        <v>3</v>
      </c>
      <c r="D30" s="29" t="s">
        <v>44</v>
      </c>
      <c r="E30" s="30">
        <f>1.33*1.25</f>
        <v>1.6625000000000001</v>
      </c>
      <c r="F30" s="30"/>
      <c r="G30" s="30"/>
      <c r="H30" s="30"/>
      <c r="I30" s="30"/>
      <c r="J30" s="30"/>
      <c r="K30" s="30">
        <f>+SUM(E30:J30)</f>
        <v>1.6625000000000001</v>
      </c>
      <c r="L30" s="30">
        <f>+(K30/$H$11)*100</f>
        <v>0.72188449848024316</v>
      </c>
      <c r="M30" s="80">
        <v>1.6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+PCI_U46!D4+1</f>
        <v>558</v>
      </c>
      <c r="D4" s="1">
        <v>569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+PCI_U46!F11</f>
        <v>K1+665,02</v>
      </c>
      <c r="G9" s="27"/>
      <c r="H9" s="106" t="s">
        <v>128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160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43</v>
      </c>
      <c r="E26" s="30">
        <f>1.92*1.1</f>
        <v>2.1120000000000001</v>
      </c>
      <c r="F26" s="30">
        <f>1.24*0.38</f>
        <v>0.47120000000000001</v>
      </c>
      <c r="G26" s="30">
        <f>1.6*0.4</f>
        <v>0.64000000000000012</v>
      </c>
      <c r="H26" s="30">
        <f>1.6*1.17</f>
        <v>1.8719999999999999</v>
      </c>
      <c r="I26" s="30">
        <f>2.1*1.44</f>
        <v>3.024</v>
      </c>
      <c r="J26" s="30"/>
      <c r="K26" s="30">
        <f>+SUM(E26:J26)</f>
        <v>8.1191999999999993</v>
      </c>
      <c r="L26" s="30">
        <f>+(K26/$H$11)*100</f>
        <v>3.5254884932696475</v>
      </c>
      <c r="M26" s="68">
        <v>7</v>
      </c>
      <c r="O26" t="s">
        <v>47</v>
      </c>
      <c r="Y26" t="s">
        <v>67</v>
      </c>
    </row>
    <row r="27" spans="3:25" x14ac:dyDescent="0.3">
      <c r="C27" s="29">
        <v>10</v>
      </c>
      <c r="D27" s="29" t="s">
        <v>45</v>
      </c>
      <c r="E27" s="30">
        <f>1.26*0.6</f>
        <v>0.75600000000000001</v>
      </c>
      <c r="F27" s="30">
        <f>5.8*0.6</f>
        <v>3.48</v>
      </c>
      <c r="G27" s="30">
        <f>5.5*0.6</f>
        <v>3.3</v>
      </c>
      <c r="H27" s="30">
        <f>0.9*0.6</f>
        <v>0.54</v>
      </c>
      <c r="I27" s="30">
        <f>0.96*0.6</f>
        <v>0.57599999999999996</v>
      </c>
      <c r="J27" s="30">
        <f>3.78*0.6</f>
        <v>2.2679999999999998</v>
      </c>
      <c r="K27" s="30">
        <f>+SUM(E27:J27)</f>
        <v>10.920000000000002</v>
      </c>
      <c r="L27" s="30">
        <f>+(K27/$H$11)*100</f>
        <v>4.7416413373860191</v>
      </c>
      <c r="M27" s="58">
        <v>3</v>
      </c>
    </row>
    <row r="28" spans="3:25" x14ac:dyDescent="0.3">
      <c r="C28" s="29">
        <v>3</v>
      </c>
      <c r="D28" s="29" t="s">
        <v>44</v>
      </c>
      <c r="E28" s="30">
        <f>2.44*0.6</f>
        <v>1.464</v>
      </c>
      <c r="F28" s="30"/>
      <c r="G28" s="30"/>
      <c r="H28" s="30"/>
      <c r="I28" s="30"/>
      <c r="J28" s="30"/>
      <c r="K28" s="30">
        <f>+SUM(E28:J28)</f>
        <v>1.464</v>
      </c>
      <c r="L28" s="30">
        <f>+(K28/$H$11)*100</f>
        <v>0.63569257490230135</v>
      </c>
      <c r="M28" s="67">
        <v>1.5</v>
      </c>
    </row>
    <row r="29" spans="3:2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+PCI_U47!D4+1</f>
        <v>570</v>
      </c>
      <c r="D4" s="1">
        <v>577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+PCI_U47!F11</f>
        <v>K1+701,18</v>
      </c>
      <c r="G9" s="27"/>
      <c r="H9" s="106" t="s">
        <v>129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162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2.8*0.6</f>
        <v>1.68</v>
      </c>
      <c r="F26" s="30">
        <f>0.53*0.6</f>
        <v>0.318</v>
      </c>
      <c r="G26" s="30">
        <f>1.1*0.6</f>
        <v>0.66</v>
      </c>
      <c r="H26" s="30">
        <f>0.97*0.6</f>
        <v>0.58199999999999996</v>
      </c>
      <c r="I26" s="30"/>
      <c r="J26" s="30"/>
      <c r="K26" s="30">
        <f>+SUM(E26:J26)</f>
        <v>3.2399999999999998</v>
      </c>
      <c r="L26" s="30">
        <f>+(K26/$H$11)*100</f>
        <v>1.4068606165870601</v>
      </c>
      <c r="M26" s="43">
        <v>0</v>
      </c>
      <c r="O26" t="s">
        <v>47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0.38*0.94</f>
        <v>0.35719999999999996</v>
      </c>
      <c r="F27" s="30">
        <f>1.44*1.26</f>
        <v>1.8144</v>
      </c>
      <c r="G27" s="30"/>
      <c r="H27" s="30"/>
      <c r="I27" s="30"/>
      <c r="J27" s="30"/>
      <c r="K27" s="30">
        <f>+SUM(E27:J27)</f>
        <v>2.1715999999999998</v>
      </c>
      <c r="L27" s="30">
        <f>+(K27/$H$11)*100</f>
        <v>0.94294398610508012</v>
      </c>
      <c r="M27" s="67">
        <v>3</v>
      </c>
    </row>
    <row r="28" spans="3:25" x14ac:dyDescent="0.3">
      <c r="C28" s="29">
        <v>3</v>
      </c>
      <c r="D28" s="29" t="s">
        <v>45</v>
      </c>
      <c r="E28" s="30">
        <f>0.91*0.45</f>
        <v>0.40950000000000003</v>
      </c>
      <c r="F28" s="30"/>
      <c r="G28" s="30"/>
      <c r="H28" s="30"/>
      <c r="I28" s="30"/>
      <c r="J28" s="30"/>
      <c r="K28" s="30">
        <f>+SUM(E28:J28)</f>
        <v>0.40950000000000003</v>
      </c>
      <c r="L28" s="30">
        <f>+(K28/$H$11)*100</f>
        <v>0.17781155015197569</v>
      </c>
      <c r="M28" s="43">
        <v>0</v>
      </c>
    </row>
    <row r="29" spans="3:2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1" zoomScale="115" zoomScaleNormal="115" workbookViewId="0">
      <selection activeCell="Y11" sqref="Y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3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3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3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3" x14ac:dyDescent="0.3">
      <c r="C9" s="62" t="s">
        <v>38</v>
      </c>
      <c r="D9" s="27"/>
      <c r="E9" s="27"/>
      <c r="F9" s="62" t="str">
        <f>+PCI_U48!F11</f>
        <v>K1+737,35</v>
      </c>
      <c r="G9" s="27"/>
      <c r="H9" s="106" t="s">
        <v>130</v>
      </c>
      <c r="I9" s="106"/>
      <c r="J9" s="9"/>
      <c r="K9" s="111"/>
      <c r="L9" s="112"/>
      <c r="M9" s="11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3" x14ac:dyDescent="0.3">
      <c r="C11" s="62" t="s">
        <v>39</v>
      </c>
      <c r="D11" s="27"/>
      <c r="E11" s="27"/>
      <c r="F11" s="62" t="s">
        <v>167</v>
      </c>
      <c r="G11" s="27"/>
      <c r="H11" s="105">
        <v>230.3</v>
      </c>
      <c r="I11" s="105"/>
      <c r="J11" s="9"/>
      <c r="K11" s="111"/>
      <c r="L11" s="112"/>
      <c r="M11" s="113"/>
    </row>
    <row r="12" spans="3:13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3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13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3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3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K27" sqref="K27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35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5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5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5">
        <v>40</v>
      </c>
      <c r="D4" s="1">
        <v>50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39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37" t="s">
        <v>38</v>
      </c>
      <c r="D9" s="27"/>
      <c r="E9" s="27"/>
      <c r="F9" s="37" t="str">
        <f>+PCI_U4!F11</f>
        <v>K0+144,61</v>
      </c>
      <c r="G9" s="27"/>
      <c r="H9" s="106" t="s">
        <v>55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39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37" t="s">
        <v>39</v>
      </c>
      <c r="D11" s="27"/>
      <c r="E11" s="27"/>
      <c r="F11" s="37" t="s">
        <v>57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36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34" t="s">
        <v>1</v>
      </c>
      <c r="D25" s="34" t="s">
        <v>29</v>
      </c>
      <c r="E25" s="126" t="s">
        <v>30</v>
      </c>
      <c r="F25" s="127"/>
      <c r="G25" s="127"/>
      <c r="H25" s="127"/>
      <c r="I25" s="127"/>
      <c r="J25" s="128"/>
      <c r="K25" s="34" t="s">
        <v>31</v>
      </c>
      <c r="L25" s="34" t="s">
        <v>32</v>
      </c>
      <c r="M25" s="34" t="s">
        <v>33</v>
      </c>
    </row>
    <row r="26" spans="3:20" x14ac:dyDescent="0.3">
      <c r="C26" s="29">
        <v>11</v>
      </c>
      <c r="D26" s="29" t="s">
        <v>43</v>
      </c>
      <c r="E26" s="30">
        <f>2*2.62</f>
        <v>5.24</v>
      </c>
      <c r="F26" s="30">
        <f>4.6*2</f>
        <v>9.1999999999999993</v>
      </c>
      <c r="G26" s="30"/>
      <c r="H26" s="30"/>
      <c r="I26" s="30"/>
      <c r="J26" s="30"/>
      <c r="K26" s="30">
        <f>+SUM(E26:J26)</f>
        <v>14.44</v>
      </c>
      <c r="L26" s="30">
        <f>+(K26/$H$11)*100</f>
        <v>6.2700825010855405</v>
      </c>
      <c r="M26" s="41">
        <v>40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2.5*2</f>
        <v>5</v>
      </c>
      <c r="F27" s="30">
        <f>8.4*2.45</f>
        <v>20.580000000000002</v>
      </c>
      <c r="G27" s="30"/>
      <c r="H27" s="30"/>
      <c r="I27" s="30"/>
      <c r="J27" s="30"/>
      <c r="K27" s="30">
        <f t="shared" ref="K27:K32" si="0">+SUM(E27:J27)</f>
        <v>25.580000000000002</v>
      </c>
      <c r="L27" s="30">
        <f t="shared" ref="L27:L32" si="1">+(K27/$H$11)*100</f>
        <v>11.107251411202778</v>
      </c>
      <c r="M27" s="45">
        <v>63</v>
      </c>
    </row>
    <row r="28" spans="3:20" x14ac:dyDescent="0.3">
      <c r="C28" s="29">
        <v>11</v>
      </c>
      <c r="D28" s="29" t="s">
        <v>44</v>
      </c>
      <c r="E28" s="30">
        <f>1.77*1.78</f>
        <v>3.1506000000000003</v>
      </c>
      <c r="F28" s="30"/>
      <c r="G28" s="30"/>
      <c r="H28" s="30"/>
      <c r="I28" s="30"/>
      <c r="J28" s="30"/>
      <c r="K28" s="30">
        <f t="shared" si="0"/>
        <v>3.1506000000000003</v>
      </c>
      <c r="L28" s="30">
        <f t="shared" si="1"/>
        <v>1.36804168475901</v>
      </c>
      <c r="M28" s="31">
        <v>11</v>
      </c>
    </row>
    <row r="29" spans="3:20" x14ac:dyDescent="0.3">
      <c r="C29" s="29">
        <v>3</v>
      </c>
      <c r="D29" s="29" t="s">
        <v>44</v>
      </c>
      <c r="E29" s="30">
        <f>9.7*2.9</f>
        <v>28.129999999999995</v>
      </c>
      <c r="F29" s="30"/>
      <c r="G29" s="30"/>
      <c r="H29" s="30"/>
      <c r="I29" s="30"/>
      <c r="J29" s="30"/>
      <c r="K29" s="30">
        <f t="shared" si="0"/>
        <v>28.129999999999995</v>
      </c>
      <c r="L29" s="30">
        <f t="shared" si="1"/>
        <v>12.214502822405555</v>
      </c>
      <c r="M29" s="33">
        <v>17.899999999999999</v>
      </c>
    </row>
    <row r="30" spans="3:20" x14ac:dyDescent="0.3">
      <c r="C30" s="29">
        <v>10</v>
      </c>
      <c r="D30" s="29" t="s">
        <v>44</v>
      </c>
      <c r="E30" s="30">
        <f>2.55*0.6</f>
        <v>1.5299999999999998</v>
      </c>
      <c r="F30" s="30"/>
      <c r="G30" s="30"/>
      <c r="H30" s="30"/>
      <c r="I30" s="30"/>
      <c r="J30" s="30"/>
      <c r="K30" s="30">
        <f t="shared" si="0"/>
        <v>1.5299999999999998</v>
      </c>
      <c r="L30" s="30">
        <f t="shared" si="1"/>
        <v>0.66435084672166722</v>
      </c>
      <c r="M30" s="40">
        <v>1</v>
      </c>
    </row>
    <row r="31" spans="3:20" x14ac:dyDescent="0.3">
      <c r="C31" s="29">
        <v>11</v>
      </c>
      <c r="D31" s="29" t="s">
        <v>45</v>
      </c>
      <c r="E31" s="30">
        <f>4.1*1.6</f>
        <v>6.56</v>
      </c>
      <c r="F31" s="30">
        <f>7.5*3.2</f>
        <v>24</v>
      </c>
      <c r="G31" s="30">
        <f>2*1.4</f>
        <v>2.8</v>
      </c>
      <c r="H31" s="30"/>
      <c r="I31" s="30"/>
      <c r="J31" s="30"/>
      <c r="K31" s="30">
        <f t="shared" si="0"/>
        <v>33.36</v>
      </c>
      <c r="L31" s="30">
        <f t="shared" si="1"/>
        <v>14.485453755970473</v>
      </c>
      <c r="M31" s="48">
        <v>19</v>
      </c>
    </row>
    <row r="32" spans="3:20" x14ac:dyDescent="0.3">
      <c r="C32" s="29">
        <v>1</v>
      </c>
      <c r="D32" s="29" t="s">
        <v>44</v>
      </c>
      <c r="E32" s="30">
        <f>5.97*1.1</f>
        <v>6.5670000000000002</v>
      </c>
      <c r="F32" s="30"/>
      <c r="G32" s="30"/>
      <c r="H32" s="30"/>
      <c r="I32" s="30"/>
      <c r="J32" s="30"/>
      <c r="K32" s="30">
        <f t="shared" si="0"/>
        <v>6.5670000000000002</v>
      </c>
      <c r="L32" s="30">
        <f t="shared" si="1"/>
        <v>2.8514980460269213</v>
      </c>
      <c r="M32" s="58">
        <v>32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19"/>
    </row>
    <row r="37" spans="3:13" x14ac:dyDescent="0.3">
      <c r="C37" s="38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v>578</v>
      </c>
      <c r="D4" s="1">
        <v>581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+PCI_U49!F11</f>
        <v>K1+809,67</v>
      </c>
      <c r="G9" s="27"/>
      <c r="H9" s="106" t="s">
        <v>132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169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3</v>
      </c>
      <c r="D26" s="29" t="s">
        <v>45</v>
      </c>
      <c r="E26" s="30">
        <f>1.1*1</f>
        <v>1.1000000000000001</v>
      </c>
      <c r="F26" s="30">
        <f>2.42*0.77</f>
        <v>1.8633999999999999</v>
      </c>
      <c r="G26" s="30"/>
      <c r="H26" s="30"/>
      <c r="I26" s="30"/>
      <c r="J26" s="30"/>
      <c r="K26" s="30">
        <f>+SUM(E26:J26)</f>
        <v>2.9634</v>
      </c>
      <c r="L26" s="30">
        <f>+(K26/$H$11)*100</f>
        <v>1.2867564046895354</v>
      </c>
      <c r="M26" s="67">
        <v>1</v>
      </c>
    </row>
    <row r="27" spans="3:13" x14ac:dyDescent="0.3">
      <c r="C27" s="29">
        <v>3</v>
      </c>
      <c r="D27" s="29" t="s">
        <v>44</v>
      </c>
      <c r="E27" s="30">
        <f>2.1*0.88</f>
        <v>1.8480000000000001</v>
      </c>
      <c r="F27" s="30"/>
      <c r="G27" s="30"/>
      <c r="H27" s="30"/>
      <c r="I27" s="30"/>
      <c r="J27" s="30"/>
      <c r="K27" s="30">
        <f>+SUM(E27:J27)</f>
        <v>1.8480000000000001</v>
      </c>
      <c r="L27" s="30">
        <f>+(K27/$H$11)*100</f>
        <v>0.80243161094224924</v>
      </c>
      <c r="M27" s="68">
        <v>2</v>
      </c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+PCI_U50!D4+1</f>
        <v>582</v>
      </c>
      <c r="D4" s="1">
        <v>597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+PCI_U50!F11</f>
        <v>K1+845,11</v>
      </c>
      <c r="G9" s="27"/>
      <c r="H9" s="106" t="s">
        <v>168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170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45</v>
      </c>
      <c r="E26" s="30">
        <f>1.04*0.49</f>
        <v>0.50960000000000005</v>
      </c>
      <c r="F26" s="30">
        <f>0.2*0.66</f>
        <v>0.13200000000000001</v>
      </c>
      <c r="G26" s="30"/>
      <c r="H26" s="30"/>
      <c r="I26" s="30"/>
      <c r="J26" s="30"/>
      <c r="K26" s="30">
        <f>+SUM(E26:J26)</f>
        <v>0.64160000000000006</v>
      </c>
      <c r="L26" s="30">
        <f>+(K26/$H$11)*100</f>
        <v>0.27859313938341296</v>
      </c>
      <c r="M26" s="44">
        <v>2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1.13*0.98</f>
        <v>1.1073999999999999</v>
      </c>
      <c r="F27" s="30">
        <f>1.02*0.26</f>
        <v>0.26519999999999999</v>
      </c>
      <c r="G27" s="30">
        <f>1.03*0.33</f>
        <v>0.33990000000000004</v>
      </c>
      <c r="H27" s="30"/>
      <c r="I27" s="30"/>
      <c r="J27" s="30"/>
      <c r="K27" s="30">
        <f>+SUM(E27:J27)</f>
        <v>1.7124999999999999</v>
      </c>
      <c r="L27" s="30">
        <f>+(K27/$H$11)*100</f>
        <v>0.74359531046461136</v>
      </c>
      <c r="M27" s="43">
        <v>0</v>
      </c>
    </row>
    <row r="28" spans="3:15" x14ac:dyDescent="0.3">
      <c r="C28" s="29">
        <v>10</v>
      </c>
      <c r="D28" s="29" t="s">
        <v>45</v>
      </c>
      <c r="E28" s="30">
        <f>0.87*0.6</f>
        <v>0.52200000000000002</v>
      </c>
      <c r="F28" s="30">
        <f>1.23*0.6</f>
        <v>0.73799999999999999</v>
      </c>
      <c r="G28" s="30">
        <f>0.89*0.6</f>
        <v>0.53400000000000003</v>
      </c>
      <c r="H28" s="30">
        <f>1.78*0.6</f>
        <v>1.0680000000000001</v>
      </c>
      <c r="I28" s="30">
        <f>0.46*0.6</f>
        <v>0.27600000000000002</v>
      </c>
      <c r="J28" s="30">
        <f>(0.72*0.6)+(0.8*0.6)+(0.33*0.6)+(0.8*0.6)</f>
        <v>1.5899999999999999</v>
      </c>
      <c r="K28" s="30">
        <f>+SUM(E28:J28)</f>
        <v>4.7279999999999998</v>
      </c>
      <c r="L28" s="30">
        <f>+(K28/$H$11)*100</f>
        <v>2.0529743812418584</v>
      </c>
      <c r="M28" s="68">
        <v>1</v>
      </c>
    </row>
    <row r="29" spans="3:15" x14ac:dyDescent="0.3">
      <c r="C29" s="29">
        <v>3</v>
      </c>
      <c r="D29" s="29" t="s">
        <v>44</v>
      </c>
      <c r="E29" s="30">
        <f>3.67*2.16</f>
        <v>7.9272</v>
      </c>
      <c r="F29" s="30"/>
      <c r="G29" s="30"/>
      <c r="H29" s="30"/>
      <c r="I29" s="30"/>
      <c r="J29" s="30"/>
      <c r="K29" s="30">
        <f>+SUM(E29:J29)</f>
        <v>7.9272</v>
      </c>
      <c r="L29" s="30">
        <f>+(K29/$H$11)*100</f>
        <v>3.4421189752496741</v>
      </c>
      <c r="M29" s="67">
        <v>5</v>
      </c>
    </row>
    <row r="30" spans="3:15" x14ac:dyDescent="0.3">
      <c r="C30" s="29">
        <v>10</v>
      </c>
      <c r="D30" s="29" t="s">
        <v>44</v>
      </c>
      <c r="E30" s="30">
        <f>1.71*0.6</f>
        <v>1.026</v>
      </c>
      <c r="F30" s="30"/>
      <c r="G30" s="30"/>
      <c r="H30" s="30"/>
      <c r="I30" s="30"/>
      <c r="J30" s="30"/>
      <c r="K30" s="30">
        <f>+SUM(E30:J30)</f>
        <v>1.026</v>
      </c>
      <c r="L30" s="30">
        <f>+(K30/$H$11)*100</f>
        <v>0.44550586191923575</v>
      </c>
      <c r="M30" s="96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+PCI_U51!D4+1</f>
        <v>598</v>
      </c>
      <c r="D4" s="1">
        <v>627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+PCI_U51!F11</f>
        <v>K1+881,31</v>
      </c>
      <c r="G9" s="27"/>
      <c r="H9" s="106" t="s">
        <v>133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173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45</v>
      </c>
      <c r="E26" s="30">
        <f>0.63*0.67</f>
        <v>0.42210000000000003</v>
      </c>
      <c r="F26" s="30">
        <f>0.98*1.24</f>
        <v>1.2152000000000001</v>
      </c>
      <c r="G26" s="30">
        <f>0.64*0.94</f>
        <v>0.60160000000000002</v>
      </c>
      <c r="H26" s="30">
        <f>3.15*1.15</f>
        <v>3.6224999999999996</v>
      </c>
      <c r="I26" s="30">
        <f>2.2*0.63</f>
        <v>1.3860000000000001</v>
      </c>
      <c r="J26" s="30">
        <f>(0.85*0.17)+(2.84*0.53)</f>
        <v>1.6497000000000002</v>
      </c>
      <c r="K26" s="30">
        <f>+SUM(E26:J26)</f>
        <v>8.8971</v>
      </c>
      <c r="L26" s="30">
        <f>+(K26/$H$11)*100</f>
        <v>3.8632653061224485</v>
      </c>
      <c r="M26" s="67">
        <v>4</v>
      </c>
      <c r="O26" t="s">
        <v>47</v>
      </c>
      <c r="T26" t="s">
        <v>67</v>
      </c>
    </row>
    <row r="27" spans="3:20" x14ac:dyDescent="0.3">
      <c r="C27" s="29">
        <v>10</v>
      </c>
      <c r="D27" s="29" t="s">
        <v>44</v>
      </c>
      <c r="E27" s="30">
        <f>1*0.6</f>
        <v>0.6</v>
      </c>
      <c r="F27" s="30">
        <f>1.7*0.6</f>
        <v>1.02</v>
      </c>
      <c r="G27" s="30">
        <f>1.65*0.6</f>
        <v>0.98999999999999988</v>
      </c>
      <c r="H27" s="30"/>
      <c r="I27" s="30"/>
      <c r="J27" s="30"/>
      <c r="K27" s="30">
        <f t="shared" ref="K27:K33" si="0">+SUM(E27:J27)</f>
        <v>2.61</v>
      </c>
      <c r="L27" s="30">
        <f t="shared" ref="L27:L33" si="1">+(K27/$H$11)*100</f>
        <v>1.1333043855840208</v>
      </c>
      <c r="M27" s="44">
        <v>3</v>
      </c>
    </row>
    <row r="28" spans="3:20" x14ac:dyDescent="0.3">
      <c r="C28" s="29">
        <v>3</v>
      </c>
      <c r="D28" s="29" t="s">
        <v>44</v>
      </c>
      <c r="E28" s="30">
        <f>1.6*1</f>
        <v>1.6</v>
      </c>
      <c r="F28" s="30">
        <f>1.53*1.57</f>
        <v>2.4021000000000003</v>
      </c>
      <c r="G28" s="30">
        <f>1.29*0.74</f>
        <v>0.9546</v>
      </c>
      <c r="H28" s="30">
        <f>1.67*1.15</f>
        <v>1.9204999999999999</v>
      </c>
      <c r="I28" s="30">
        <f>0.95*0.36</f>
        <v>0.34199999999999997</v>
      </c>
      <c r="J28" s="30">
        <f>+(1.96*0.87)+(2.1*0.6)</f>
        <v>2.9652000000000003</v>
      </c>
      <c r="K28" s="30">
        <f t="shared" si="0"/>
        <v>10.1844</v>
      </c>
      <c r="L28" s="30">
        <f t="shared" si="1"/>
        <v>4.4222318714719924</v>
      </c>
      <c r="M28" s="33">
        <v>10</v>
      </c>
    </row>
    <row r="29" spans="3:20" x14ac:dyDescent="0.3">
      <c r="C29" s="29">
        <v>17</v>
      </c>
      <c r="D29" s="29" t="s">
        <v>45</v>
      </c>
      <c r="E29" s="30">
        <f>0.63*0.12</f>
        <v>7.5600000000000001E-2</v>
      </c>
      <c r="F29" s="30">
        <f>0.34*0.95</f>
        <v>0.32300000000000001</v>
      </c>
      <c r="G29" s="30"/>
      <c r="H29" s="30"/>
      <c r="I29" s="30"/>
      <c r="J29" s="30"/>
      <c r="K29" s="30">
        <f t="shared" si="0"/>
        <v>0.39860000000000001</v>
      </c>
      <c r="L29" s="30">
        <f t="shared" si="1"/>
        <v>0.17307859313938342</v>
      </c>
      <c r="M29" s="45">
        <v>1</v>
      </c>
    </row>
    <row r="30" spans="3:20" x14ac:dyDescent="0.3">
      <c r="C30" s="29">
        <v>3</v>
      </c>
      <c r="D30" s="29" t="s">
        <v>43</v>
      </c>
      <c r="E30" s="30">
        <f>1.5*0.3</f>
        <v>0.44999999999999996</v>
      </c>
      <c r="F30" s="30"/>
      <c r="G30" s="30"/>
      <c r="H30" s="30"/>
      <c r="I30" s="30"/>
      <c r="J30" s="30"/>
      <c r="K30" s="30">
        <f t="shared" si="0"/>
        <v>0.44999999999999996</v>
      </c>
      <c r="L30" s="30">
        <f t="shared" si="1"/>
        <v>0.19539730785931392</v>
      </c>
      <c r="M30" s="80">
        <v>2</v>
      </c>
    </row>
    <row r="31" spans="3:20" x14ac:dyDescent="0.3">
      <c r="C31" s="29">
        <v>10</v>
      </c>
      <c r="D31" s="29" t="s">
        <v>45</v>
      </c>
      <c r="E31" s="30">
        <f>0.84*0.6</f>
        <v>0.504</v>
      </c>
      <c r="F31" s="30">
        <f>0.57*0.6</f>
        <v>0.34199999999999997</v>
      </c>
      <c r="G31" s="30">
        <f>0.62*0.6</f>
        <v>0.372</v>
      </c>
      <c r="H31" s="30">
        <f>0.47*0.6</f>
        <v>0.28199999999999997</v>
      </c>
      <c r="I31" s="30">
        <f>0.97*0.6</f>
        <v>0.58199999999999996</v>
      </c>
      <c r="J31" s="30">
        <f>(0.5*0.6)+(0.53*0.6)</f>
        <v>0.61799999999999999</v>
      </c>
      <c r="K31" s="30">
        <f t="shared" si="0"/>
        <v>2.6999999999999997</v>
      </c>
      <c r="L31" s="30">
        <f t="shared" si="1"/>
        <v>1.1723838471558834</v>
      </c>
      <c r="M31" s="96">
        <v>0</v>
      </c>
    </row>
    <row r="32" spans="3:20" x14ac:dyDescent="0.3">
      <c r="C32" s="29">
        <v>7</v>
      </c>
      <c r="D32" s="29" t="s">
        <v>45</v>
      </c>
      <c r="E32" s="30">
        <f>0.52*0.6</f>
        <v>0.312</v>
      </c>
      <c r="F32" s="30"/>
      <c r="G32" s="30"/>
      <c r="H32" s="30"/>
      <c r="I32" s="30"/>
      <c r="J32" s="30"/>
      <c r="K32" s="30">
        <f t="shared" si="0"/>
        <v>0.312</v>
      </c>
      <c r="L32" s="30">
        <f t="shared" si="1"/>
        <v>0.13547546678245764</v>
      </c>
      <c r="M32" s="96">
        <v>0</v>
      </c>
    </row>
    <row r="33" spans="3:13" x14ac:dyDescent="0.3">
      <c r="C33" s="29">
        <v>17</v>
      </c>
      <c r="D33" s="29" t="s">
        <v>44</v>
      </c>
      <c r="E33" s="30">
        <f>1.74*0.73</f>
        <v>1.2702</v>
      </c>
      <c r="F33" s="30">
        <f>0.79*0.17</f>
        <v>0.1343</v>
      </c>
      <c r="G33" s="30"/>
      <c r="H33" s="30"/>
      <c r="I33" s="30"/>
      <c r="J33" s="30"/>
      <c r="K33" s="30">
        <f t="shared" si="0"/>
        <v>1.4045000000000001</v>
      </c>
      <c r="L33" s="30">
        <f t="shared" si="1"/>
        <v>0.60985670864090324</v>
      </c>
      <c r="M33" s="98">
        <v>8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+PCI_U52!D4+1</f>
        <v>628</v>
      </c>
      <c r="D4" s="1">
        <v>643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+PCI_U52!F11</f>
        <v>K1+917,47</v>
      </c>
      <c r="G9" s="27"/>
      <c r="H9" s="106" t="s">
        <v>134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174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0.67*0.6</f>
        <v>0.40200000000000002</v>
      </c>
      <c r="F26" s="30">
        <f>0.52*0.6</f>
        <v>0.312</v>
      </c>
      <c r="G26" s="30">
        <f>0.42*0.6</f>
        <v>0.252</v>
      </c>
      <c r="H26" s="30">
        <f>1.04*0.6</f>
        <v>0.624</v>
      </c>
      <c r="I26" s="30">
        <f>0.74*0.6</f>
        <v>0.44400000000000001</v>
      </c>
      <c r="J26" s="30">
        <f>(2.05*0.6)+(0.85*0.6)+(1.2*0.6)</f>
        <v>2.46</v>
      </c>
      <c r="K26" s="30">
        <f>+SUM(E26:J26)</f>
        <v>4.4939999999999998</v>
      </c>
      <c r="L26" s="30">
        <f>+(K26/$H$11)*100</f>
        <v>1.951367781155015</v>
      </c>
      <c r="M26" s="44">
        <v>1</v>
      </c>
      <c r="O26" t="s">
        <v>47</v>
      </c>
      <c r="T26" t="s">
        <v>50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3.93*0.27</f>
        <v>1.0611000000000002</v>
      </c>
      <c r="F27" s="30">
        <f>1.04*0.4</f>
        <v>0.41600000000000004</v>
      </c>
      <c r="G27" s="30"/>
      <c r="H27" s="30"/>
      <c r="I27" s="30"/>
      <c r="J27" s="30"/>
      <c r="K27" s="30">
        <f>+SUM(E27:J27)</f>
        <v>1.4771000000000001</v>
      </c>
      <c r="L27" s="30">
        <f>+(K27/$H$11)*100</f>
        <v>0.64138080764220584</v>
      </c>
      <c r="M27" s="33">
        <v>1.5</v>
      </c>
    </row>
    <row r="28" spans="3:25" x14ac:dyDescent="0.3">
      <c r="C28" s="29">
        <v>3</v>
      </c>
      <c r="D28" s="29" t="s">
        <v>45</v>
      </c>
      <c r="E28" s="30">
        <f>0.9*0.75</f>
        <v>0.67500000000000004</v>
      </c>
      <c r="F28" s="30">
        <f>2.03*0.6</f>
        <v>1.2179999999999997</v>
      </c>
      <c r="G28" s="30">
        <f>0.7*0.4</f>
        <v>0.27999999999999997</v>
      </c>
      <c r="H28" s="30">
        <f>0.82*0.72</f>
        <v>0.59039999999999992</v>
      </c>
      <c r="I28" s="30"/>
      <c r="J28" s="30"/>
      <c r="K28" s="30">
        <f>+SUM(E28:J28)</f>
        <v>2.7633999999999994</v>
      </c>
      <c r="L28" s="30">
        <f>+(K28/$H$11)*100</f>
        <v>1.1999131567520622</v>
      </c>
      <c r="M28" s="67">
        <v>1</v>
      </c>
    </row>
    <row r="29" spans="3:25" x14ac:dyDescent="0.3">
      <c r="C29" s="29">
        <v>10</v>
      </c>
      <c r="D29" s="29" t="s">
        <v>43</v>
      </c>
      <c r="E29" s="30">
        <f>0.7*0.6</f>
        <v>0.42</v>
      </c>
      <c r="F29" s="30">
        <f>2.71*0.75</f>
        <v>2.0324999999999998</v>
      </c>
      <c r="G29" s="30"/>
      <c r="H29" s="30"/>
      <c r="I29" s="30"/>
      <c r="J29" s="30"/>
      <c r="K29" s="30">
        <f>+SUM(E29:J29)</f>
        <v>2.4524999999999997</v>
      </c>
      <c r="L29" s="30">
        <f>+(K29/$H$11)*100</f>
        <v>1.0649153278332608</v>
      </c>
      <c r="M29" s="68">
        <v>8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+PCI_U53!D4+1</f>
        <v>644</v>
      </c>
      <c r="D4" s="1">
        <v>658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+PCI_U53!F11</f>
        <v>K1+953,62</v>
      </c>
      <c r="G9" s="27"/>
      <c r="H9" s="106" t="s">
        <v>135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175</v>
      </c>
      <c r="G11" s="27"/>
      <c r="H11" s="105">
        <v>230.3</v>
      </c>
      <c r="I11" s="105"/>
      <c r="J11" s="9"/>
      <c r="K11" s="111"/>
      <c r="L11" s="112"/>
      <c r="M11" s="113"/>
      <c r="O11" t="s">
        <v>50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</v>
      </c>
      <c r="D26" s="29" t="s">
        <v>44</v>
      </c>
      <c r="E26" s="30">
        <f>2.33*0.9</f>
        <v>2.097</v>
      </c>
      <c r="F26" s="30"/>
      <c r="G26" s="30"/>
      <c r="H26" s="30"/>
      <c r="I26" s="30"/>
      <c r="J26" s="30"/>
      <c r="K26" s="30">
        <f t="shared" ref="K26:K31" si="0">+SUM(E26:J26)</f>
        <v>2.097</v>
      </c>
      <c r="L26" s="30">
        <f t="shared" ref="L26:L31" si="1">+(K26/$H$11)*100</f>
        <v>0.9105514546244029</v>
      </c>
      <c r="M26" s="44">
        <v>21</v>
      </c>
      <c r="O26" t="s">
        <v>47</v>
      </c>
      <c r="Y26" t="s">
        <v>67</v>
      </c>
    </row>
    <row r="27" spans="3:25" x14ac:dyDescent="0.3">
      <c r="C27" s="29">
        <v>1</v>
      </c>
      <c r="D27" s="29" t="s">
        <v>43</v>
      </c>
      <c r="E27" s="30">
        <f>6.47*1.25</f>
        <v>8.0875000000000004</v>
      </c>
      <c r="F27" s="30"/>
      <c r="G27" s="30"/>
      <c r="H27" s="30"/>
      <c r="I27" s="30"/>
      <c r="J27" s="30"/>
      <c r="K27" s="30">
        <f t="shared" si="0"/>
        <v>8.0875000000000004</v>
      </c>
      <c r="L27" s="30">
        <f t="shared" si="1"/>
        <v>3.5117238384715588</v>
      </c>
      <c r="M27" s="68">
        <v>48</v>
      </c>
    </row>
    <row r="28" spans="3:25" x14ac:dyDescent="0.3">
      <c r="C28" s="29">
        <v>1</v>
      </c>
      <c r="D28" s="29" t="s">
        <v>45</v>
      </c>
      <c r="E28" s="30">
        <f>0.66*0.56</f>
        <v>0.36960000000000004</v>
      </c>
      <c r="F28" s="30"/>
      <c r="G28" s="30"/>
      <c r="H28" s="30"/>
      <c r="I28" s="30"/>
      <c r="J28" s="30"/>
      <c r="K28" s="30">
        <f t="shared" si="0"/>
        <v>0.36960000000000004</v>
      </c>
      <c r="L28" s="30">
        <f t="shared" si="1"/>
        <v>0.16048632218844985</v>
      </c>
      <c r="M28" s="67">
        <v>4.9000000000000004</v>
      </c>
    </row>
    <row r="29" spans="3:25" x14ac:dyDescent="0.3">
      <c r="C29" s="29">
        <v>10</v>
      </c>
      <c r="D29" s="29" t="s">
        <v>45</v>
      </c>
      <c r="E29" s="30">
        <f>0.54*0.6</f>
        <v>0.32400000000000001</v>
      </c>
      <c r="F29" s="30">
        <f>0.74*0.6</f>
        <v>0.44400000000000001</v>
      </c>
      <c r="G29" s="30">
        <f>0.4*0.6</f>
        <v>0.24</v>
      </c>
      <c r="H29" s="30">
        <f>2.1*0.6</f>
        <v>1.26</v>
      </c>
      <c r="I29" s="30">
        <f>1.2*0.6</f>
        <v>0.72</v>
      </c>
      <c r="J29" s="30">
        <f>(1.15*0.6)+(0.84*0.6)+(0.55*0.6)+(0.44*0.6)</f>
        <v>1.788</v>
      </c>
      <c r="K29" s="30">
        <f t="shared" si="0"/>
        <v>4.7759999999999998</v>
      </c>
      <c r="L29" s="30">
        <f t="shared" si="1"/>
        <v>2.0738167607468516</v>
      </c>
      <c r="M29" s="45">
        <v>2</v>
      </c>
    </row>
    <row r="30" spans="3:25" x14ac:dyDescent="0.3">
      <c r="C30" s="29">
        <v>10</v>
      </c>
      <c r="D30" s="29" t="s">
        <v>43</v>
      </c>
      <c r="E30" s="30">
        <f>1.18*0.6</f>
        <v>0.70799999999999996</v>
      </c>
      <c r="F30" s="30">
        <f>0.3*0.6</f>
        <v>0.18</v>
      </c>
      <c r="G30" s="30"/>
      <c r="H30" s="30"/>
      <c r="I30" s="30"/>
      <c r="J30" s="30"/>
      <c r="K30" s="30">
        <f t="shared" si="0"/>
        <v>0.8879999999999999</v>
      </c>
      <c r="L30" s="30">
        <f t="shared" si="1"/>
        <v>0.38558402084237942</v>
      </c>
      <c r="M30" s="78">
        <v>5</v>
      </c>
    </row>
    <row r="31" spans="3:25" x14ac:dyDescent="0.3">
      <c r="C31" s="29">
        <v>10</v>
      </c>
      <c r="D31" s="29" t="s">
        <v>44</v>
      </c>
      <c r="E31" s="30">
        <f>0.76*0.6</f>
        <v>0.45599999999999996</v>
      </c>
      <c r="F31" s="30"/>
      <c r="G31" s="30"/>
      <c r="H31" s="30"/>
      <c r="I31" s="30"/>
      <c r="J31" s="30"/>
      <c r="K31" s="30">
        <f t="shared" si="0"/>
        <v>0.45599999999999996</v>
      </c>
      <c r="L31" s="30">
        <f t="shared" si="1"/>
        <v>0.19800260529743813</v>
      </c>
      <c r="M31" s="97">
        <v>0</v>
      </c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+PCI_U54!D4+1</f>
        <v>659</v>
      </c>
      <c r="D4" s="1">
        <v>669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+PCI_U54!F11</f>
        <v>K1+989,78</v>
      </c>
      <c r="G9" s="27"/>
      <c r="H9" s="106" t="s">
        <v>136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176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0.88*0.6</f>
        <v>0.52800000000000002</v>
      </c>
      <c r="F26" s="30">
        <f>0.57*0.6</f>
        <v>0.34199999999999997</v>
      </c>
      <c r="G26" s="30">
        <f>0.94*0.6</f>
        <v>0.56399999999999995</v>
      </c>
      <c r="H26" s="30">
        <f>0.66*0.6</f>
        <v>0.39600000000000002</v>
      </c>
      <c r="I26" s="30">
        <f>1.14*0.6</f>
        <v>0.68399999999999994</v>
      </c>
      <c r="J26" s="30">
        <f>3.24*0.6</f>
        <v>1.944</v>
      </c>
      <c r="K26" s="30">
        <f>+SUM(E26:J26)</f>
        <v>4.4580000000000002</v>
      </c>
      <c r="L26" s="30">
        <f>+(K26/$H$11)*100</f>
        <v>1.9357359965262702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1.02*0.6</f>
        <v>0.61199999999999999</v>
      </c>
      <c r="F27" s="30">
        <f>1.73*0.4</f>
        <v>0.69200000000000006</v>
      </c>
      <c r="G27" s="30">
        <f>1.26*0.6</f>
        <v>0.75600000000000001</v>
      </c>
      <c r="H27" s="30"/>
      <c r="I27" s="30"/>
      <c r="J27" s="30"/>
      <c r="K27" s="30">
        <f>+SUM(E27:J27)</f>
        <v>2.06</v>
      </c>
      <c r="L27" s="30">
        <f>+(K27/$H$11)*100</f>
        <v>0.89448545375597033</v>
      </c>
      <c r="M27" s="68">
        <v>2</v>
      </c>
    </row>
    <row r="28" spans="3:15" x14ac:dyDescent="0.3">
      <c r="C28" s="29">
        <v>3</v>
      </c>
      <c r="D28" s="29" t="s">
        <v>45</v>
      </c>
      <c r="E28" s="30">
        <f>1.36*1.23</f>
        <v>1.6728000000000001</v>
      </c>
      <c r="F28" s="30"/>
      <c r="G28" s="30"/>
      <c r="H28" s="30"/>
      <c r="I28" s="30"/>
      <c r="J28" s="30"/>
      <c r="K28" s="30">
        <f>+SUM(E28:J28)</f>
        <v>1.6728000000000001</v>
      </c>
      <c r="L28" s="30">
        <f>+(K28/$H$11)*100</f>
        <v>0.726356925749023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+PCI_U55!D4+1</f>
        <v>670</v>
      </c>
      <c r="D4" s="1">
        <v>676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+PCI_U55!F11</f>
        <v>K2+025,93</v>
      </c>
      <c r="G9" s="27"/>
      <c r="H9" s="106" t="s">
        <v>137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177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0.57*0.66</f>
        <v>0.37619999999999998</v>
      </c>
      <c r="F26" s="30">
        <f>0.66*0.52</f>
        <v>0.34320000000000001</v>
      </c>
      <c r="G26" s="30">
        <f>2*0.63</f>
        <v>1.26</v>
      </c>
      <c r="H26" s="30">
        <f>1.14*0.97</f>
        <v>1.1057999999999999</v>
      </c>
      <c r="I26" s="30">
        <f>1.08*0.68</f>
        <v>0.73440000000000005</v>
      </c>
      <c r="J26" s="30"/>
      <c r="K26" s="30">
        <f>+SUM(E26:J26)</f>
        <v>3.8195999999999999</v>
      </c>
      <c r="L26" s="30">
        <f>+(K26/$H$11)*100</f>
        <v>1.6585323491098567</v>
      </c>
      <c r="M26" s="67">
        <v>1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1.44*0.6</f>
        <v>0.86399999999999999</v>
      </c>
      <c r="F27" s="30">
        <f>1.26*0.6</f>
        <v>0.75600000000000001</v>
      </c>
      <c r="G27" s="30"/>
      <c r="H27" s="30"/>
      <c r="I27" s="30"/>
      <c r="J27" s="30"/>
      <c r="K27" s="30">
        <f>+SUM(E27:J27)</f>
        <v>1.62</v>
      </c>
      <c r="L27" s="30">
        <f>+(K27/$H$11)*100</f>
        <v>0.70343030829353026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+PCI_U56!D4+1</f>
        <v>677</v>
      </c>
      <c r="D4" s="1">
        <v>694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+PCI_U56!F11</f>
        <v>K2+062,08</v>
      </c>
      <c r="G9" s="27"/>
      <c r="H9" s="106" t="s">
        <v>139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178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4.4*0.94</f>
        <v>4.1360000000000001</v>
      </c>
      <c r="F26" s="30">
        <f>2.14*0.43</f>
        <v>0.92020000000000002</v>
      </c>
      <c r="G26" s="30">
        <f>1.05*0.23</f>
        <v>0.24150000000000002</v>
      </c>
      <c r="H26" s="30"/>
      <c r="I26" s="30"/>
      <c r="J26" s="30"/>
      <c r="K26" s="30">
        <f>+SUM(E26:J26)</f>
        <v>5.2977000000000007</v>
      </c>
      <c r="L26" s="30">
        <f>+(K26/$H$11)*100</f>
        <v>2.3003473729917503</v>
      </c>
      <c r="M26" s="67">
        <v>6</v>
      </c>
      <c r="O26" t="s">
        <v>47</v>
      </c>
      <c r="T26" t="s">
        <v>50</v>
      </c>
    </row>
    <row r="27" spans="3:20" x14ac:dyDescent="0.3">
      <c r="C27" s="29">
        <v>17</v>
      </c>
      <c r="D27" s="29" t="s">
        <v>45</v>
      </c>
      <c r="E27" s="30">
        <f>0.59*0.16</f>
        <v>9.4399999999999998E-2</v>
      </c>
      <c r="F27" s="30"/>
      <c r="G27" s="30"/>
      <c r="H27" s="30"/>
      <c r="I27" s="30"/>
      <c r="J27" s="30"/>
      <c r="K27" s="30">
        <f t="shared" ref="K27:K32" si="0">+SUM(E27:J27)</f>
        <v>9.4399999999999998E-2</v>
      </c>
      <c r="L27" s="30">
        <f t="shared" ref="L27:L32" si="1">+(K27/$H$11)*100</f>
        <v>4.0990013026487193E-2</v>
      </c>
      <c r="M27" s="43">
        <v>0</v>
      </c>
    </row>
    <row r="28" spans="3:20" x14ac:dyDescent="0.3">
      <c r="C28" s="29">
        <v>10</v>
      </c>
      <c r="D28" s="29" t="s">
        <v>45</v>
      </c>
      <c r="E28" s="30">
        <f>0.66*0.6</f>
        <v>0.39600000000000002</v>
      </c>
      <c r="F28" s="30">
        <f>0.9*0.6</f>
        <v>0.54</v>
      </c>
      <c r="G28" s="30">
        <f>0.7*0.6</f>
        <v>0.42</v>
      </c>
      <c r="H28" s="30">
        <f>1.32*0.6</f>
        <v>0.79200000000000004</v>
      </c>
      <c r="I28" s="30">
        <f>0.35*0.6</f>
        <v>0.21</v>
      </c>
      <c r="J28" s="30">
        <f>+(0.68*0.6)+(3.33*0.6)</f>
        <v>2.4060000000000001</v>
      </c>
      <c r="K28" s="30">
        <f t="shared" si="0"/>
        <v>4.7640000000000002</v>
      </c>
      <c r="L28" s="30">
        <f t="shared" si="1"/>
        <v>2.0686061658706034</v>
      </c>
      <c r="M28" s="44">
        <v>1</v>
      </c>
    </row>
    <row r="29" spans="3:20" x14ac:dyDescent="0.3">
      <c r="C29" s="29">
        <v>3</v>
      </c>
      <c r="D29" s="29" t="s">
        <v>43</v>
      </c>
      <c r="E29" s="30">
        <f>0.51*0.56</f>
        <v>0.28560000000000002</v>
      </c>
      <c r="F29" s="30"/>
      <c r="G29" s="30"/>
      <c r="H29" s="30"/>
      <c r="I29" s="30"/>
      <c r="J29" s="30"/>
      <c r="K29" s="30">
        <f t="shared" si="0"/>
        <v>0.28560000000000002</v>
      </c>
      <c r="L29" s="30">
        <f t="shared" si="1"/>
        <v>0.12401215805471125</v>
      </c>
      <c r="M29" s="68">
        <v>1</v>
      </c>
    </row>
    <row r="30" spans="3:20" x14ac:dyDescent="0.3">
      <c r="C30" s="29">
        <v>10</v>
      </c>
      <c r="D30" s="29" t="s">
        <v>44</v>
      </c>
      <c r="E30" s="30">
        <f>0.98*0.6</f>
        <v>0.58799999999999997</v>
      </c>
      <c r="F30" s="30">
        <f>0.65*0.6</f>
        <v>0.39</v>
      </c>
      <c r="G30" s="30">
        <f>1.55*0.6</f>
        <v>0.92999999999999994</v>
      </c>
      <c r="H30" s="30"/>
      <c r="I30" s="30"/>
      <c r="J30" s="30"/>
      <c r="K30" s="30">
        <f t="shared" si="0"/>
        <v>1.9079999999999999</v>
      </c>
      <c r="L30" s="30">
        <f t="shared" si="1"/>
        <v>0.82848458532349101</v>
      </c>
      <c r="M30" s="78">
        <v>2</v>
      </c>
    </row>
    <row r="31" spans="3:20" x14ac:dyDescent="0.3">
      <c r="C31" s="29">
        <v>3</v>
      </c>
      <c r="D31" s="29" t="s">
        <v>45</v>
      </c>
      <c r="E31" s="30">
        <f>0.63*0.37</f>
        <v>0.2331</v>
      </c>
      <c r="F31" s="30"/>
      <c r="G31" s="30"/>
      <c r="H31" s="30"/>
      <c r="I31" s="30"/>
      <c r="J31" s="30"/>
      <c r="K31" s="30">
        <f t="shared" si="0"/>
        <v>0.2331</v>
      </c>
      <c r="L31" s="30">
        <f t="shared" si="1"/>
        <v>0.10121580547112462</v>
      </c>
      <c r="M31" s="97">
        <v>0</v>
      </c>
    </row>
    <row r="32" spans="3:20" x14ac:dyDescent="0.3">
      <c r="C32" s="29">
        <v>1</v>
      </c>
      <c r="D32" s="29" t="s">
        <v>44</v>
      </c>
      <c r="E32" s="30">
        <f>1.4*1.05</f>
        <v>1.47</v>
      </c>
      <c r="F32" s="30">
        <f>0.47*0.37</f>
        <v>0.1739</v>
      </c>
      <c r="G32" s="30"/>
      <c r="H32" s="30"/>
      <c r="I32" s="30"/>
      <c r="J32" s="30"/>
      <c r="K32" s="30">
        <f t="shared" si="0"/>
        <v>1.6438999999999999</v>
      </c>
      <c r="L32" s="30">
        <f t="shared" si="1"/>
        <v>0.71380807642205812</v>
      </c>
      <c r="M32" s="74">
        <v>19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+PCI_U57!D4+1</f>
        <v>695</v>
      </c>
      <c r="D4" s="1">
        <v>713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+PCI_U57!F11</f>
        <v>K2+098,24</v>
      </c>
      <c r="G9" s="27"/>
      <c r="H9" s="106" t="s">
        <v>140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179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44028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1.63*1.22</f>
        <v>1.9885999999999999</v>
      </c>
      <c r="F26" s="30">
        <f>1.13*1.42</f>
        <v>1.6045999999999998</v>
      </c>
      <c r="G26" s="30">
        <f>0.86*1</f>
        <v>0.86</v>
      </c>
      <c r="H26" s="30"/>
      <c r="I26" s="30"/>
      <c r="J26" s="30"/>
      <c r="K26" s="30">
        <f>+SUM(E26:J26)</f>
        <v>4.4531999999999998</v>
      </c>
      <c r="L26" s="30">
        <f>+(K26/$H$11)*100</f>
        <v>1.9336517585757707</v>
      </c>
      <c r="M26" s="67">
        <v>6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45</v>
      </c>
      <c r="E27" s="30">
        <f>1.43*0.6</f>
        <v>0.85799999999999998</v>
      </c>
      <c r="F27" s="30">
        <f>1.24*0.6</f>
        <v>0.74399999999999999</v>
      </c>
      <c r="G27" s="30">
        <f>1.9*0.6</f>
        <v>1.1399999999999999</v>
      </c>
      <c r="H27" s="30">
        <f>1.7*0.6</f>
        <v>1.02</v>
      </c>
      <c r="I27" s="30">
        <f>1.07*0.6</f>
        <v>0.64200000000000002</v>
      </c>
      <c r="J27" s="30">
        <f>(0.46*0.6)+(0.9*0.6)</f>
        <v>0.81600000000000006</v>
      </c>
      <c r="K27" s="30">
        <f>+SUM(E27:J27)</f>
        <v>5.22</v>
      </c>
      <c r="L27" s="30">
        <f>+(K27/$H$11)*100</f>
        <v>2.2666087711680416</v>
      </c>
      <c r="M27" s="68">
        <v>1</v>
      </c>
    </row>
    <row r="28" spans="3:20" x14ac:dyDescent="0.3">
      <c r="C28" s="29">
        <v>1</v>
      </c>
      <c r="D28" s="29" t="s">
        <v>44</v>
      </c>
      <c r="E28" s="30">
        <f>2.98*1.58</f>
        <v>4.7084000000000001</v>
      </c>
      <c r="F28" s="30"/>
      <c r="G28" s="30"/>
      <c r="H28" s="30"/>
      <c r="I28" s="30"/>
      <c r="J28" s="30"/>
      <c r="K28" s="30">
        <f>+SUM(E28:J28)</f>
        <v>4.7084000000000001</v>
      </c>
      <c r="L28" s="30">
        <f>+(K28/$H$11)*100</f>
        <v>2.0444637429439858</v>
      </c>
      <c r="M28" s="58">
        <v>28</v>
      </c>
    </row>
    <row r="29" spans="3:20" x14ac:dyDescent="0.3">
      <c r="C29" s="29">
        <v>3</v>
      </c>
      <c r="D29" s="29" t="s">
        <v>45</v>
      </c>
      <c r="E29" s="30">
        <f>1.6*0.6</f>
        <v>0.96</v>
      </c>
      <c r="F29" s="30">
        <f>1.06*0.92</f>
        <v>0.97520000000000007</v>
      </c>
      <c r="G29" s="30">
        <f>0.4*0.7</f>
        <v>0.27999999999999997</v>
      </c>
      <c r="H29" s="30">
        <f>0.68*0.18</f>
        <v>0.12240000000000001</v>
      </c>
      <c r="I29" s="30">
        <f>0.45*0.36</f>
        <v>0.16200000000000001</v>
      </c>
      <c r="J29" s="30">
        <f>0.75*0.31</f>
        <v>0.23249999999999998</v>
      </c>
      <c r="K29" s="30">
        <f>+SUM(E29:J29)</f>
        <v>2.7320999999999995</v>
      </c>
      <c r="L29" s="30">
        <f>+(K29/$H$11)*100</f>
        <v>1.1863221884498478</v>
      </c>
      <c r="M29" s="76">
        <v>1</v>
      </c>
    </row>
    <row r="30" spans="3:20" x14ac:dyDescent="0.3">
      <c r="C30" s="29">
        <v>17</v>
      </c>
      <c r="D30" s="29" t="s">
        <v>45</v>
      </c>
      <c r="E30" s="30">
        <f>0.54*0.83</f>
        <v>0.44819999999999999</v>
      </c>
      <c r="F30" s="30">
        <f>1.2*0.27</f>
        <v>0.32400000000000001</v>
      </c>
      <c r="G30" s="30"/>
      <c r="H30" s="30"/>
      <c r="I30" s="30"/>
      <c r="J30" s="30"/>
      <c r="K30" s="30">
        <f>+SUM(E30:J30)</f>
        <v>0.7722</v>
      </c>
      <c r="L30" s="30">
        <f>+(K30/$H$11)*100</f>
        <v>0.3353017802865827</v>
      </c>
      <c r="M30" s="78">
        <v>2</v>
      </c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+PCI_U58!D4+1</f>
        <v>714</v>
      </c>
      <c r="D4" s="1">
        <v>725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+PCI_U58!F11</f>
        <v>K2+134,41</v>
      </c>
      <c r="G9" s="27"/>
      <c r="H9" s="106" t="s">
        <v>141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180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234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1.27*1</f>
        <v>1.27</v>
      </c>
      <c r="F26" s="30"/>
      <c r="G26" s="30"/>
      <c r="H26" s="30"/>
      <c r="I26" s="30"/>
      <c r="J26" s="30"/>
      <c r="K26" s="30">
        <f t="shared" ref="K26:K31" si="0">+SUM(E26:J26)</f>
        <v>1.27</v>
      </c>
      <c r="L26" s="30">
        <f t="shared" ref="L26:L31" si="1">+(K26/$H$11)*100</f>
        <v>0.55145462440295256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1.58*0.6</f>
        <v>0.94799999999999995</v>
      </c>
      <c r="F27" s="30">
        <f>2.3*0.6</f>
        <v>1.38</v>
      </c>
      <c r="G27" s="30">
        <f>1.46*0.6</f>
        <v>0.876</v>
      </c>
      <c r="H27" s="30"/>
      <c r="I27" s="30"/>
      <c r="J27" s="30"/>
      <c r="K27" s="30">
        <f t="shared" si="0"/>
        <v>3.2039999999999997</v>
      </c>
      <c r="L27" s="30">
        <f t="shared" si="1"/>
        <v>1.391228831958315</v>
      </c>
      <c r="M27" s="43">
        <v>0</v>
      </c>
    </row>
    <row r="28" spans="3:15" x14ac:dyDescent="0.3">
      <c r="C28" s="29">
        <v>3</v>
      </c>
      <c r="D28" s="29" t="s">
        <v>43</v>
      </c>
      <c r="E28" s="30">
        <f>4.6*2.04</f>
        <v>9.3839999999999986</v>
      </c>
      <c r="F28" s="30">
        <f>5.54*0.94</f>
        <v>5.2075999999999993</v>
      </c>
      <c r="G28" s="30"/>
      <c r="H28" s="30"/>
      <c r="I28" s="30"/>
      <c r="J28" s="30"/>
      <c r="K28" s="30">
        <f t="shared" si="0"/>
        <v>14.591599999999998</v>
      </c>
      <c r="L28" s="30">
        <f t="shared" si="1"/>
        <v>6.3359096830221437</v>
      </c>
      <c r="M28" s="68">
        <v>23</v>
      </c>
    </row>
    <row r="29" spans="3:15" x14ac:dyDescent="0.3">
      <c r="C29" s="29">
        <v>10</v>
      </c>
      <c r="D29" s="29" t="s">
        <v>44</v>
      </c>
      <c r="E29" s="30">
        <f>0.61*0.6</f>
        <v>0.36599999999999999</v>
      </c>
      <c r="F29" s="30">
        <f>2.46*0.6</f>
        <v>1.476</v>
      </c>
      <c r="G29" s="30"/>
      <c r="H29" s="30"/>
      <c r="I29" s="30"/>
      <c r="J29" s="30"/>
      <c r="K29" s="30">
        <f t="shared" si="0"/>
        <v>1.8420000000000001</v>
      </c>
      <c r="L29" s="30">
        <f t="shared" si="1"/>
        <v>0.79982631350412514</v>
      </c>
      <c r="M29" s="44">
        <v>2</v>
      </c>
    </row>
    <row r="30" spans="3:15" x14ac:dyDescent="0.3">
      <c r="C30" s="29">
        <v>3</v>
      </c>
      <c r="D30" s="29" t="s">
        <v>44</v>
      </c>
      <c r="E30" s="30">
        <f>1.6*0.3</f>
        <v>0.48</v>
      </c>
      <c r="F30" s="30">
        <f>4*0.93</f>
        <v>3.72</v>
      </c>
      <c r="G30" s="30"/>
      <c r="H30" s="30"/>
      <c r="I30" s="30"/>
      <c r="J30" s="30"/>
      <c r="K30" s="30">
        <f t="shared" si="0"/>
        <v>4.2</v>
      </c>
      <c r="L30" s="30">
        <f t="shared" si="1"/>
        <v>1.8237082066869299</v>
      </c>
      <c r="M30" s="72">
        <v>6</v>
      </c>
    </row>
    <row r="31" spans="3:15" x14ac:dyDescent="0.3">
      <c r="C31" s="29">
        <v>12</v>
      </c>
      <c r="D31" s="29" t="s">
        <v>43</v>
      </c>
      <c r="E31" s="30">
        <f>8*1.3</f>
        <v>10.4</v>
      </c>
      <c r="F31" s="30"/>
      <c r="G31" s="30"/>
      <c r="H31" s="30"/>
      <c r="I31" s="30"/>
      <c r="J31" s="30"/>
      <c r="K31" s="30">
        <f t="shared" si="0"/>
        <v>10.4</v>
      </c>
      <c r="L31" s="30">
        <f t="shared" si="1"/>
        <v>4.5158488927485889</v>
      </c>
      <c r="M31" s="78">
        <v>2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O26" sqref="O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35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5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5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5">
        <v>51</v>
      </c>
      <c r="D4" s="1">
        <v>62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39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37" t="s">
        <v>38</v>
      </c>
      <c r="D9" s="27"/>
      <c r="E9" s="27"/>
      <c r="F9" s="37" t="str">
        <f>+PCI_U5!F11</f>
        <v>K0+180,76</v>
      </c>
      <c r="G9" s="27"/>
      <c r="H9" s="106" t="s">
        <v>59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39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37" t="s">
        <v>39</v>
      </c>
      <c r="D11" s="27"/>
      <c r="E11" s="27"/>
      <c r="F11" s="37" t="s">
        <v>58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36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34" t="s">
        <v>1</v>
      </c>
      <c r="D25" s="34" t="s">
        <v>29</v>
      </c>
      <c r="E25" s="126" t="s">
        <v>30</v>
      </c>
      <c r="F25" s="127"/>
      <c r="G25" s="127"/>
      <c r="H25" s="127"/>
      <c r="I25" s="127"/>
      <c r="J25" s="128"/>
      <c r="K25" s="34" t="s">
        <v>31</v>
      </c>
      <c r="L25" s="34" t="s">
        <v>32</v>
      </c>
      <c r="M25" s="34" t="s">
        <v>33</v>
      </c>
    </row>
    <row r="26" spans="3:15" x14ac:dyDescent="0.3">
      <c r="C26" s="29">
        <v>1</v>
      </c>
      <c r="D26" s="29" t="s">
        <v>44</v>
      </c>
      <c r="E26" s="30">
        <f>3.5*1.5</f>
        <v>5.25</v>
      </c>
      <c r="F26" s="30">
        <f>2.8*1.1</f>
        <v>3.08</v>
      </c>
      <c r="G26" s="30">
        <f>2.6*1</f>
        <v>2.6</v>
      </c>
      <c r="H26" s="30">
        <f>5.2*0.97</f>
        <v>5.0439999999999996</v>
      </c>
      <c r="I26" s="30">
        <f>2.9*0.94</f>
        <v>2.726</v>
      </c>
      <c r="J26" s="30">
        <f>4.2*0.9</f>
        <v>3.7800000000000002</v>
      </c>
      <c r="K26" s="30">
        <f>+SUM(E26:J26)</f>
        <v>22.48</v>
      </c>
      <c r="L26" s="30">
        <f>+(K26/$H$11)*100</f>
        <v>9.7611810681719486</v>
      </c>
      <c r="M26" s="45">
        <v>61</v>
      </c>
      <c r="O26" t="s">
        <v>50</v>
      </c>
    </row>
    <row r="27" spans="3:15" x14ac:dyDescent="0.3">
      <c r="C27" s="29">
        <v>11</v>
      </c>
      <c r="D27" s="29" t="s">
        <v>43</v>
      </c>
      <c r="E27" s="30">
        <f>2.7*1.7</f>
        <v>4.59</v>
      </c>
      <c r="F27" s="30">
        <f>5.42*1.33</f>
        <v>7.2086000000000006</v>
      </c>
      <c r="G27" s="30"/>
      <c r="H27" s="30"/>
      <c r="I27" s="30"/>
      <c r="J27" s="30"/>
      <c r="K27" s="30">
        <f>+SUM(E27:J27)</f>
        <v>11.7986</v>
      </c>
      <c r="L27" s="30">
        <f>+(K27/$H$11)*100</f>
        <v>5.1231437255753365</v>
      </c>
      <c r="M27" s="41">
        <v>38</v>
      </c>
    </row>
    <row r="28" spans="3:15" x14ac:dyDescent="0.3">
      <c r="C28" s="29">
        <v>11</v>
      </c>
      <c r="D28" s="29" t="s">
        <v>44</v>
      </c>
      <c r="E28" s="30">
        <f>2.4*1.24</f>
        <v>2.976</v>
      </c>
      <c r="F28" s="30">
        <f>20.93*6.35</f>
        <v>132.90549999999999</v>
      </c>
      <c r="G28" s="30"/>
      <c r="H28" s="30"/>
      <c r="I28" s="30"/>
      <c r="J28" s="30"/>
      <c r="K28" s="30">
        <f>+SUM(E28:J28)</f>
        <v>135.88149999999999</v>
      </c>
      <c r="L28" s="30">
        <f>+(K28/$H$11)*100</f>
        <v>59.001953973078578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2.5*0.77</f>
        <v>1.925</v>
      </c>
      <c r="F29" s="30"/>
      <c r="G29" s="30"/>
      <c r="H29" s="30"/>
      <c r="I29" s="30"/>
      <c r="J29" s="30"/>
      <c r="K29" s="30">
        <f>+SUM(E29:J29)</f>
        <v>1.925</v>
      </c>
      <c r="L29" s="30">
        <f>+(K29/$H$11)*100</f>
        <v>0.83586626139817621</v>
      </c>
      <c r="M29" s="43">
        <v>0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43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19"/>
    </row>
    <row r="37" spans="3:13" x14ac:dyDescent="0.3">
      <c r="C37" s="38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O6" sqref="O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+PCI_U59!D4+1</f>
        <v>726</v>
      </c>
      <c r="D4" s="1">
        <v>747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+PCI_U59!F11</f>
        <v>K2+170,56</v>
      </c>
      <c r="G9" s="27"/>
      <c r="H9" s="106" t="s">
        <v>142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0.88*0.6</f>
        <v>0.52800000000000002</v>
      </c>
      <c r="F26" s="30">
        <f>1.12*0.6</f>
        <v>0.67200000000000004</v>
      </c>
      <c r="G26" s="30">
        <f>1.33*0.6</f>
        <v>0.79800000000000004</v>
      </c>
      <c r="H26" s="30">
        <f>0.64*0.6</f>
        <v>0.38400000000000001</v>
      </c>
      <c r="I26" s="30">
        <f>0.78*0.6</f>
        <v>0.46799999999999997</v>
      </c>
      <c r="J26" s="30">
        <f>+(0.56*0.6)+(0.54*0.6)+(0.76*0.6)+(0.75*0.6)+(0.68*0.6)+(1.07*0.6)</f>
        <v>2.6160000000000001</v>
      </c>
      <c r="K26" s="30">
        <f>+SUM(E26:J26)</f>
        <v>5.4660000000000002</v>
      </c>
      <c r="L26" s="30">
        <f>+(K26/$H$11)*100</f>
        <v>2.3734259661311334</v>
      </c>
      <c r="M26" s="68">
        <v>1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1.82*1.55</f>
        <v>2.8210000000000002</v>
      </c>
      <c r="F27" s="30">
        <f>0.43*1.55</f>
        <v>0.66649999999999998</v>
      </c>
      <c r="G27" s="30">
        <f>1.33*1.05</f>
        <v>1.3965000000000001</v>
      </c>
      <c r="H27" s="30">
        <f>1.25*0.25</f>
        <v>0.3125</v>
      </c>
      <c r="I27" s="30">
        <f>1.03*0.58</f>
        <v>0.59739999999999993</v>
      </c>
      <c r="J27" s="30">
        <f>(1.86*1.15)+(1.03*0.52)</f>
        <v>2.6745999999999999</v>
      </c>
      <c r="K27" s="30">
        <f>+SUM(E27:J27)</f>
        <v>8.4685000000000006</v>
      </c>
      <c r="L27" s="30">
        <f>+(K27/$H$11)*100</f>
        <v>3.6771602257924445</v>
      </c>
      <c r="M27" s="67">
        <v>4</v>
      </c>
    </row>
    <row r="28" spans="3:15" x14ac:dyDescent="0.3">
      <c r="C28" s="29">
        <v>3</v>
      </c>
      <c r="D28" s="29" t="s">
        <v>44</v>
      </c>
      <c r="E28" s="30">
        <f>1.22*0.93</f>
        <v>1.1346000000000001</v>
      </c>
      <c r="F28" s="30"/>
      <c r="G28" s="30"/>
      <c r="H28" s="30"/>
      <c r="I28" s="30"/>
      <c r="J28" s="30"/>
      <c r="K28" s="30">
        <f>+SUM(E28:J28)</f>
        <v>1.1346000000000001</v>
      </c>
      <c r="L28" s="30">
        <f>+(K28/$H$11)*100</f>
        <v>0.49266174554928355</v>
      </c>
      <c r="M28" s="43">
        <v>0</v>
      </c>
    </row>
    <row r="29" spans="3:15" x14ac:dyDescent="0.3">
      <c r="C29" s="29">
        <v>10</v>
      </c>
      <c r="D29" s="29" t="s">
        <v>44</v>
      </c>
      <c r="E29" s="30">
        <f>1.4*0.6</f>
        <v>0.84</v>
      </c>
      <c r="F29" s="30"/>
      <c r="G29" s="30"/>
      <c r="H29" s="30"/>
      <c r="I29" s="30"/>
      <c r="J29" s="30"/>
      <c r="K29" s="30">
        <f>+SUM(E29:J29)</f>
        <v>0.84</v>
      </c>
      <c r="L29" s="30">
        <f>+(K29/$H$11)*100</f>
        <v>0.36474164133738601</v>
      </c>
      <c r="M29" s="43">
        <v>0</v>
      </c>
    </row>
    <row r="30" spans="3:15" x14ac:dyDescent="0.3">
      <c r="C30" s="29">
        <v>17</v>
      </c>
      <c r="D30" s="29" t="s">
        <v>44</v>
      </c>
      <c r="E30" s="30">
        <f>1.47*2.15</f>
        <v>3.1604999999999999</v>
      </c>
      <c r="F30" s="30"/>
      <c r="G30" s="30"/>
      <c r="H30" s="30"/>
      <c r="I30" s="30"/>
      <c r="J30" s="30"/>
      <c r="K30" s="30">
        <f>+SUM(E30:J30)</f>
        <v>3.1604999999999999</v>
      </c>
      <c r="L30" s="30">
        <f>+(K30/$H$11)*100</f>
        <v>1.3723404255319147</v>
      </c>
      <c r="M30" s="65">
        <v>4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+PCI_U60!D4+1</f>
        <v>748</v>
      </c>
      <c r="D4" s="1">
        <v>761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+PCI_U60!F11</f>
        <v>K2+206,72</v>
      </c>
      <c r="G9" s="27"/>
      <c r="H9" s="106" t="s">
        <v>143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0.82*0.34</f>
        <v>0.27879999999999999</v>
      </c>
      <c r="F26" s="30">
        <f>1.47*0.62</f>
        <v>0.91139999999999999</v>
      </c>
      <c r="G26" s="30">
        <f>2.17*1.3</f>
        <v>2.8210000000000002</v>
      </c>
      <c r="H26" s="30">
        <f>2.62*1.08</f>
        <v>2.8296000000000001</v>
      </c>
      <c r="I26" s="30"/>
      <c r="J26" s="30"/>
      <c r="K26" s="30">
        <f>+SUM(E26:J26)</f>
        <v>6.8408000000000007</v>
      </c>
      <c r="L26" s="30">
        <f>+(K26/$H$11)*100</f>
        <v>2.9703864524533219</v>
      </c>
      <c r="M26" s="67">
        <v>8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45</v>
      </c>
      <c r="E27" s="30">
        <f>1.4*0.6</f>
        <v>0.84</v>
      </c>
      <c r="F27" s="30">
        <f>0.9*0.6</f>
        <v>0.54</v>
      </c>
      <c r="G27" s="30">
        <f>0.85*0.6</f>
        <v>0.51</v>
      </c>
      <c r="H27" s="30">
        <f>1.55*0.6</f>
        <v>0.92999999999999994</v>
      </c>
      <c r="I27" s="30">
        <f>0.72*0.6</f>
        <v>0.432</v>
      </c>
      <c r="J27" s="30"/>
      <c r="K27" s="30">
        <f t="shared" ref="K27:K32" si="0">+SUM(E27:J27)</f>
        <v>3.2519999999999998</v>
      </c>
      <c r="L27" s="30">
        <f t="shared" ref="L27:L32" si="1">+(K27/$H$11)*100</f>
        <v>1.4120712114633085</v>
      </c>
      <c r="M27" s="43">
        <v>0</v>
      </c>
    </row>
    <row r="28" spans="3:20" x14ac:dyDescent="0.3">
      <c r="C28" s="29">
        <v>17</v>
      </c>
      <c r="D28" s="29" t="s">
        <v>44</v>
      </c>
      <c r="E28" s="30">
        <f>0.87*0.48</f>
        <v>0.41759999999999997</v>
      </c>
      <c r="F28" s="30"/>
      <c r="G28" s="30"/>
      <c r="H28" s="30"/>
      <c r="I28" s="30"/>
      <c r="J28" s="30"/>
      <c r="K28" s="30">
        <f t="shared" si="0"/>
        <v>0.41759999999999997</v>
      </c>
      <c r="L28" s="30">
        <f t="shared" si="1"/>
        <v>0.18132870169344331</v>
      </c>
      <c r="M28" s="33">
        <v>4</v>
      </c>
    </row>
    <row r="29" spans="3:20" x14ac:dyDescent="0.3">
      <c r="C29" s="29">
        <v>3</v>
      </c>
      <c r="D29" s="29" t="s">
        <v>43</v>
      </c>
      <c r="E29" s="30">
        <f>1.28*1.43</f>
        <v>1.8304</v>
      </c>
      <c r="F29" s="30"/>
      <c r="G29" s="30"/>
      <c r="H29" s="30"/>
      <c r="I29" s="30"/>
      <c r="J29" s="30"/>
      <c r="K29" s="30">
        <f t="shared" si="0"/>
        <v>1.8304</v>
      </c>
      <c r="L29" s="30">
        <f t="shared" si="1"/>
        <v>0.79478940512375162</v>
      </c>
      <c r="M29" s="68">
        <v>6</v>
      </c>
    </row>
    <row r="30" spans="3:20" x14ac:dyDescent="0.3">
      <c r="C30" s="29">
        <v>1</v>
      </c>
      <c r="D30" s="29" t="s">
        <v>43</v>
      </c>
      <c r="E30" s="30">
        <f>5.66*1.75</f>
        <v>9.9050000000000011</v>
      </c>
      <c r="F30" s="30"/>
      <c r="G30" s="30"/>
      <c r="H30" s="30"/>
      <c r="I30" s="30"/>
      <c r="J30" s="30"/>
      <c r="K30" s="30">
        <f t="shared" si="0"/>
        <v>9.9050000000000011</v>
      </c>
      <c r="L30" s="30">
        <f t="shared" si="1"/>
        <v>4.3009118541033438</v>
      </c>
      <c r="M30" s="58">
        <v>52</v>
      </c>
    </row>
    <row r="31" spans="3:20" x14ac:dyDescent="0.3">
      <c r="C31" s="29">
        <v>10</v>
      </c>
      <c r="D31" s="29" t="s">
        <v>44</v>
      </c>
      <c r="E31" s="30">
        <f>2.72*0.6</f>
        <v>1.6320000000000001</v>
      </c>
      <c r="F31" s="30"/>
      <c r="G31" s="30"/>
      <c r="H31" s="30"/>
      <c r="I31" s="30"/>
      <c r="J31" s="30"/>
      <c r="K31" s="30">
        <f t="shared" si="0"/>
        <v>1.6320000000000001</v>
      </c>
      <c r="L31" s="30">
        <f t="shared" si="1"/>
        <v>0.70864090316977857</v>
      </c>
      <c r="M31" s="44">
        <v>1</v>
      </c>
    </row>
    <row r="32" spans="3:20" x14ac:dyDescent="0.3">
      <c r="C32" s="29">
        <v>17</v>
      </c>
      <c r="D32" s="29" t="s">
        <v>45</v>
      </c>
      <c r="E32" s="30">
        <f>0.38*0.36</f>
        <v>0.1368</v>
      </c>
      <c r="F32" s="30"/>
      <c r="G32" s="30"/>
      <c r="H32" s="30"/>
      <c r="I32" s="30"/>
      <c r="J32" s="30"/>
      <c r="K32" s="30">
        <f t="shared" si="0"/>
        <v>0.1368</v>
      </c>
      <c r="L32" s="30">
        <f t="shared" si="1"/>
        <v>5.9400781589231434E-2</v>
      </c>
      <c r="M32" s="43">
        <v>0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+PCI_U61!D4+1</f>
        <v>762</v>
      </c>
      <c r="D4" s="1">
        <v>775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+PCI_U61!F11</f>
        <v>K2+242,87</v>
      </c>
      <c r="G9" s="27"/>
      <c r="H9" s="106" t="s">
        <v>144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234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0.48*0.6</f>
        <v>0.28799999999999998</v>
      </c>
      <c r="F26" s="30">
        <f>0.56*0.6</f>
        <v>0.33600000000000002</v>
      </c>
      <c r="G26" s="30">
        <f>0.39*0.6</f>
        <v>0.23399999999999999</v>
      </c>
      <c r="H26" s="30">
        <f>0.68*0.6</f>
        <v>0.40800000000000003</v>
      </c>
      <c r="I26" s="30">
        <f>0.45*0.6</f>
        <v>0.27</v>
      </c>
      <c r="J26" s="30">
        <f>(0.8*0.6)+(0.58*0.6)</f>
        <v>0.82799999999999996</v>
      </c>
      <c r="K26" s="30">
        <f>+SUM(E26:J26)</f>
        <v>2.3639999999999999</v>
      </c>
      <c r="L26" s="30">
        <f>+(K26/$H$11)*100</f>
        <v>1.0264871906209292</v>
      </c>
      <c r="M26" s="43">
        <v>0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0.77*0.48</f>
        <v>0.36959999999999998</v>
      </c>
      <c r="F27" s="30">
        <f>0.9*0.5</f>
        <v>0.45</v>
      </c>
      <c r="G27" s="30">
        <f>0.88*0.45</f>
        <v>0.39600000000000002</v>
      </c>
      <c r="H27" s="30"/>
      <c r="I27" s="30"/>
      <c r="J27" s="30"/>
      <c r="K27" s="30">
        <f>+SUM(E27:J27)</f>
        <v>1.2156</v>
      </c>
      <c r="L27" s="30">
        <f>+(K27/$H$11)*100</f>
        <v>0.52783326096395999</v>
      </c>
      <c r="M27" s="43">
        <v>0</v>
      </c>
    </row>
    <row r="28" spans="3:15" x14ac:dyDescent="0.3">
      <c r="C28" s="29">
        <v>3</v>
      </c>
      <c r="D28" s="29" t="s">
        <v>44</v>
      </c>
      <c r="E28" s="30">
        <f>1.52*0.51</f>
        <v>0.7752</v>
      </c>
      <c r="F28" s="30">
        <f>1.66*1.35</f>
        <v>2.2410000000000001</v>
      </c>
      <c r="G28" s="30"/>
      <c r="H28" s="30"/>
      <c r="I28" s="30"/>
      <c r="J28" s="30"/>
      <c r="K28" s="30">
        <f>+SUM(E28:J28)</f>
        <v>3.0162</v>
      </c>
      <c r="L28" s="30">
        <f>+(K28/$H$11)*100</f>
        <v>1.3096830221450282</v>
      </c>
      <c r="M28" s="67">
        <v>4</v>
      </c>
    </row>
    <row r="29" spans="3:15" x14ac:dyDescent="0.3">
      <c r="C29" s="29">
        <v>10</v>
      </c>
      <c r="D29" s="29" t="s">
        <v>44</v>
      </c>
      <c r="E29" s="30">
        <f>0.7*0.6</f>
        <v>0.42</v>
      </c>
      <c r="F29" s="30"/>
      <c r="G29" s="30"/>
      <c r="H29" s="30"/>
      <c r="I29" s="30"/>
      <c r="J29" s="30"/>
      <c r="K29" s="30">
        <f>+SUM(E29:J29)</f>
        <v>0.42</v>
      </c>
      <c r="L29" s="30">
        <f>+(K29/$H$11)*100</f>
        <v>0.18237082066869301</v>
      </c>
      <c r="M29" s="43">
        <v>0</v>
      </c>
    </row>
    <row r="30" spans="3:15" x14ac:dyDescent="0.3">
      <c r="C30" s="29">
        <v>12</v>
      </c>
      <c r="D30" s="29" t="s">
        <v>44</v>
      </c>
      <c r="E30" s="30">
        <f>5.2*0.95</f>
        <v>4.9399999999999995</v>
      </c>
      <c r="F30" s="30"/>
      <c r="G30" s="30"/>
      <c r="H30" s="30"/>
      <c r="I30" s="30"/>
      <c r="J30" s="30"/>
      <c r="K30" s="30">
        <f>+SUM(E30:J30)</f>
        <v>4.9399999999999995</v>
      </c>
      <c r="L30" s="30">
        <f>+(K30/$H$11)*100</f>
        <v>2.1450282240555794</v>
      </c>
      <c r="M30" s="43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+PCI_U62!D4+1</f>
        <v>776</v>
      </c>
      <c r="D4" s="1">
        <v>799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+PCI_U62!F11</f>
        <v>K2+279,02</v>
      </c>
      <c r="G9" s="27"/>
      <c r="H9" s="106" t="s">
        <v>146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43</v>
      </c>
      <c r="E26" s="30">
        <f>0.67*1.14</f>
        <v>0.76380000000000003</v>
      </c>
      <c r="F26" s="30"/>
      <c r="G26" s="30"/>
      <c r="H26" s="30"/>
      <c r="I26" s="30"/>
      <c r="J26" s="30"/>
      <c r="K26" s="30">
        <f>+SUM(E26:J26)</f>
        <v>0.76380000000000003</v>
      </c>
      <c r="L26" s="30">
        <f>+(K26/$H$11)*100</f>
        <v>0.33165436387320885</v>
      </c>
      <c r="M26" s="68">
        <v>3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1.12*0.92</f>
        <v>1.0304000000000002</v>
      </c>
      <c r="F27" s="30">
        <f>2.5*0.95</f>
        <v>2.375</v>
      </c>
      <c r="G27" s="30"/>
      <c r="H27" s="30"/>
      <c r="I27" s="30"/>
      <c r="J27" s="30"/>
      <c r="K27" s="30">
        <f t="shared" ref="K27:K33" si="0">+SUM(E27:J27)</f>
        <v>3.4054000000000002</v>
      </c>
      <c r="L27" s="30">
        <f t="shared" ref="L27:L33" si="1">+(K27/$H$11)*100</f>
        <v>1.4786799826313504</v>
      </c>
      <c r="M27" s="45">
        <v>25</v>
      </c>
    </row>
    <row r="28" spans="3:20" x14ac:dyDescent="0.3">
      <c r="C28" s="29">
        <v>11</v>
      </c>
      <c r="D28" s="29" t="s">
        <v>43</v>
      </c>
      <c r="E28" s="30">
        <f>1.54*1.87</f>
        <v>2.8798000000000004</v>
      </c>
      <c r="F28" s="30"/>
      <c r="G28" s="30"/>
      <c r="H28" s="30"/>
      <c r="I28" s="30"/>
      <c r="J28" s="30"/>
      <c r="K28" s="30">
        <f t="shared" si="0"/>
        <v>2.8798000000000004</v>
      </c>
      <c r="L28" s="30">
        <f t="shared" si="1"/>
        <v>1.250455927051672</v>
      </c>
      <c r="M28" s="76">
        <v>20</v>
      </c>
    </row>
    <row r="29" spans="3:20" x14ac:dyDescent="0.3">
      <c r="C29" s="29">
        <v>1</v>
      </c>
      <c r="D29" s="29" t="s">
        <v>43</v>
      </c>
      <c r="E29" s="30">
        <f>8.87*1.05</f>
        <v>9.3134999999999994</v>
      </c>
      <c r="F29" s="30"/>
      <c r="G29" s="30"/>
      <c r="H29" s="30"/>
      <c r="I29" s="30"/>
      <c r="J29" s="30"/>
      <c r="K29" s="30">
        <f t="shared" si="0"/>
        <v>9.3134999999999994</v>
      </c>
      <c r="L29" s="30">
        <f t="shared" si="1"/>
        <v>4.0440729483282674</v>
      </c>
      <c r="M29" s="58">
        <v>50</v>
      </c>
    </row>
    <row r="30" spans="3:20" x14ac:dyDescent="0.3">
      <c r="C30" s="29">
        <v>10</v>
      </c>
      <c r="D30" s="29" t="s">
        <v>44</v>
      </c>
      <c r="E30" s="30">
        <f>1.6*0.6</f>
        <v>0.96</v>
      </c>
      <c r="F30" s="30">
        <f>0.98*0.6</f>
        <v>0.58799999999999997</v>
      </c>
      <c r="G30" s="30">
        <f>1.87*0.6</f>
        <v>1.1220000000000001</v>
      </c>
      <c r="H30" s="30">
        <f>1.08*0.6</f>
        <v>0.64800000000000002</v>
      </c>
      <c r="I30" s="30">
        <f>2.28*0.6</f>
        <v>1.3679999999999999</v>
      </c>
      <c r="J30" s="30">
        <f>2.28*0.6</f>
        <v>1.3679999999999999</v>
      </c>
      <c r="K30" s="30">
        <f t="shared" si="0"/>
        <v>6.0540000000000003</v>
      </c>
      <c r="L30" s="30">
        <f t="shared" si="1"/>
        <v>2.6287451150673036</v>
      </c>
      <c r="M30" s="33">
        <v>8</v>
      </c>
    </row>
    <row r="31" spans="3:20" x14ac:dyDescent="0.3">
      <c r="C31" s="29">
        <v>3</v>
      </c>
      <c r="D31" s="29" t="s">
        <v>45</v>
      </c>
      <c r="E31" s="30">
        <f>1.74*0.76</f>
        <v>1.3224</v>
      </c>
      <c r="F31" s="30">
        <f>1.07*1.06</f>
        <v>1.1342000000000001</v>
      </c>
      <c r="G31" s="30">
        <f>1.08*2.08</f>
        <v>2.2464000000000004</v>
      </c>
      <c r="H31" s="30"/>
      <c r="I31" s="30"/>
      <c r="J31" s="30"/>
      <c r="K31" s="30">
        <f t="shared" si="0"/>
        <v>4.7030000000000003</v>
      </c>
      <c r="L31" s="30">
        <f t="shared" si="1"/>
        <v>2.0421189752496747</v>
      </c>
      <c r="M31" s="67">
        <v>2</v>
      </c>
    </row>
    <row r="32" spans="3:20" x14ac:dyDescent="0.3">
      <c r="C32" s="29">
        <v>10</v>
      </c>
      <c r="D32" s="29" t="s">
        <v>45</v>
      </c>
      <c r="E32" s="30">
        <f>0.64*0.6</f>
        <v>0.38400000000000001</v>
      </c>
      <c r="F32" s="30">
        <f>0.81*0.6</f>
        <v>0.48599999999999999</v>
      </c>
      <c r="G32" s="30">
        <f>0.89*0.6</f>
        <v>0.53400000000000003</v>
      </c>
      <c r="H32" s="30">
        <f>0.67*0.6</f>
        <v>0.40200000000000002</v>
      </c>
      <c r="I32" s="30">
        <f>1.12*0.6</f>
        <v>0.67200000000000004</v>
      </c>
      <c r="J32" s="30">
        <f>1.58*0.6</f>
        <v>0.94799999999999995</v>
      </c>
      <c r="K32" s="30">
        <f t="shared" si="0"/>
        <v>3.4260000000000002</v>
      </c>
      <c r="L32" s="30">
        <f t="shared" si="1"/>
        <v>1.48762483716891</v>
      </c>
      <c r="M32" s="43">
        <v>0</v>
      </c>
    </row>
    <row r="33" spans="3:13" x14ac:dyDescent="0.3">
      <c r="C33" s="29">
        <v>3</v>
      </c>
      <c r="D33" s="29" t="s">
        <v>44</v>
      </c>
      <c r="E33" s="30">
        <f>1.66*1.12</f>
        <v>1.8592000000000002</v>
      </c>
      <c r="F33" s="30">
        <f>1.67*1.04</f>
        <v>1.7367999999999999</v>
      </c>
      <c r="G33" s="30">
        <f>2.78*0.7</f>
        <v>1.9459999999999997</v>
      </c>
      <c r="H33" s="30">
        <f>1.22*0.78</f>
        <v>0.9516</v>
      </c>
      <c r="I33" s="30"/>
      <c r="J33" s="30"/>
      <c r="K33" s="30">
        <f t="shared" si="0"/>
        <v>6.4935999999999998</v>
      </c>
      <c r="L33" s="30">
        <f t="shared" si="1"/>
        <v>2.8196265740338688</v>
      </c>
      <c r="M33" s="44">
        <v>8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+PCI_U63!D4+1</f>
        <v>800</v>
      </c>
      <c r="D4" s="1">
        <v>824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+PCI_U63!F11</f>
        <v>K2+315,18</v>
      </c>
      <c r="G9" s="27"/>
      <c r="H9" s="106" t="s">
        <v>147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199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1.07*0.92</f>
        <v>0.98440000000000005</v>
      </c>
      <c r="F26" s="30">
        <f>4.63*0.6</f>
        <v>2.778</v>
      </c>
      <c r="G26" s="30">
        <f>1.07*1.87</f>
        <v>2.0009000000000001</v>
      </c>
      <c r="H26" s="30">
        <f>4.22*1.11</f>
        <v>4.6841999999999997</v>
      </c>
      <c r="I26" s="30">
        <f>0.78*1.27</f>
        <v>0.99060000000000004</v>
      </c>
      <c r="J26" s="30">
        <f>(1.21*0.51)+(2.65*0.9)</f>
        <v>3.0020999999999995</v>
      </c>
      <c r="K26" s="30">
        <f>+SUM(E26:J26)</f>
        <v>14.440200000000001</v>
      </c>
      <c r="L26" s="30">
        <f>+(K26/$H$11)*100</f>
        <v>6.2701693443334774</v>
      </c>
      <c r="M26" s="68">
        <v>23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3.35*0.6</f>
        <v>2.0099999999999998</v>
      </c>
      <c r="F27" s="30">
        <f>1.18*0.6</f>
        <v>0.70799999999999996</v>
      </c>
      <c r="G27" s="30">
        <f>4.13*0.6</f>
        <v>2.4779999999999998</v>
      </c>
      <c r="H27" s="30">
        <f>1.3*0.6</f>
        <v>0.78</v>
      </c>
      <c r="I27" s="30"/>
      <c r="J27" s="30"/>
      <c r="K27" s="30">
        <f>+SUM(E27:J27)</f>
        <v>5.976</v>
      </c>
      <c r="L27" s="30">
        <f>+(K27/$H$11)*100</f>
        <v>2.5948762483716892</v>
      </c>
      <c r="M27" s="44">
        <v>6.9</v>
      </c>
    </row>
    <row r="28" spans="3:15" x14ac:dyDescent="0.3">
      <c r="C28" s="29">
        <v>3</v>
      </c>
      <c r="D28" s="29" t="s">
        <v>45</v>
      </c>
      <c r="E28" s="30">
        <f>0.8*0.74</f>
        <v>0.59199999999999997</v>
      </c>
      <c r="F28" s="30">
        <f>0.52*0.82</f>
        <v>0.4264</v>
      </c>
      <c r="G28" s="30">
        <f>2.1*0.57</f>
        <v>1.1969999999999998</v>
      </c>
      <c r="H28" s="30">
        <f>0.52*0.58</f>
        <v>0.30159999999999998</v>
      </c>
      <c r="I28" s="30">
        <f>2*0.77</f>
        <v>1.54</v>
      </c>
      <c r="J28" s="30">
        <f>1.2*0.8</f>
        <v>0.96</v>
      </c>
      <c r="K28" s="30">
        <f>+SUM(E28:J28)</f>
        <v>5.0170000000000003</v>
      </c>
      <c r="L28" s="30">
        <f>+(K28/$H$11)*100</f>
        <v>2.1784628745115069</v>
      </c>
      <c r="M28" s="67">
        <v>2</v>
      </c>
    </row>
    <row r="29" spans="3:15" x14ac:dyDescent="0.3">
      <c r="C29" s="29">
        <v>10</v>
      </c>
      <c r="D29" s="29" t="s">
        <v>45</v>
      </c>
      <c r="E29" s="30">
        <f>0.84*0.6</f>
        <v>0.504</v>
      </c>
      <c r="F29" s="30">
        <f>1.4*0.6</f>
        <v>0.84</v>
      </c>
      <c r="G29" s="30">
        <f>0.81*0.6</f>
        <v>0.48599999999999999</v>
      </c>
      <c r="H29" s="30">
        <f>2.16*0.6</f>
        <v>1.296</v>
      </c>
      <c r="I29" s="30">
        <f>0.98*0.6</f>
        <v>0.58799999999999997</v>
      </c>
      <c r="J29" s="30">
        <f>0.98*0.6</f>
        <v>0.58799999999999997</v>
      </c>
      <c r="K29" s="30">
        <f>+SUM(E29:J29)</f>
        <v>4.3019999999999996</v>
      </c>
      <c r="L29" s="30">
        <f>+(K29/$H$11)*100</f>
        <v>1.8679982631350411</v>
      </c>
      <c r="M29" s="43">
        <v>0</v>
      </c>
    </row>
    <row r="30" spans="3:15" x14ac:dyDescent="0.3">
      <c r="C30" s="29">
        <v>17</v>
      </c>
      <c r="D30" s="29" t="s">
        <v>45</v>
      </c>
      <c r="E30" s="30">
        <f>1.08*1.08</f>
        <v>1.1664000000000001</v>
      </c>
      <c r="F30" s="30">
        <f>1.09*1.23</f>
        <v>1.3407</v>
      </c>
      <c r="G30" s="30"/>
      <c r="H30" s="30"/>
      <c r="I30" s="30"/>
      <c r="J30" s="30"/>
      <c r="K30" s="30">
        <f>+SUM(E30:J30)</f>
        <v>2.5071000000000003</v>
      </c>
      <c r="L30" s="30">
        <f>+(K30/$H$11)*100</f>
        <v>1.0886235345201911</v>
      </c>
      <c r="M30" s="78">
        <v>4.8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+PCI_U64!D4+1</f>
        <v>825</v>
      </c>
      <c r="D4" s="1">
        <v>832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+PCI_U64!F11</f>
        <v>K2+351,33</v>
      </c>
      <c r="G9" s="27"/>
      <c r="H9" s="106" t="s">
        <v>148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200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44</v>
      </c>
      <c r="E26" s="30">
        <f>1.84*0.6</f>
        <v>1.1040000000000001</v>
      </c>
      <c r="F26" s="30">
        <f>1.45*0.6</f>
        <v>0.87</v>
      </c>
      <c r="G26" s="30">
        <f>2.7*0.6</f>
        <v>1.62</v>
      </c>
      <c r="H26" s="30"/>
      <c r="I26" s="30"/>
      <c r="J26" s="30"/>
      <c r="K26" s="30">
        <f>+SUM(E26:J26)</f>
        <v>3.5940000000000003</v>
      </c>
      <c r="L26" s="30">
        <f>+(K26/$H$11)*100</f>
        <v>1.5605731654363872</v>
      </c>
      <c r="M26" s="68">
        <v>3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45</v>
      </c>
      <c r="E27" s="30">
        <f>1.14*0.6</f>
        <v>0.68399999999999994</v>
      </c>
      <c r="F27" s="30">
        <f>1.8*0.6</f>
        <v>1.08</v>
      </c>
      <c r="G27" s="30">
        <f>0.89*0.6</f>
        <v>0.53400000000000003</v>
      </c>
      <c r="H27" s="30"/>
      <c r="I27" s="30"/>
      <c r="J27" s="30"/>
      <c r="K27" s="30">
        <f>+SUM(E27:J27)</f>
        <v>2.298</v>
      </c>
      <c r="L27" s="30">
        <f>+(K27/$H$11)*100</f>
        <v>0.99782891880156321</v>
      </c>
      <c r="M27" s="43">
        <v>0</v>
      </c>
    </row>
    <row r="28" spans="3:25" x14ac:dyDescent="0.3">
      <c r="C28" s="29">
        <v>3</v>
      </c>
      <c r="D28" s="29" t="s">
        <v>44</v>
      </c>
      <c r="E28" s="30">
        <f>0.45*1.44</f>
        <v>0.64800000000000002</v>
      </c>
      <c r="F28" s="30"/>
      <c r="G28" s="30"/>
      <c r="H28" s="30"/>
      <c r="I28" s="30"/>
      <c r="J28" s="30"/>
      <c r="K28" s="30">
        <f>+SUM(E28:J28)</f>
        <v>0.64800000000000002</v>
      </c>
      <c r="L28" s="30">
        <f>+(K28/$H$11)*100</f>
        <v>0.28137212331741207</v>
      </c>
      <c r="M28" s="43">
        <v>0</v>
      </c>
    </row>
    <row r="29" spans="3:25" x14ac:dyDescent="0.3">
      <c r="C29" s="29">
        <v>3</v>
      </c>
      <c r="D29" s="29" t="s">
        <v>43</v>
      </c>
      <c r="E29" s="30">
        <f>2.02*1.18</f>
        <v>2.3835999999999999</v>
      </c>
      <c r="F29" s="30"/>
      <c r="G29" s="30"/>
      <c r="H29" s="30"/>
      <c r="I29" s="30"/>
      <c r="J29" s="30"/>
      <c r="K29" s="30">
        <f>+SUM(E29:J29)</f>
        <v>2.3835999999999999</v>
      </c>
      <c r="L29" s="30">
        <f>+(K29/$H$11)*100</f>
        <v>1.0349978289188015</v>
      </c>
      <c r="M29" s="67">
        <v>7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N26" sqref="N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+PCI_U65!D4+1</f>
        <v>833</v>
      </c>
      <c r="D4" s="1">
        <v>850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+PCI_U65!F11</f>
        <v>K2+387,48</v>
      </c>
      <c r="G9" s="27"/>
      <c r="H9" s="106" t="s">
        <v>150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201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1.58*0.6</f>
        <v>0.94799999999999995</v>
      </c>
      <c r="F26" s="30"/>
      <c r="G26" s="30"/>
      <c r="H26" s="30"/>
      <c r="I26" s="30"/>
      <c r="J26" s="30"/>
      <c r="K26" s="30">
        <f>+SUM(E26:J26)</f>
        <v>0.94799999999999995</v>
      </c>
      <c r="L26" s="30">
        <f>+(K26/$H$11)*100</f>
        <v>0.41163699522362135</v>
      </c>
      <c r="M26" s="99">
        <v>21</v>
      </c>
      <c r="O26" t="s">
        <v>47</v>
      </c>
    </row>
    <row r="27" spans="3:15" x14ac:dyDescent="0.3">
      <c r="C27" s="29">
        <v>3</v>
      </c>
      <c r="D27" s="29" t="s">
        <v>43</v>
      </c>
      <c r="E27" s="30">
        <f>3.34*1.33</f>
        <v>4.4421999999999997</v>
      </c>
      <c r="F27" s="30"/>
      <c r="G27" s="30"/>
      <c r="H27" s="30"/>
      <c r="I27" s="30"/>
      <c r="J27" s="30"/>
      <c r="K27" s="30">
        <f>+SUM(E27:J27)</f>
        <v>4.4421999999999997</v>
      </c>
      <c r="L27" s="30">
        <f>+(K27/$H$11)*100</f>
        <v>1.9288753799392095</v>
      </c>
      <c r="M27" s="44">
        <v>12</v>
      </c>
    </row>
    <row r="28" spans="3:15" x14ac:dyDescent="0.3">
      <c r="C28" s="29">
        <v>3</v>
      </c>
      <c r="D28" s="29" t="s">
        <v>44</v>
      </c>
      <c r="E28" s="30">
        <f>2.28*0.72</f>
        <v>1.6415999999999997</v>
      </c>
      <c r="F28" s="30">
        <f>3.66*1.2</f>
        <v>4.3920000000000003</v>
      </c>
      <c r="G28" s="30">
        <f>3.4*2.46</f>
        <v>8.363999999999999</v>
      </c>
      <c r="H28" s="30">
        <f>7.08*1.88</f>
        <v>13.3104</v>
      </c>
      <c r="I28" s="30">
        <f>3.04*1.53</f>
        <v>4.6512000000000002</v>
      </c>
      <c r="J28" s="30">
        <f>(5.35*2.26)+(2.4*1.63)+(2.2*0.58)+(5.65*1.55)+(4.8*1.2)+(3.43*0.6)</f>
        <v>33.854499999999994</v>
      </c>
      <c r="K28" s="30">
        <f>+SUM(E28:J28)</f>
        <v>66.213699999999989</v>
      </c>
      <c r="L28" s="30">
        <f>+(K28/$H$11)*100</f>
        <v>28.751063829787228</v>
      </c>
      <c r="M28" s="68">
        <v>26.8</v>
      </c>
    </row>
    <row r="29" spans="3:15" x14ac:dyDescent="0.3">
      <c r="C29" s="29">
        <v>3</v>
      </c>
      <c r="D29" s="29" t="s">
        <v>45</v>
      </c>
      <c r="E29" s="30">
        <f>3.34*1.3</f>
        <v>4.3419999999999996</v>
      </c>
      <c r="F29" s="30"/>
      <c r="G29" s="30"/>
      <c r="H29" s="30"/>
      <c r="I29" s="30"/>
      <c r="J29" s="30"/>
      <c r="K29" s="30">
        <f>+SUM(E29:J29)</f>
        <v>4.3419999999999996</v>
      </c>
      <c r="L29" s="30">
        <f>+(K29/$H$11)*100</f>
        <v>1.8853669127225354</v>
      </c>
      <c r="M29" s="67">
        <v>2</v>
      </c>
    </row>
    <row r="30" spans="3:15" x14ac:dyDescent="0.3">
      <c r="C30" s="29">
        <v>10</v>
      </c>
      <c r="D30" s="29" t="s">
        <v>45</v>
      </c>
      <c r="E30" s="30">
        <f>7.35*2.91</f>
        <v>21.388500000000001</v>
      </c>
      <c r="F30" s="30">
        <f>3.98*0.6</f>
        <v>2.3879999999999999</v>
      </c>
      <c r="G30" s="30"/>
      <c r="H30" s="30"/>
      <c r="I30" s="30"/>
      <c r="J30" s="30"/>
      <c r="K30" s="30">
        <f>+SUM(E30:J30)</f>
        <v>23.776499999999999</v>
      </c>
      <c r="L30" s="30">
        <f>+(K30/$H$11)*100</f>
        <v>10.324142422926617</v>
      </c>
      <c r="M30" s="33">
        <v>8.6999999999999993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+PCI_U66!D4+1</f>
        <v>851</v>
      </c>
      <c r="D4" s="1">
        <v>861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+PCI_U66!F11</f>
        <v>K2+423,64</v>
      </c>
      <c r="G9" s="27"/>
      <c r="H9" s="106" t="s">
        <v>151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202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45</v>
      </c>
      <c r="E26" s="30">
        <f>1.37*0.3</f>
        <v>0.41100000000000003</v>
      </c>
      <c r="F26" s="30"/>
      <c r="G26" s="30"/>
      <c r="H26" s="30"/>
      <c r="I26" s="30"/>
      <c r="J26" s="30"/>
      <c r="K26" s="30">
        <f t="shared" ref="K26:K31" si="0">+SUM(E26:J26)</f>
        <v>0.41100000000000003</v>
      </c>
      <c r="L26" s="30">
        <f t="shared" ref="L26:L31" si="1">+(K26/$H$11)*100</f>
        <v>0.17846287451150675</v>
      </c>
      <c r="M26" s="45">
        <v>1</v>
      </c>
      <c r="O26" t="s">
        <v>47</v>
      </c>
      <c r="T26" t="s">
        <v>234</v>
      </c>
    </row>
    <row r="27" spans="3:20" x14ac:dyDescent="0.3">
      <c r="C27" s="29">
        <v>3</v>
      </c>
      <c r="D27" s="29" t="s">
        <v>44</v>
      </c>
      <c r="E27" s="30">
        <f>2.55*0.88</f>
        <v>2.2439999999999998</v>
      </c>
      <c r="F27" s="30">
        <f>4.4*3.38</f>
        <v>14.872</v>
      </c>
      <c r="G27" s="30">
        <f>2.3*0.4</f>
        <v>0.91999999999999993</v>
      </c>
      <c r="H27" s="30">
        <f>0.6*0.8</f>
        <v>0.48</v>
      </c>
      <c r="I27" s="30"/>
      <c r="J27" s="30"/>
      <c r="K27" s="30">
        <f t="shared" si="0"/>
        <v>18.516000000000002</v>
      </c>
      <c r="L27" s="30">
        <f t="shared" si="1"/>
        <v>8.0399478940512381</v>
      </c>
      <c r="M27" s="68">
        <v>4.9000000000000004</v>
      </c>
    </row>
    <row r="28" spans="3:20" x14ac:dyDescent="0.3">
      <c r="C28" s="29">
        <v>3</v>
      </c>
      <c r="D28" s="29" t="s">
        <v>45</v>
      </c>
      <c r="E28" s="30">
        <f>3.35*1.2</f>
        <v>4.0199999999999996</v>
      </c>
      <c r="F28" s="30">
        <f>0.35*1.2</f>
        <v>0.42</v>
      </c>
      <c r="G28" s="30">
        <f>3.42*1.2</f>
        <v>4.1040000000000001</v>
      </c>
      <c r="H28" s="30"/>
      <c r="I28" s="30"/>
      <c r="J28" s="30"/>
      <c r="K28" s="30">
        <f t="shared" si="0"/>
        <v>8.5440000000000005</v>
      </c>
      <c r="L28" s="30">
        <f t="shared" si="1"/>
        <v>3.7099435518888404</v>
      </c>
      <c r="M28" s="67">
        <v>3</v>
      </c>
    </row>
    <row r="29" spans="3:20" x14ac:dyDescent="0.3">
      <c r="C29" s="29">
        <v>12</v>
      </c>
      <c r="D29" s="29" t="s">
        <v>43</v>
      </c>
      <c r="E29" s="30">
        <f>23.4*0.6</f>
        <v>14.04</v>
      </c>
      <c r="F29" s="30"/>
      <c r="G29" s="30"/>
      <c r="H29" s="30"/>
      <c r="I29" s="30"/>
      <c r="J29" s="30"/>
      <c r="K29" s="30">
        <f t="shared" si="0"/>
        <v>14.04</v>
      </c>
      <c r="L29" s="30">
        <f t="shared" si="1"/>
        <v>6.0963960052105941</v>
      </c>
      <c r="M29" s="58">
        <v>2</v>
      </c>
    </row>
    <row r="30" spans="3:20" x14ac:dyDescent="0.3">
      <c r="C30" s="29">
        <v>3</v>
      </c>
      <c r="D30" s="29" t="s">
        <v>43</v>
      </c>
      <c r="E30" s="30">
        <f>1.24*2.45</f>
        <v>3.0380000000000003</v>
      </c>
      <c r="F30" s="30">
        <f>11.5*0.8</f>
        <v>9.2000000000000011</v>
      </c>
      <c r="G30" s="30"/>
      <c r="H30" s="30"/>
      <c r="I30" s="30"/>
      <c r="J30" s="30"/>
      <c r="K30" s="30">
        <f t="shared" si="0"/>
        <v>12.238000000000001</v>
      </c>
      <c r="L30" s="30">
        <f t="shared" si="1"/>
        <v>5.3139383412939649</v>
      </c>
      <c r="M30" s="65">
        <v>21.9</v>
      </c>
    </row>
    <row r="31" spans="3:20" x14ac:dyDescent="0.3">
      <c r="C31" s="29">
        <v>10</v>
      </c>
      <c r="D31" s="29" t="s">
        <v>44</v>
      </c>
      <c r="E31" s="30">
        <f>3.87*0.6</f>
        <v>2.3220000000000001</v>
      </c>
      <c r="F31" s="30"/>
      <c r="G31" s="30"/>
      <c r="H31" s="30"/>
      <c r="I31" s="30"/>
      <c r="J31" s="30"/>
      <c r="K31" s="30">
        <f t="shared" si="0"/>
        <v>2.3220000000000001</v>
      </c>
      <c r="L31" s="30">
        <f t="shared" si="1"/>
        <v>1.0082501085540601</v>
      </c>
      <c r="M31" s="78">
        <v>2.9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+PCI_U67!D4+1</f>
        <v>862</v>
      </c>
      <c r="D4" s="1">
        <v>874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62" t="s">
        <v>38</v>
      </c>
      <c r="D9" s="27"/>
      <c r="E9" s="27"/>
      <c r="F9" s="62" t="str">
        <f>+PCI_U67!F11</f>
        <v>K2+459,79</v>
      </c>
      <c r="G9" s="27"/>
      <c r="H9" s="106" t="s">
        <v>152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62" t="s">
        <v>39</v>
      </c>
      <c r="D11" s="27"/>
      <c r="E11" s="27"/>
      <c r="F11" s="62" t="s">
        <v>203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235</v>
      </c>
      <c r="Y11" t="s">
        <v>67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44</v>
      </c>
      <c r="E26" s="30">
        <f>2.13*0.6</f>
        <v>1.2779999999999998</v>
      </c>
      <c r="F26" s="30"/>
      <c r="G26" s="30"/>
      <c r="H26" s="30"/>
      <c r="I26" s="30"/>
      <c r="J26" s="30"/>
      <c r="K26" s="30">
        <f>+SUM(E26:J26)</f>
        <v>1.2779999999999998</v>
      </c>
      <c r="L26" s="30">
        <f>+(K26/$H$11)*100</f>
        <v>0.55492835432045151</v>
      </c>
      <c r="M26" s="44">
        <v>1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44</v>
      </c>
      <c r="E27" s="30">
        <f>3.94*0.54</f>
        <v>2.1276000000000002</v>
      </c>
      <c r="F27" s="30">
        <f>3.1*0.57</f>
        <v>1.7669999999999999</v>
      </c>
      <c r="G27" s="30">
        <f>5.12*3.2</f>
        <v>16.384</v>
      </c>
      <c r="H27" s="30">
        <f>1.58*1.03</f>
        <v>1.6274000000000002</v>
      </c>
      <c r="I27" s="30"/>
      <c r="J27" s="30"/>
      <c r="K27" s="30">
        <f t="shared" ref="K27:K34" si="0">+SUM(E27:J27)</f>
        <v>21.906000000000002</v>
      </c>
      <c r="L27" s="30">
        <f t="shared" ref="L27:L34" si="1">+(K27/$H$11)*100</f>
        <v>9.5119409465914035</v>
      </c>
      <c r="M27" s="67">
        <v>6</v>
      </c>
    </row>
    <row r="28" spans="3:20" x14ac:dyDescent="0.3">
      <c r="C28" s="29">
        <v>7</v>
      </c>
      <c r="D28" s="29" t="s">
        <v>44</v>
      </c>
      <c r="E28" s="30">
        <f>0.94*0.6</f>
        <v>0.56399999999999995</v>
      </c>
      <c r="F28" s="30"/>
      <c r="G28" s="30"/>
      <c r="H28" s="30"/>
      <c r="I28" s="30"/>
      <c r="J28" s="30"/>
      <c r="K28" s="30">
        <f t="shared" si="0"/>
        <v>0.56399999999999995</v>
      </c>
      <c r="L28" s="30">
        <f t="shared" si="1"/>
        <v>0.24489795918367341</v>
      </c>
      <c r="M28" s="43">
        <v>0</v>
      </c>
    </row>
    <row r="29" spans="3:20" x14ac:dyDescent="0.3">
      <c r="C29" s="29">
        <v>8</v>
      </c>
      <c r="D29" s="29" t="s">
        <v>43</v>
      </c>
      <c r="E29" s="30">
        <f>8.05*0.6</f>
        <v>4.83</v>
      </c>
      <c r="F29" s="30">
        <f>5*0.6</f>
        <v>3</v>
      </c>
      <c r="G29" s="30"/>
      <c r="H29" s="30"/>
      <c r="I29" s="30"/>
      <c r="J29" s="30"/>
      <c r="K29" s="30">
        <f t="shared" si="0"/>
        <v>7.83</v>
      </c>
      <c r="L29" s="30">
        <f t="shared" si="1"/>
        <v>3.3999131567520622</v>
      </c>
      <c r="M29" s="33">
        <v>16</v>
      </c>
    </row>
    <row r="30" spans="3:20" x14ac:dyDescent="0.3">
      <c r="C30" s="29">
        <v>10</v>
      </c>
      <c r="D30" s="29" t="s">
        <v>43</v>
      </c>
      <c r="E30" s="30">
        <f>5*0.6</f>
        <v>3</v>
      </c>
      <c r="F30" s="30"/>
      <c r="G30" s="30"/>
      <c r="H30" s="30"/>
      <c r="I30" s="30"/>
      <c r="J30" s="30"/>
      <c r="K30" s="30">
        <f t="shared" si="0"/>
        <v>3</v>
      </c>
      <c r="L30" s="30">
        <f t="shared" si="1"/>
        <v>1.3026487190620928</v>
      </c>
      <c r="M30" s="76">
        <v>9</v>
      </c>
    </row>
    <row r="31" spans="3:20" x14ac:dyDescent="0.3">
      <c r="C31" s="29">
        <v>3</v>
      </c>
      <c r="D31" s="29" t="s">
        <v>45</v>
      </c>
      <c r="E31" s="30">
        <f>2.28*0.48</f>
        <v>1.0943999999999998</v>
      </c>
      <c r="F31" s="30"/>
      <c r="G31" s="30"/>
      <c r="H31" s="30"/>
      <c r="I31" s="30"/>
      <c r="J31" s="30"/>
      <c r="K31" s="30">
        <f t="shared" si="0"/>
        <v>1.0943999999999998</v>
      </c>
      <c r="L31" s="30">
        <f t="shared" si="1"/>
        <v>0.47520625271385136</v>
      </c>
      <c r="M31" s="43">
        <v>0</v>
      </c>
    </row>
    <row r="32" spans="3:20" x14ac:dyDescent="0.3">
      <c r="C32" s="29">
        <v>3</v>
      </c>
      <c r="D32" s="29" t="s">
        <v>43</v>
      </c>
      <c r="E32" s="30">
        <f>7.35*4.65</f>
        <v>34.177500000000002</v>
      </c>
      <c r="F32" s="30"/>
      <c r="G32" s="30"/>
      <c r="H32" s="30"/>
      <c r="I32" s="30"/>
      <c r="J32" s="30"/>
      <c r="K32" s="30">
        <f t="shared" si="0"/>
        <v>34.177500000000002</v>
      </c>
      <c r="L32" s="30">
        <f t="shared" si="1"/>
        <v>14.840425531914894</v>
      </c>
      <c r="M32" s="68">
        <v>35</v>
      </c>
    </row>
    <row r="33" spans="3:13" x14ac:dyDescent="0.3">
      <c r="C33" s="29">
        <v>7</v>
      </c>
      <c r="D33" s="29" t="s">
        <v>43</v>
      </c>
      <c r="E33" s="30">
        <f>2.77*0.6</f>
        <v>1.6619999999999999</v>
      </c>
      <c r="F33" s="30"/>
      <c r="G33" s="30"/>
      <c r="H33" s="30"/>
      <c r="I33" s="30"/>
      <c r="J33" s="30"/>
      <c r="K33" s="30">
        <f t="shared" si="0"/>
        <v>1.6619999999999999</v>
      </c>
      <c r="L33" s="30">
        <f t="shared" si="1"/>
        <v>0.7216673903603994</v>
      </c>
      <c r="M33" s="48">
        <v>9</v>
      </c>
    </row>
    <row r="34" spans="3:13" x14ac:dyDescent="0.3">
      <c r="C34" s="43">
        <v>1</v>
      </c>
      <c r="D34" s="43" t="s">
        <v>43</v>
      </c>
      <c r="E34" s="56">
        <f>3.04*2.17</f>
        <v>6.5968</v>
      </c>
      <c r="F34" s="56"/>
      <c r="G34" s="56"/>
      <c r="H34" s="56"/>
      <c r="I34" s="56"/>
      <c r="J34" s="56"/>
      <c r="K34" s="30">
        <f t="shared" si="0"/>
        <v>6.5968</v>
      </c>
      <c r="L34" s="30">
        <f t="shared" si="1"/>
        <v>2.8644376899696047</v>
      </c>
      <c r="M34" s="58">
        <v>55.7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+PCI_U68!D4+1</f>
        <v>875</v>
      </c>
      <c r="D4" s="1">
        <v>882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+PCI_U68!F11</f>
        <v>K2+495,95</v>
      </c>
      <c r="G9" s="27"/>
      <c r="H9" s="106" t="s">
        <v>153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204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1.34*0.35</f>
        <v>0.46899999999999997</v>
      </c>
      <c r="F26" s="30">
        <f>2.15*0.64</f>
        <v>1.3759999999999999</v>
      </c>
      <c r="G26" s="30"/>
      <c r="H26" s="30"/>
      <c r="I26" s="30"/>
      <c r="J26" s="30"/>
      <c r="K26" s="30">
        <f>+SUM(E26:J26)</f>
        <v>1.8449999999999998</v>
      </c>
      <c r="L26" s="30">
        <f>+(K26/$H$11)*100</f>
        <v>0.80112896222318697</v>
      </c>
      <c r="M26" s="67">
        <v>2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0.89*1</f>
        <v>0.89</v>
      </c>
      <c r="F27" s="30"/>
      <c r="G27" s="30"/>
      <c r="H27" s="30"/>
      <c r="I27" s="30"/>
      <c r="J27" s="30"/>
      <c r="K27" s="30">
        <f>+SUM(E27:J27)</f>
        <v>0.89</v>
      </c>
      <c r="L27" s="30">
        <f>+(K27/$H$11)*100</f>
        <v>0.38645245332175421</v>
      </c>
      <c r="M27" s="43">
        <v>0</v>
      </c>
    </row>
    <row r="28" spans="3:15" x14ac:dyDescent="0.3">
      <c r="C28" s="29">
        <v>10</v>
      </c>
      <c r="D28" s="29" t="s">
        <v>44</v>
      </c>
      <c r="E28" s="30">
        <f>1.15*0.6</f>
        <v>0.69</v>
      </c>
      <c r="F28" s="30">
        <f>1.5*0.6</f>
        <v>0.89999999999999991</v>
      </c>
      <c r="G28" s="30">
        <f>0.93*0.6</f>
        <v>0.55800000000000005</v>
      </c>
      <c r="H28" s="30"/>
      <c r="I28" s="30"/>
      <c r="J28" s="30"/>
      <c r="K28" s="30">
        <f>+SUM(E28:J28)</f>
        <v>2.1479999999999997</v>
      </c>
      <c r="L28" s="30">
        <f>+(K28/$H$11)*100</f>
        <v>0.9326964828484583</v>
      </c>
      <c r="M28" s="68">
        <v>2</v>
      </c>
    </row>
    <row r="29" spans="3:15" x14ac:dyDescent="0.3">
      <c r="C29" s="29">
        <v>10</v>
      </c>
      <c r="D29" s="29" t="s">
        <v>45</v>
      </c>
      <c r="E29" s="30">
        <f>0.97*0.6</f>
        <v>0.58199999999999996</v>
      </c>
      <c r="F29" s="30"/>
      <c r="G29" s="30"/>
      <c r="H29" s="30"/>
      <c r="I29" s="30"/>
      <c r="J29" s="30"/>
      <c r="K29" s="30">
        <f>+SUM(E29:J29)</f>
        <v>0.58199999999999996</v>
      </c>
      <c r="L29" s="30">
        <f>+(K29/$H$11)*100</f>
        <v>0.25271385149804604</v>
      </c>
      <c r="M29" s="43">
        <v>0</v>
      </c>
    </row>
    <row r="30" spans="3:15" x14ac:dyDescent="0.3">
      <c r="C30" s="29">
        <v>17</v>
      </c>
      <c r="D30" s="29" t="s">
        <v>44</v>
      </c>
      <c r="E30" s="30">
        <f>2.04*2.05</f>
        <v>4.1819999999999995</v>
      </c>
      <c r="F30" s="30"/>
      <c r="G30" s="30"/>
      <c r="H30" s="30"/>
      <c r="I30" s="30"/>
      <c r="J30" s="30"/>
      <c r="K30" s="30">
        <f>+SUM(E30:J30)</f>
        <v>4.1819999999999995</v>
      </c>
      <c r="L30" s="30">
        <f>+(K30/$H$11)*100</f>
        <v>1.8158923143725574</v>
      </c>
      <c r="M30" s="65">
        <v>17.7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F12" sqref="F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63</v>
      </c>
      <c r="D4" s="1">
        <v>71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53" t="s">
        <v>38</v>
      </c>
      <c r="D9" s="27"/>
      <c r="E9" s="27"/>
      <c r="F9" s="53" t="str">
        <f>+PCI_U6!F11</f>
        <v>K0+216,92</v>
      </c>
      <c r="G9" s="27"/>
      <c r="H9" s="106" t="s">
        <v>60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53" t="s">
        <v>39</v>
      </c>
      <c r="D11" s="27"/>
      <c r="E11" s="27"/>
      <c r="F11" s="53" t="s">
        <v>185</v>
      </c>
      <c r="G11" s="27"/>
      <c r="H11" s="105">
        <v>230.3</v>
      </c>
      <c r="I11" s="105"/>
      <c r="J11" s="9"/>
      <c r="K11" s="111"/>
      <c r="L11" s="112"/>
      <c r="M11" s="113"/>
      <c r="O11" t="s">
        <v>48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15" x14ac:dyDescent="0.3">
      <c r="C26" s="29">
        <v>1</v>
      </c>
      <c r="D26" s="29" t="s">
        <v>43</v>
      </c>
      <c r="E26" s="30">
        <f>2.45*1.45</f>
        <v>3.5525000000000002</v>
      </c>
      <c r="F26" s="30">
        <f>7.3*2.9</f>
        <v>21.169999999999998</v>
      </c>
      <c r="G26" s="30">
        <f>5.88*5.7</f>
        <v>33.515999999999998</v>
      </c>
      <c r="H26" s="30"/>
      <c r="I26" s="30"/>
      <c r="J26" s="30"/>
      <c r="K26" s="30">
        <f>+SUM(E26:J26)</f>
        <v>58.238499999999995</v>
      </c>
      <c r="L26" s="30">
        <f>+(K26/$H$11)*100</f>
        <v>25.288102475032563</v>
      </c>
      <c r="M26" s="45">
        <v>73</v>
      </c>
      <c r="O26" t="s">
        <v>50</v>
      </c>
    </row>
    <row r="27" spans="3:15" x14ac:dyDescent="0.3">
      <c r="C27" s="29">
        <v>11</v>
      </c>
      <c r="D27" s="29" t="s">
        <v>43</v>
      </c>
      <c r="E27" s="30">
        <f>2.28*1.5</f>
        <v>3.42</v>
      </c>
      <c r="F27" s="30">
        <f>3.2*1.3</f>
        <v>4.16</v>
      </c>
      <c r="G27" s="30">
        <f>15.3*6.35</f>
        <v>97.155000000000001</v>
      </c>
      <c r="H27" s="30"/>
      <c r="I27" s="30"/>
      <c r="J27" s="30"/>
      <c r="K27" s="30">
        <f>+SUM(E27:J27)</f>
        <v>104.735</v>
      </c>
      <c r="L27" s="30">
        <f>+(K27/$H$11)*100</f>
        <v>45.477637863656099</v>
      </c>
      <c r="M27" s="41">
        <v>79</v>
      </c>
    </row>
    <row r="28" spans="3:15" x14ac:dyDescent="0.3">
      <c r="C28" s="29">
        <v>1</v>
      </c>
      <c r="D28" s="29" t="s">
        <v>44</v>
      </c>
      <c r="E28" s="30">
        <f>5.4*2.1</f>
        <v>11.340000000000002</v>
      </c>
      <c r="F28" s="30">
        <f>3.2*2.6</f>
        <v>8.32</v>
      </c>
      <c r="G28" s="30"/>
      <c r="H28" s="30"/>
      <c r="I28" s="30"/>
      <c r="J28" s="30"/>
      <c r="K28" s="30">
        <f>+SUM(E28:J28)</f>
        <v>19.660000000000004</v>
      </c>
      <c r="L28" s="30">
        <f>+(K28/$H$11)*100</f>
        <v>8.5366912722535844</v>
      </c>
      <c r="M28" s="58">
        <v>44</v>
      </c>
    </row>
    <row r="29" spans="3:15" x14ac:dyDescent="0.3">
      <c r="C29" s="29">
        <v>13</v>
      </c>
      <c r="D29" s="29" t="s">
        <v>43</v>
      </c>
      <c r="E29" s="30">
        <f>0.84*0.27</f>
        <v>0.2268</v>
      </c>
      <c r="F29" s="30"/>
      <c r="G29" s="30"/>
      <c r="H29" s="30"/>
      <c r="I29" s="30"/>
      <c r="J29" s="30"/>
      <c r="K29" s="30">
        <f>+SUM(E29:J29)</f>
        <v>0.2268</v>
      </c>
      <c r="L29" s="30">
        <f>+(K29/$H$11)*100</f>
        <v>9.8480243161094216E-2</v>
      </c>
      <c r="M29" s="33">
        <v>20</v>
      </c>
    </row>
    <row r="30" spans="3:15" x14ac:dyDescent="0.3">
      <c r="C30" s="29"/>
      <c r="D30" s="29"/>
      <c r="E30" s="56"/>
      <c r="F30" s="56"/>
      <c r="G30" s="56"/>
      <c r="H30" s="56"/>
      <c r="I30" s="56"/>
      <c r="J30" s="56"/>
      <c r="K30" s="56"/>
      <c r="L30" s="56"/>
      <c r="M30" s="43"/>
    </row>
    <row r="31" spans="3:15" x14ac:dyDescent="0.3">
      <c r="C31" s="29"/>
      <c r="D31" s="29"/>
      <c r="E31" s="56"/>
      <c r="F31" s="56"/>
      <c r="G31" s="56"/>
      <c r="H31" s="56"/>
      <c r="I31" s="56"/>
      <c r="J31" s="56"/>
      <c r="K31" s="56"/>
      <c r="L31" s="56"/>
      <c r="M31" s="43"/>
    </row>
    <row r="32" spans="3:15" x14ac:dyDescent="0.3">
      <c r="C32" s="29"/>
      <c r="D32" s="29"/>
      <c r="E32" s="56"/>
      <c r="F32" s="56"/>
      <c r="G32" s="56"/>
      <c r="H32" s="56"/>
      <c r="I32" s="56"/>
      <c r="J32" s="56"/>
      <c r="K32" s="56"/>
      <c r="L32" s="56"/>
      <c r="M32" s="43"/>
    </row>
    <row r="33" spans="3:13" x14ac:dyDescent="0.3">
      <c r="C33" s="29"/>
      <c r="D33" s="29"/>
      <c r="E33" s="56"/>
      <c r="F33" s="56"/>
      <c r="G33" s="56"/>
      <c r="H33" s="56"/>
      <c r="I33" s="56"/>
      <c r="J33" s="56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+PCI_U69!D4+1</f>
        <v>883</v>
      </c>
      <c r="D4" s="1">
        <v>890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+PCI_U69!F11</f>
        <v>K2+532,10</v>
      </c>
      <c r="G9" s="27"/>
      <c r="H9" s="106" t="s">
        <v>155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205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44</v>
      </c>
      <c r="E26" s="30">
        <f>1.31*0.6</f>
        <v>0.78600000000000003</v>
      </c>
      <c r="F26" s="30"/>
      <c r="G26" s="30"/>
      <c r="H26" s="30"/>
      <c r="I26" s="30"/>
      <c r="J26" s="30"/>
      <c r="K26" s="30">
        <f>+SUM(E26:J26)</f>
        <v>0.78600000000000003</v>
      </c>
      <c r="L26" s="30">
        <f>+(K26/$H$11)*100</f>
        <v>0.34129396439426835</v>
      </c>
      <c r="M26" s="43">
        <v>0</v>
      </c>
      <c r="O26" t="s">
        <v>47</v>
      </c>
    </row>
    <row r="27" spans="3:15" x14ac:dyDescent="0.3">
      <c r="C27" s="29">
        <v>17</v>
      </c>
      <c r="D27" s="29" t="s">
        <v>44</v>
      </c>
      <c r="E27" s="30">
        <f>1.31*1.26</f>
        <v>1.6506000000000001</v>
      </c>
      <c r="F27" s="30"/>
      <c r="G27" s="30"/>
      <c r="H27" s="30"/>
      <c r="I27" s="30"/>
      <c r="J27" s="30"/>
      <c r="K27" s="30">
        <f>+SUM(E27:J27)</f>
        <v>1.6506000000000001</v>
      </c>
      <c r="L27" s="30">
        <f>+(K27/$H$11)*100</f>
        <v>0.7167173252279635</v>
      </c>
      <c r="M27" s="68">
        <v>8</v>
      </c>
    </row>
    <row r="28" spans="3:15" x14ac:dyDescent="0.3">
      <c r="C28" s="29">
        <v>3</v>
      </c>
      <c r="D28" s="29" t="s">
        <v>45</v>
      </c>
      <c r="E28" s="30">
        <f>1.3*0.76</f>
        <v>0.9880000000000001</v>
      </c>
      <c r="F28" s="30"/>
      <c r="G28" s="30"/>
      <c r="H28" s="30"/>
      <c r="I28" s="30"/>
      <c r="J28" s="30"/>
      <c r="K28" s="30">
        <f>+SUM(E28:J28)</f>
        <v>0.9880000000000001</v>
      </c>
      <c r="L28" s="30">
        <f>+(K28/$H$11)*100</f>
        <v>0.42900564481111597</v>
      </c>
      <c r="M28" s="43">
        <v>0</v>
      </c>
    </row>
    <row r="29" spans="3:15" x14ac:dyDescent="0.3">
      <c r="C29" s="29">
        <v>3</v>
      </c>
      <c r="D29" s="29" t="s">
        <v>44</v>
      </c>
      <c r="E29" s="30">
        <f>0.34*0.65</f>
        <v>0.22100000000000003</v>
      </c>
      <c r="F29" s="30">
        <f>1.7*1.4</f>
        <v>2.38</v>
      </c>
      <c r="G29" s="30">
        <f>1.54*1.34</f>
        <v>2.0636000000000001</v>
      </c>
      <c r="H29" s="30">
        <f>4.44*2.03</f>
        <v>9.0131999999999994</v>
      </c>
      <c r="I29" s="30"/>
      <c r="J29" s="30"/>
      <c r="K29" s="30">
        <f>+SUM(E29:J29)</f>
        <v>13.6778</v>
      </c>
      <c r="L29" s="30">
        <f>+(K29/$H$11)*100</f>
        <v>5.9391228831958314</v>
      </c>
      <c r="M29" s="67">
        <v>12</v>
      </c>
    </row>
    <row r="30" spans="3:15" x14ac:dyDescent="0.3">
      <c r="C30" s="29">
        <v>10</v>
      </c>
      <c r="D30" s="29" t="s">
        <v>45</v>
      </c>
      <c r="E30" s="30">
        <f>4.93*0.6</f>
        <v>2.9579999999999997</v>
      </c>
      <c r="F30" s="30"/>
      <c r="G30" s="30"/>
      <c r="H30" s="30"/>
      <c r="I30" s="30"/>
      <c r="J30" s="30"/>
      <c r="K30" s="30">
        <f>+SUM(E30:J30)</f>
        <v>2.9579999999999997</v>
      </c>
      <c r="L30" s="30">
        <f>+(K30/$H$11)*100</f>
        <v>1.2844116369952234</v>
      </c>
      <c r="M30" s="97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+PCI_U70!D4+1</f>
        <v>891</v>
      </c>
      <c r="D4" s="1">
        <v>898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+PCI_U70!F11</f>
        <v>K2+568,25</v>
      </c>
      <c r="G9" s="27"/>
      <c r="H9" s="106" t="s">
        <v>156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206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1.38*0.6</f>
        <v>0.82799999999999996</v>
      </c>
      <c r="F26" s="30"/>
      <c r="G26" s="30"/>
      <c r="H26" s="30"/>
      <c r="I26" s="30"/>
      <c r="J26" s="30"/>
      <c r="K26" s="30">
        <f>+SUM(E26:J26)</f>
        <v>0.82799999999999996</v>
      </c>
      <c r="L26" s="30">
        <f>+(K26/$H$11)*100</f>
        <v>0.35953104646113765</v>
      </c>
      <c r="M26" s="43">
        <v>0</v>
      </c>
      <c r="O26" t="s">
        <v>47</v>
      </c>
    </row>
    <row r="27" spans="3:15" x14ac:dyDescent="0.3">
      <c r="C27" s="29">
        <v>3</v>
      </c>
      <c r="D27" s="29" t="s">
        <v>44</v>
      </c>
      <c r="E27" s="30">
        <f>5.08*0.83</f>
        <v>4.2164000000000001</v>
      </c>
      <c r="F27" s="30">
        <f>0.98*1.6</f>
        <v>1.5680000000000001</v>
      </c>
      <c r="G27" s="30">
        <f>0.4*1.2</f>
        <v>0.48</v>
      </c>
      <c r="H27" s="30">
        <f>0.97*0.7</f>
        <v>0.67899999999999994</v>
      </c>
      <c r="I27" s="30">
        <f>1.46*0.51</f>
        <v>0.74460000000000004</v>
      </c>
      <c r="J27" s="30"/>
      <c r="K27" s="30">
        <f>+SUM(E27:J27)</f>
        <v>7.6880000000000006</v>
      </c>
      <c r="L27" s="30">
        <f>+(K27/$H$11)*100</f>
        <v>3.3382544507164567</v>
      </c>
      <c r="M27" s="68">
        <v>8</v>
      </c>
    </row>
    <row r="28" spans="3:15" x14ac:dyDescent="0.3">
      <c r="C28" s="29">
        <v>3</v>
      </c>
      <c r="D28" s="29" t="s">
        <v>45</v>
      </c>
      <c r="E28" s="30">
        <f>2.2*2.43</f>
        <v>5.346000000000001</v>
      </c>
      <c r="F28" s="30">
        <f>1.95*0.6</f>
        <v>1.17</v>
      </c>
      <c r="G28" s="30"/>
      <c r="H28" s="30"/>
      <c r="I28" s="30"/>
      <c r="J28" s="30"/>
      <c r="K28" s="30">
        <f>+SUM(E28:J28)</f>
        <v>6.5160000000000009</v>
      </c>
      <c r="L28" s="30">
        <f>+(K28/$H$11)*100</f>
        <v>2.8293530178028661</v>
      </c>
      <c r="M28" s="67">
        <v>3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+PCI_U71!D4+1</f>
        <v>899</v>
      </c>
      <c r="D4" s="1">
        <v>913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+PCI_U71!F11</f>
        <v>K2+604,41</v>
      </c>
      <c r="G9" s="27"/>
      <c r="H9" s="106" t="s">
        <v>157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207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1.95*0.6</f>
        <v>1.17</v>
      </c>
      <c r="F26" s="30">
        <f>0.98*0.6</f>
        <v>0.58799999999999997</v>
      </c>
      <c r="G26" s="30"/>
      <c r="H26" s="30"/>
      <c r="I26" s="30"/>
      <c r="J26" s="30"/>
      <c r="K26" s="30">
        <f>+SUM(E26:J26)</f>
        <v>1.758</v>
      </c>
      <c r="L26" s="30">
        <f>+(K26/$H$11)*100</f>
        <v>0.76335214937038642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1.32*0.6</f>
        <v>0.79200000000000004</v>
      </c>
      <c r="F27" s="30">
        <f>2.3*0.6</f>
        <v>1.38</v>
      </c>
      <c r="G27" s="30">
        <f>1.02*0.6</f>
        <v>0.61199999999999999</v>
      </c>
      <c r="H27" s="30">
        <f>5.92*0.6</f>
        <v>3.552</v>
      </c>
      <c r="I27" s="30">
        <f>1.4*0.6</f>
        <v>0.84</v>
      </c>
      <c r="J27" s="30"/>
      <c r="K27" s="30">
        <f>+SUM(E27:J27)</f>
        <v>7.1760000000000002</v>
      </c>
      <c r="L27" s="30">
        <f>+(K27/$H$11)*100</f>
        <v>3.1159357359965263</v>
      </c>
      <c r="M27" s="33">
        <v>8</v>
      </c>
    </row>
    <row r="28" spans="3:15" x14ac:dyDescent="0.3">
      <c r="C28" s="29">
        <v>3</v>
      </c>
      <c r="D28" s="29" t="s">
        <v>44</v>
      </c>
      <c r="E28" s="30">
        <f>1.54*0.8</f>
        <v>1.2320000000000002</v>
      </c>
      <c r="F28" s="30">
        <f>3.34*1.08</f>
        <v>3.6072000000000002</v>
      </c>
      <c r="G28" s="30">
        <f>4.7*0.8</f>
        <v>3.7600000000000002</v>
      </c>
      <c r="H28" s="30">
        <f>2.9*1.17</f>
        <v>3.3929999999999998</v>
      </c>
      <c r="I28" s="30">
        <f>4.62*1.2</f>
        <v>5.5439999999999996</v>
      </c>
      <c r="J28" s="30"/>
      <c r="K28" s="30">
        <f>+SUM(E28:J28)</f>
        <v>17.536200000000001</v>
      </c>
      <c r="L28" s="30">
        <f>+(K28/$H$11)*100</f>
        <v>7.6145028224055586</v>
      </c>
      <c r="M28" s="44">
        <v>13</v>
      </c>
    </row>
    <row r="29" spans="3:15" x14ac:dyDescent="0.3">
      <c r="C29" s="29">
        <v>3</v>
      </c>
      <c r="D29" s="29" t="s">
        <v>45</v>
      </c>
      <c r="E29" s="30">
        <f>2.04*1.4</f>
        <v>2.8559999999999999</v>
      </c>
      <c r="F29" s="30">
        <f>2.7*3.15</f>
        <v>8.5050000000000008</v>
      </c>
      <c r="G29" s="30"/>
      <c r="H29" s="30"/>
      <c r="I29" s="30"/>
      <c r="J29" s="30"/>
      <c r="K29" s="30">
        <f>+SUM(E29:J29)</f>
        <v>11.361000000000001</v>
      </c>
      <c r="L29" s="30">
        <f>+(K29/$H$11)*100</f>
        <v>4.9331306990881458</v>
      </c>
      <c r="M29" s="67">
        <v>5</v>
      </c>
    </row>
    <row r="30" spans="3:15" x14ac:dyDescent="0.3">
      <c r="C30" s="29">
        <v>3</v>
      </c>
      <c r="D30" s="29" t="s">
        <v>43</v>
      </c>
      <c r="E30" s="30">
        <f>2.47*2.5</f>
        <v>6.1750000000000007</v>
      </c>
      <c r="F30" s="30"/>
      <c r="G30" s="30"/>
      <c r="H30" s="30"/>
      <c r="I30" s="30"/>
      <c r="J30" s="30"/>
      <c r="K30" s="30">
        <f>+SUM(E30:J30)</f>
        <v>6.1750000000000007</v>
      </c>
      <c r="L30" s="30">
        <f>+(K30/$H$11)*100</f>
        <v>2.6812852800694746</v>
      </c>
      <c r="M30" s="68">
        <v>13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+PCI_U72!D4+1</f>
        <v>914</v>
      </c>
      <c r="D4" s="1">
        <v>933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+PCI_U72!F11</f>
        <v>K2+640,59</v>
      </c>
      <c r="G9" s="27"/>
      <c r="H9" s="106" t="s">
        <v>159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208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67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44029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1.77*0.92</f>
        <v>1.6284000000000001</v>
      </c>
      <c r="F26" s="30">
        <f>1.1*1.43</f>
        <v>1.573</v>
      </c>
      <c r="G26" s="30">
        <f>0.92*0.36</f>
        <v>0.33119999999999999</v>
      </c>
      <c r="H26" s="30"/>
      <c r="I26" s="30"/>
      <c r="J26" s="30"/>
      <c r="K26" s="30">
        <f>+SUM(E26:J26)</f>
        <v>3.5326</v>
      </c>
      <c r="L26" s="30">
        <f>+(K26/$H$11)*100</f>
        <v>1.533912288319583</v>
      </c>
      <c r="M26" s="67">
        <v>1</v>
      </c>
      <c r="O26" t="s">
        <v>47</v>
      </c>
    </row>
    <row r="27" spans="3:15" x14ac:dyDescent="0.3">
      <c r="C27" s="29">
        <v>10</v>
      </c>
      <c r="D27" s="29" t="s">
        <v>43</v>
      </c>
      <c r="E27" s="30">
        <f>1.4*0.6</f>
        <v>0.84</v>
      </c>
      <c r="F27" s="30"/>
      <c r="G27" s="30"/>
      <c r="H27" s="30"/>
      <c r="I27" s="30"/>
      <c r="J27" s="30"/>
      <c r="K27" s="30">
        <f t="shared" ref="K27:K32" si="0">+SUM(E27:J27)</f>
        <v>0.84</v>
      </c>
      <c r="L27" s="30">
        <f t="shared" ref="L27:L32" si="1">+(K27/$H$11)*100</f>
        <v>0.36474164133738601</v>
      </c>
      <c r="M27" s="76">
        <v>4</v>
      </c>
    </row>
    <row r="28" spans="3:15" x14ac:dyDescent="0.3">
      <c r="C28" s="29">
        <v>10</v>
      </c>
      <c r="D28" s="29" t="s">
        <v>44</v>
      </c>
      <c r="E28" s="30">
        <f>1.54*0.6</f>
        <v>0.92399999999999993</v>
      </c>
      <c r="F28" s="30">
        <f>0.92*0.6</f>
        <v>0.55200000000000005</v>
      </c>
      <c r="G28" s="30">
        <f>2.12*0.6</f>
        <v>1.272</v>
      </c>
      <c r="H28" s="30">
        <f>1.65*0.6</f>
        <v>0.98999999999999988</v>
      </c>
      <c r="I28" s="30">
        <f>5.34*0.6</f>
        <v>3.2039999999999997</v>
      </c>
      <c r="J28" s="30"/>
      <c r="K28" s="30">
        <f t="shared" si="0"/>
        <v>6.9420000000000002</v>
      </c>
      <c r="L28" s="30">
        <f t="shared" si="1"/>
        <v>3.0143291359096827</v>
      </c>
      <c r="M28" s="33">
        <v>7</v>
      </c>
    </row>
    <row r="29" spans="3:15" x14ac:dyDescent="0.3">
      <c r="C29" s="29">
        <v>3</v>
      </c>
      <c r="D29" s="29" t="s">
        <v>44</v>
      </c>
      <c r="E29" s="30">
        <f>0.99*1.87</f>
        <v>1.8513000000000002</v>
      </c>
      <c r="F29" s="30">
        <f>3.03*1.05</f>
        <v>3.1814999999999998</v>
      </c>
      <c r="G29" s="30">
        <f>4.5*0.73</f>
        <v>3.2850000000000001</v>
      </c>
      <c r="H29" s="30">
        <f>3.65*1.27</f>
        <v>4.6354999999999995</v>
      </c>
      <c r="I29" s="30">
        <f>3.43*0.8</f>
        <v>2.7440000000000002</v>
      </c>
      <c r="J29" s="30">
        <f>(2.74*0.92)+(7*3.1)</f>
        <v>24.220800000000001</v>
      </c>
      <c r="K29" s="30">
        <f t="shared" si="0"/>
        <v>39.918099999999995</v>
      </c>
      <c r="L29" s="30">
        <f t="shared" si="1"/>
        <v>17.333087277464173</v>
      </c>
      <c r="M29" s="68">
        <v>20</v>
      </c>
    </row>
    <row r="30" spans="3:15" x14ac:dyDescent="0.3">
      <c r="C30" s="29">
        <v>10</v>
      </c>
      <c r="D30" s="29" t="s">
        <v>45</v>
      </c>
      <c r="E30" s="30">
        <f>0.92*0.6</f>
        <v>0.55200000000000005</v>
      </c>
      <c r="F30" s="30"/>
      <c r="G30" s="30"/>
      <c r="H30" s="30"/>
      <c r="I30" s="30"/>
      <c r="J30" s="30"/>
      <c r="K30" s="30">
        <f t="shared" si="0"/>
        <v>0.55200000000000005</v>
      </c>
      <c r="L30" s="30">
        <f t="shared" si="1"/>
        <v>0.2396873643074251</v>
      </c>
      <c r="M30" s="97">
        <v>0</v>
      </c>
    </row>
    <row r="31" spans="3:15" x14ac:dyDescent="0.3">
      <c r="C31" s="29">
        <v>3</v>
      </c>
      <c r="D31" s="29" t="s">
        <v>43</v>
      </c>
      <c r="E31" s="30">
        <f>3.08*4.22</f>
        <v>12.9976</v>
      </c>
      <c r="F31" s="30">
        <f>3.55*0.6</f>
        <v>2.13</v>
      </c>
      <c r="G31" s="30"/>
      <c r="H31" s="30"/>
      <c r="I31" s="30"/>
      <c r="J31" s="30"/>
      <c r="K31" s="30">
        <f t="shared" si="0"/>
        <v>15.127600000000001</v>
      </c>
      <c r="L31" s="30">
        <f t="shared" si="1"/>
        <v>6.5686495874945727</v>
      </c>
      <c r="M31" s="65">
        <v>23</v>
      </c>
    </row>
    <row r="32" spans="3:15" x14ac:dyDescent="0.3">
      <c r="C32" s="29">
        <v>7</v>
      </c>
      <c r="D32" s="29" t="s">
        <v>43</v>
      </c>
      <c r="E32" s="30">
        <f>2.18*0.6</f>
        <v>1.3080000000000001</v>
      </c>
      <c r="F32" s="30"/>
      <c r="G32" s="30"/>
      <c r="H32" s="30"/>
      <c r="I32" s="30"/>
      <c r="J32" s="30"/>
      <c r="K32" s="30">
        <f t="shared" si="0"/>
        <v>1.3080000000000001</v>
      </c>
      <c r="L32" s="30">
        <f t="shared" si="1"/>
        <v>0.56795484151107245</v>
      </c>
      <c r="M32" s="77">
        <v>8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M40" sqref="M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+PCI_U73!D4+1</f>
        <v>934</v>
      </c>
      <c r="D4" s="1">
        <v>946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+PCI_U73!F11</f>
        <v>K2+676,75</v>
      </c>
      <c r="G9" s="27"/>
      <c r="H9" s="106" t="s">
        <v>161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209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2.31*0.93</f>
        <v>2.1483000000000003</v>
      </c>
      <c r="F26" s="30">
        <f>1.62*0.5</f>
        <v>0.81</v>
      </c>
      <c r="G26" s="30">
        <f>1.84*0.87</f>
        <v>1.6008</v>
      </c>
      <c r="H26" s="30">
        <f>3.5*0.63</f>
        <v>2.2050000000000001</v>
      </c>
      <c r="I26" s="30">
        <f>5*1.06</f>
        <v>5.3000000000000007</v>
      </c>
      <c r="J26" s="30"/>
      <c r="K26" s="30">
        <f>+SUM(E26:J26)</f>
        <v>12.064100000000002</v>
      </c>
      <c r="L26" s="30">
        <f>+(K26/$H$11)*100</f>
        <v>5.238428137212332</v>
      </c>
      <c r="M26" s="67">
        <v>12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1.9*0.6</f>
        <v>1.1399999999999999</v>
      </c>
      <c r="F27" s="30">
        <f>6.04*0.6</f>
        <v>3.6239999999999997</v>
      </c>
      <c r="G27" s="30">
        <f>1.82*0.6</f>
        <v>1.0920000000000001</v>
      </c>
      <c r="H27" s="30">
        <f>0.9*0.6</f>
        <v>0.54</v>
      </c>
      <c r="I27" s="30"/>
      <c r="J27" s="30"/>
      <c r="K27" s="30">
        <f>+SUM(E27:J27)</f>
        <v>6.3959999999999999</v>
      </c>
      <c r="L27" s="30">
        <f>+(K27/$H$11)*100</f>
        <v>2.7772470690403819</v>
      </c>
      <c r="M27" s="33">
        <v>7.5</v>
      </c>
    </row>
    <row r="28" spans="3:15" x14ac:dyDescent="0.3">
      <c r="C28" s="29">
        <v>10</v>
      </c>
      <c r="D28" s="29" t="s">
        <v>44</v>
      </c>
      <c r="E28" s="30">
        <f>1.72*0.6</f>
        <v>1.032</v>
      </c>
      <c r="F28" s="30"/>
      <c r="G28" s="30"/>
      <c r="H28" s="30"/>
      <c r="I28" s="30"/>
      <c r="J28" s="30"/>
      <c r="K28" s="30">
        <f>+SUM(E28:J28)</f>
        <v>1.032</v>
      </c>
      <c r="L28" s="30">
        <f>+(K28/$H$11)*100</f>
        <v>0.44811115935735996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3.1*0.9</f>
        <v>2.79</v>
      </c>
      <c r="F29" s="30"/>
      <c r="G29" s="30"/>
      <c r="H29" s="30"/>
      <c r="I29" s="30"/>
      <c r="J29" s="30"/>
      <c r="K29" s="30">
        <f>+SUM(E29:J29)</f>
        <v>2.79</v>
      </c>
      <c r="L29" s="30">
        <f>+(K29/$H$11)*100</f>
        <v>1.2114633087277464</v>
      </c>
      <c r="M29" s="44">
        <v>1</v>
      </c>
    </row>
    <row r="30" spans="3:15" x14ac:dyDescent="0.3">
      <c r="C30" s="29">
        <v>3</v>
      </c>
      <c r="D30" s="29" t="s">
        <v>43</v>
      </c>
      <c r="E30" s="30">
        <f>6.62*1.03</f>
        <v>6.8186</v>
      </c>
      <c r="F30" s="30">
        <f>3.64*1</f>
        <v>3.64</v>
      </c>
      <c r="G30" s="30"/>
      <c r="H30" s="30"/>
      <c r="I30" s="30"/>
      <c r="J30" s="30"/>
      <c r="K30" s="30">
        <f>+SUM(E30:J30)</f>
        <v>10.458600000000001</v>
      </c>
      <c r="L30" s="30">
        <f>+(K30/$H$11)*100</f>
        <v>4.541293964394268</v>
      </c>
      <c r="M30" s="68">
        <v>18.8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+PCI_U74!D4+1</f>
        <v>947</v>
      </c>
      <c r="D4" s="1">
        <v>955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+PCI_U74!F11</f>
        <v>K2+712,91</v>
      </c>
      <c r="G9" s="27"/>
      <c r="H9" s="106" t="s">
        <v>163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210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1.16*1.76</f>
        <v>2.0415999999999999</v>
      </c>
      <c r="F26" s="30">
        <f>1.55*0.63</f>
        <v>0.97650000000000003</v>
      </c>
      <c r="G26" s="30">
        <f>4.7*0.6</f>
        <v>2.82</v>
      </c>
      <c r="H26" s="30">
        <f>4.33*2.1</f>
        <v>9.093</v>
      </c>
      <c r="I26" s="30">
        <f>5.8*2.4</f>
        <v>13.92</v>
      </c>
      <c r="J26" s="30">
        <f>(7.81*2.64)+(5.64*1.3)</f>
        <v>27.950400000000002</v>
      </c>
      <c r="K26" s="30">
        <f>+SUM(E26:J26)</f>
        <v>56.801500000000004</v>
      </c>
      <c r="L26" s="30">
        <f>+(K26/$H$11)*100</f>
        <v>24.664133738601823</v>
      </c>
      <c r="M26" s="68">
        <v>25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1.16*0.6</f>
        <v>0.69599999999999995</v>
      </c>
      <c r="F27" s="30"/>
      <c r="G27" s="30"/>
      <c r="H27" s="30"/>
      <c r="I27" s="30"/>
      <c r="J27" s="30"/>
      <c r="K27" s="30">
        <f>+SUM(E27:J27)</f>
        <v>0.69599999999999995</v>
      </c>
      <c r="L27" s="30">
        <f>+(K27/$H$11)*100</f>
        <v>0.30221450282240553</v>
      </c>
      <c r="M27" s="43">
        <v>0</v>
      </c>
    </row>
    <row r="28" spans="3:15" x14ac:dyDescent="0.3">
      <c r="C28" s="29">
        <v>3</v>
      </c>
      <c r="D28" s="29" t="s">
        <v>45</v>
      </c>
      <c r="E28" s="30">
        <f>5.52*0.75</f>
        <v>4.1399999999999997</v>
      </c>
      <c r="F28" s="30"/>
      <c r="G28" s="30"/>
      <c r="H28" s="30"/>
      <c r="I28" s="30"/>
      <c r="J28" s="30"/>
      <c r="K28" s="30">
        <f>+SUM(E28:J28)</f>
        <v>4.1399999999999997</v>
      </c>
      <c r="L28" s="30">
        <f>+(K28/$H$11)*100</f>
        <v>1.797655232305688</v>
      </c>
      <c r="M28" s="67">
        <v>2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+PCI_U75!D4+1</f>
        <v>956</v>
      </c>
      <c r="D4" s="1">
        <v>961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+PCI_U75!F11</f>
        <v>K2+749,06</v>
      </c>
      <c r="G9" s="27"/>
      <c r="H9" s="106" t="s">
        <v>164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211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3</v>
      </c>
      <c r="D26" s="29" t="s">
        <v>45</v>
      </c>
      <c r="E26" s="30">
        <f>3.54*0.76</f>
        <v>2.6903999999999999</v>
      </c>
      <c r="F26" s="30">
        <f>2.33*0.6</f>
        <v>1.3979999999999999</v>
      </c>
      <c r="G26" s="30">
        <f>1.15*0.59</f>
        <v>0.67849999999999988</v>
      </c>
      <c r="H26" s="30"/>
      <c r="I26" s="30"/>
      <c r="J26" s="30"/>
      <c r="K26" s="30">
        <f>+SUM(E26:J26)</f>
        <v>4.7668999999999997</v>
      </c>
      <c r="L26" s="30">
        <f>+(K26/$H$11)*100</f>
        <v>2.0698653929656965</v>
      </c>
      <c r="M26" s="67">
        <v>2</v>
      </c>
    </row>
    <row r="27" spans="3:13" x14ac:dyDescent="0.3">
      <c r="C27" s="29">
        <v>3</v>
      </c>
      <c r="D27" s="29" t="s">
        <v>44</v>
      </c>
      <c r="E27" s="30">
        <f>3*0.91</f>
        <v>2.73</v>
      </c>
      <c r="F27" s="30">
        <f>5.56*1.33</f>
        <v>7.3948</v>
      </c>
      <c r="G27" s="30">
        <f>6.26*2.14</f>
        <v>13.3964</v>
      </c>
      <c r="H27" s="30"/>
      <c r="I27" s="30"/>
      <c r="J27" s="30"/>
      <c r="K27" s="30">
        <f>+SUM(E27:J27)</f>
        <v>23.5212</v>
      </c>
      <c r="L27" s="30">
        <f>+(K27/$H$11)*100</f>
        <v>10.213287016934434</v>
      </c>
      <c r="M27" s="68">
        <v>17</v>
      </c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1" zoomScale="115" zoomScaleNormal="115" workbookViewId="0">
      <selection activeCell="C39" sqref="C39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3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3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3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3" x14ac:dyDescent="0.3">
      <c r="C9" s="62" t="s">
        <v>38</v>
      </c>
      <c r="D9" s="27"/>
      <c r="E9" s="27"/>
      <c r="F9" s="62" t="str">
        <f>+PCI_U76!F11</f>
        <v>K2+785,21</v>
      </c>
      <c r="G9" s="27"/>
      <c r="H9" s="106" t="s">
        <v>165</v>
      </c>
      <c r="I9" s="106"/>
      <c r="J9" s="9"/>
      <c r="K9" s="111"/>
      <c r="L9" s="112"/>
      <c r="M9" s="11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3" x14ac:dyDescent="0.3">
      <c r="C11" s="62" t="s">
        <v>39</v>
      </c>
      <c r="D11" s="27"/>
      <c r="E11" s="27"/>
      <c r="F11" s="62" t="s">
        <v>212</v>
      </c>
      <c r="G11" s="27"/>
      <c r="H11" s="105">
        <v>230.3</v>
      </c>
      <c r="I11" s="105"/>
      <c r="J11" s="9"/>
      <c r="K11" s="111"/>
      <c r="L11" s="112"/>
      <c r="M11" s="113"/>
    </row>
    <row r="12" spans="3:13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3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3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3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3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+PCI_U76!D4+1</f>
        <v>962</v>
      </c>
      <c r="D4" s="1">
        <v>964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+PCI_U77!F11</f>
        <v>K2+826,91</v>
      </c>
      <c r="G9" s="27"/>
      <c r="H9" s="106" t="s">
        <v>166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213</v>
      </c>
      <c r="G11" s="27"/>
      <c r="H11" s="105">
        <v>230.3</v>
      </c>
      <c r="I11" s="105"/>
      <c r="J11" s="9"/>
      <c r="K11" s="111"/>
      <c r="L11" s="112"/>
      <c r="M11" s="113"/>
      <c r="O11" t="s">
        <v>236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15</v>
      </c>
      <c r="D26" s="29" t="s">
        <v>44</v>
      </c>
      <c r="E26" s="30">
        <f>1.8*0.24</f>
        <v>0.432</v>
      </c>
      <c r="F26" s="30"/>
      <c r="G26" s="30"/>
      <c r="H26" s="30"/>
      <c r="I26" s="30"/>
      <c r="J26" s="30"/>
      <c r="K26" s="30">
        <f>+SUM(E26:J26)</f>
        <v>0.432</v>
      </c>
      <c r="L26" s="30">
        <f>+(K26/$H$11)*100</f>
        <v>0.18758141554494137</v>
      </c>
      <c r="M26" s="67">
        <v>7.5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0.92*0.6</f>
        <v>0.55200000000000005</v>
      </c>
      <c r="F27" s="30"/>
      <c r="G27" s="30"/>
      <c r="H27" s="30"/>
      <c r="I27" s="30"/>
      <c r="J27" s="30"/>
      <c r="K27" s="30">
        <f>+SUM(E27:J27)</f>
        <v>0.55200000000000005</v>
      </c>
      <c r="L27" s="30">
        <f>+(K27/$H$11)*100</f>
        <v>0.2396873643074251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1" zoomScale="115" zoomScaleNormal="115" workbookViewId="0">
      <selection activeCell="F43" sqref="F43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3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3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3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3" x14ac:dyDescent="0.3">
      <c r="C9" s="62" t="s">
        <v>38</v>
      </c>
      <c r="D9" s="27"/>
      <c r="E9" s="27"/>
      <c r="F9" s="62" t="str">
        <f>+PCI_U78!F11</f>
        <v>K2+863,06</v>
      </c>
      <c r="G9" s="27"/>
      <c r="H9" s="106" t="s">
        <v>171</v>
      </c>
      <c r="I9" s="106"/>
      <c r="J9" s="9"/>
      <c r="K9" s="111"/>
      <c r="L9" s="112"/>
      <c r="M9" s="11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3" x14ac:dyDescent="0.3">
      <c r="C11" s="62" t="s">
        <v>39</v>
      </c>
      <c r="D11" s="27"/>
      <c r="E11" s="27"/>
      <c r="F11" s="62" t="s">
        <v>214</v>
      </c>
      <c r="G11" s="27"/>
      <c r="H11" s="105">
        <v>230.3</v>
      </c>
      <c r="I11" s="105"/>
      <c r="J11" s="9"/>
      <c r="K11" s="111"/>
      <c r="L11" s="112"/>
      <c r="M11" s="113"/>
    </row>
    <row r="12" spans="3:13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3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3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3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3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72</v>
      </c>
      <c r="D4" s="1">
        <v>81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53" t="s">
        <v>38</v>
      </c>
      <c r="D9" s="27"/>
      <c r="E9" s="27"/>
      <c r="F9" s="53" t="str">
        <f>+PCI_U7!F11</f>
        <v>K0+253,06</v>
      </c>
      <c r="G9" s="27"/>
      <c r="H9" s="106" t="s">
        <v>61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53" t="s">
        <v>39</v>
      </c>
      <c r="D11" s="27"/>
      <c r="E11" s="27"/>
      <c r="F11" s="53" t="s">
        <v>62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44021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4.42*1.2</f>
        <v>5.3039999999999994</v>
      </c>
      <c r="F26" s="30">
        <f>2.33*1.15</f>
        <v>2.6795</v>
      </c>
      <c r="G26" s="30"/>
      <c r="H26" s="30"/>
      <c r="I26" s="30"/>
      <c r="J26" s="30"/>
      <c r="K26" s="30">
        <f t="shared" ref="K26:K31" si="0">+SUM(E26:J26)</f>
        <v>7.9834999999999994</v>
      </c>
      <c r="L26" s="30">
        <f t="shared" ref="L26:L31" si="1">+(K26/$H$11)*100</f>
        <v>3.4665653495440729</v>
      </c>
      <c r="M26" s="48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4.83*1.6</f>
        <v>7.7280000000000006</v>
      </c>
      <c r="F27" s="30"/>
      <c r="G27" s="30"/>
      <c r="H27" s="30"/>
      <c r="I27" s="30"/>
      <c r="J27" s="30"/>
      <c r="K27" s="30">
        <f t="shared" si="0"/>
        <v>7.7280000000000006</v>
      </c>
      <c r="L27" s="30">
        <f t="shared" si="1"/>
        <v>3.3556231003039514</v>
      </c>
      <c r="M27" s="40">
        <v>1</v>
      </c>
    </row>
    <row r="28" spans="3:20" x14ac:dyDescent="0.3">
      <c r="C28" s="29">
        <v>10</v>
      </c>
      <c r="D28" s="2" t="s">
        <v>43</v>
      </c>
      <c r="E28" s="30">
        <f>3.36*0.6</f>
        <v>2.016</v>
      </c>
      <c r="F28" s="30">
        <f>5.3*0.6</f>
        <v>3.1799999999999997</v>
      </c>
      <c r="G28" s="30"/>
      <c r="H28" s="30"/>
      <c r="I28" s="30"/>
      <c r="J28" s="30"/>
      <c r="K28" s="30">
        <f t="shared" si="0"/>
        <v>5.1959999999999997</v>
      </c>
      <c r="L28" s="30">
        <f t="shared" si="1"/>
        <v>2.2561875814155448</v>
      </c>
      <c r="M28" s="45">
        <v>42</v>
      </c>
    </row>
    <row r="29" spans="3:20" x14ac:dyDescent="0.3">
      <c r="C29" s="29">
        <v>10</v>
      </c>
      <c r="D29" s="29" t="s">
        <v>44</v>
      </c>
      <c r="E29" s="30">
        <f>2.84*0.6</f>
        <v>1.704</v>
      </c>
      <c r="F29" s="30"/>
      <c r="G29" s="30"/>
      <c r="H29" s="30"/>
      <c r="I29" s="30"/>
      <c r="J29" s="30"/>
      <c r="K29" s="30">
        <f t="shared" si="0"/>
        <v>1.704</v>
      </c>
      <c r="L29" s="30">
        <f t="shared" si="1"/>
        <v>0.73990447242726876</v>
      </c>
      <c r="M29" s="58">
        <v>19</v>
      </c>
    </row>
    <row r="30" spans="3:20" x14ac:dyDescent="0.3">
      <c r="C30" s="29">
        <v>3</v>
      </c>
      <c r="D30" s="29" t="s">
        <v>43</v>
      </c>
      <c r="E30" s="30">
        <f>2.12*1.24</f>
        <v>2.6288</v>
      </c>
      <c r="F30" s="30">
        <f>2.54*0.84</f>
        <v>2.1335999999999999</v>
      </c>
      <c r="G30" s="30"/>
      <c r="H30" s="30"/>
      <c r="I30" s="30"/>
      <c r="J30" s="30"/>
      <c r="K30" s="30">
        <f t="shared" si="0"/>
        <v>4.7623999999999995</v>
      </c>
      <c r="L30" s="30">
        <f t="shared" si="1"/>
        <v>2.0679114198871038</v>
      </c>
      <c r="M30" s="44">
        <v>12.5</v>
      </c>
    </row>
    <row r="31" spans="3:20" x14ac:dyDescent="0.3">
      <c r="C31" s="29">
        <v>11</v>
      </c>
      <c r="D31" s="29" t="s">
        <v>43</v>
      </c>
      <c r="E31" s="30">
        <f>2*1.15</f>
        <v>2.2999999999999998</v>
      </c>
      <c r="F31" s="30">
        <f>6.85*1.68</f>
        <v>11.507999999999999</v>
      </c>
      <c r="G31" s="30"/>
      <c r="H31" s="30"/>
      <c r="I31" s="30"/>
      <c r="J31" s="30"/>
      <c r="K31" s="30">
        <f t="shared" si="0"/>
        <v>13.808</v>
      </c>
      <c r="L31" s="30">
        <f t="shared" si="1"/>
        <v>5.995657837603126</v>
      </c>
      <c r="M31" s="41">
        <v>40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56"/>
      <c r="L32" s="56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+PCI_U78!D4+1</f>
        <v>965</v>
      </c>
      <c r="D4" s="1">
        <v>978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+PCI_U79!F11</f>
        <v>K2+899,17</v>
      </c>
      <c r="G9" s="27"/>
      <c r="H9" s="106" t="s">
        <v>172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216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1.03*1.12</f>
        <v>1.1536000000000002</v>
      </c>
      <c r="F26" s="30">
        <f>1.83*1.08</f>
        <v>1.9764000000000002</v>
      </c>
      <c r="G26" s="30">
        <f>0.95*1.27</f>
        <v>1.2064999999999999</v>
      </c>
      <c r="H26" s="30">
        <f>1.5*0.64</f>
        <v>0.96</v>
      </c>
      <c r="I26" s="30"/>
      <c r="J26" s="30"/>
      <c r="K26" s="30">
        <f>+SUM(E26:J26)</f>
        <v>5.2965</v>
      </c>
      <c r="L26" s="30">
        <f>+(K26/$H$11)*100</f>
        <v>2.2998263135041253</v>
      </c>
      <c r="M26" s="67">
        <v>2</v>
      </c>
      <c r="O26" t="s">
        <v>47</v>
      </c>
    </row>
    <row r="27" spans="3:15" x14ac:dyDescent="0.3">
      <c r="C27" s="29">
        <v>17</v>
      </c>
      <c r="D27" s="29" t="s">
        <v>45</v>
      </c>
      <c r="E27" s="30">
        <f>0.53*0.54</f>
        <v>0.28620000000000001</v>
      </c>
      <c r="F27" s="30"/>
      <c r="G27" s="30"/>
      <c r="H27" s="30"/>
      <c r="I27" s="30"/>
      <c r="J27" s="30"/>
      <c r="K27" s="30">
        <f>+SUM(E27:J27)</f>
        <v>0.28620000000000001</v>
      </c>
      <c r="L27" s="30">
        <f>+(K27/$H$11)*100</f>
        <v>0.12427268779852366</v>
      </c>
      <c r="M27" s="43">
        <v>0</v>
      </c>
    </row>
    <row r="28" spans="3:15" x14ac:dyDescent="0.3">
      <c r="C28" s="29">
        <v>10</v>
      </c>
      <c r="D28" s="29" t="s">
        <v>45</v>
      </c>
      <c r="E28" s="30">
        <f>1.33*0.6</f>
        <v>0.79800000000000004</v>
      </c>
      <c r="F28" s="30">
        <f>0.66*0.6</f>
        <v>0.39600000000000002</v>
      </c>
      <c r="G28" s="30">
        <f>1.52*0.6</f>
        <v>0.91199999999999992</v>
      </c>
      <c r="H28" s="30"/>
      <c r="I28" s="30"/>
      <c r="J28" s="30"/>
      <c r="K28" s="30">
        <f>+SUM(E28:J28)</f>
        <v>2.1059999999999999</v>
      </c>
      <c r="L28" s="30">
        <f>+(K28/$H$11)*100</f>
        <v>0.91445940078158905</v>
      </c>
      <c r="M28" s="43">
        <v>0</v>
      </c>
    </row>
    <row r="29" spans="3:15" x14ac:dyDescent="0.3">
      <c r="C29" s="29">
        <v>3</v>
      </c>
      <c r="D29" s="29" t="s">
        <v>44</v>
      </c>
      <c r="E29" s="30">
        <f>4.26*0.77</f>
        <v>3.2801999999999998</v>
      </c>
      <c r="F29" s="30">
        <f>5.26*0.72</f>
        <v>3.7871999999999999</v>
      </c>
      <c r="G29" s="30">
        <f>3.2*0.99</f>
        <v>3.1680000000000001</v>
      </c>
      <c r="H29" s="30">
        <f>4*0.96</f>
        <v>3.84</v>
      </c>
      <c r="I29" s="30"/>
      <c r="J29" s="30"/>
      <c r="K29" s="30">
        <f>+SUM(E29:J29)</f>
        <v>14.075399999999998</v>
      </c>
      <c r="L29" s="30">
        <f>+(K29/$H$11)*100</f>
        <v>6.111767260095526</v>
      </c>
      <c r="M29" s="44">
        <v>12.8</v>
      </c>
    </row>
    <row r="30" spans="3:15" x14ac:dyDescent="0.3">
      <c r="C30" s="29">
        <v>3</v>
      </c>
      <c r="D30" s="29" t="s">
        <v>43</v>
      </c>
      <c r="E30" s="30">
        <f>4.1*1.83</f>
        <v>7.5029999999999992</v>
      </c>
      <c r="F30" s="30">
        <f>5.26*0.83</f>
        <v>4.3657999999999992</v>
      </c>
      <c r="G30" s="30"/>
      <c r="H30" s="30"/>
      <c r="I30" s="30"/>
      <c r="J30" s="30"/>
      <c r="K30" s="30">
        <f>+SUM(E30:J30)</f>
        <v>11.868799999999998</v>
      </c>
      <c r="L30" s="30">
        <f>+(K30/$H$11)*100</f>
        <v>5.1536257056013879</v>
      </c>
      <c r="M30" s="68">
        <v>21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+PCI_U80!D4+1</f>
        <v>979</v>
      </c>
      <c r="D4" s="1">
        <v>995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+PCI_U80!F11</f>
        <v>K2+935,37</v>
      </c>
      <c r="G9" s="27"/>
      <c r="H9" s="106" t="s">
        <v>215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217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2.73*0.66</f>
        <v>1.8018000000000001</v>
      </c>
      <c r="F26" s="30">
        <f>2.6*0.8</f>
        <v>2.08</v>
      </c>
      <c r="G26" s="30">
        <f>1.4*1.24</f>
        <v>1.736</v>
      </c>
      <c r="H26" s="30"/>
      <c r="I26" s="30"/>
      <c r="J26" s="30"/>
      <c r="K26" s="30">
        <f>+SUM(E26:J26)</f>
        <v>5.6177999999999999</v>
      </c>
      <c r="L26" s="30">
        <f>+(K26/$H$11)*100</f>
        <v>2.4393399913156752</v>
      </c>
      <c r="M26" s="67">
        <v>2</v>
      </c>
      <c r="O26" t="s">
        <v>47</v>
      </c>
    </row>
    <row r="27" spans="3:15" x14ac:dyDescent="0.3">
      <c r="C27" s="29">
        <v>1</v>
      </c>
      <c r="D27" s="29" t="s">
        <v>43</v>
      </c>
      <c r="E27" s="30">
        <f>6.9*0.84</f>
        <v>5.7960000000000003</v>
      </c>
      <c r="F27" s="30"/>
      <c r="G27" s="30"/>
      <c r="H27" s="30"/>
      <c r="I27" s="30"/>
      <c r="J27" s="30"/>
      <c r="K27" s="30">
        <f t="shared" ref="K27:K32" si="0">+SUM(E27:J27)</f>
        <v>5.7960000000000003</v>
      </c>
      <c r="L27" s="30">
        <f t="shared" ref="L27:L32" si="1">+(K27/$H$11)*100</f>
        <v>2.5167173252279635</v>
      </c>
      <c r="M27" s="58">
        <v>43</v>
      </c>
    </row>
    <row r="28" spans="3:15" x14ac:dyDescent="0.3">
      <c r="C28" s="29">
        <v>1</v>
      </c>
      <c r="D28" s="29" t="s">
        <v>45</v>
      </c>
      <c r="E28" s="30">
        <f>1.95*0.77</f>
        <v>1.5015000000000001</v>
      </c>
      <c r="F28" s="30"/>
      <c r="G28" s="30"/>
      <c r="H28" s="30"/>
      <c r="I28" s="30"/>
      <c r="J28" s="30"/>
      <c r="K28" s="30">
        <f t="shared" si="0"/>
        <v>1.5015000000000001</v>
      </c>
      <c r="L28" s="30">
        <f t="shared" si="1"/>
        <v>0.65197568389057758</v>
      </c>
      <c r="M28" s="45">
        <v>7</v>
      </c>
    </row>
    <row r="29" spans="3:15" x14ac:dyDescent="0.3">
      <c r="C29" s="29">
        <v>3</v>
      </c>
      <c r="D29" s="29" t="s">
        <v>44</v>
      </c>
      <c r="E29" s="30">
        <f>1.33*1.58</f>
        <v>2.1014000000000004</v>
      </c>
      <c r="F29" s="30">
        <f>1.57*0.77</f>
        <v>1.2089000000000001</v>
      </c>
      <c r="G29" s="30">
        <f>0.96*1.04</f>
        <v>0.99839999999999995</v>
      </c>
      <c r="H29" s="30">
        <f>1.6*1.1</f>
        <v>1.7600000000000002</v>
      </c>
      <c r="I29" s="30">
        <f>5.13*1.05</f>
        <v>5.3864999999999998</v>
      </c>
      <c r="J29" s="30">
        <f>(1.93*1.86)+(3.92*0.83)</f>
        <v>6.843399999999999</v>
      </c>
      <c r="K29" s="30">
        <f t="shared" si="0"/>
        <v>18.2986</v>
      </c>
      <c r="L29" s="30">
        <f t="shared" si="1"/>
        <v>7.9455492835432047</v>
      </c>
      <c r="M29" s="68">
        <v>14</v>
      </c>
    </row>
    <row r="30" spans="3:15" x14ac:dyDescent="0.3">
      <c r="C30" s="29">
        <v>10</v>
      </c>
      <c r="D30" s="29" t="s">
        <v>44</v>
      </c>
      <c r="E30" s="30">
        <f>2.06*0.6</f>
        <v>1.236</v>
      </c>
      <c r="F30" s="30">
        <f>1.07*0.6</f>
        <v>0.64200000000000002</v>
      </c>
      <c r="G30" s="30"/>
      <c r="H30" s="30"/>
      <c r="I30" s="30"/>
      <c r="J30" s="30"/>
      <c r="K30" s="30">
        <f t="shared" si="0"/>
        <v>1.8780000000000001</v>
      </c>
      <c r="L30" s="30">
        <f t="shared" si="1"/>
        <v>0.81545809813287018</v>
      </c>
      <c r="M30" s="33">
        <v>1.8</v>
      </c>
    </row>
    <row r="31" spans="3:15" x14ac:dyDescent="0.3">
      <c r="C31" s="29">
        <v>3</v>
      </c>
      <c r="D31" s="29" t="s">
        <v>43</v>
      </c>
      <c r="E31" s="30">
        <f>0.95*0.56</f>
        <v>0.53200000000000003</v>
      </c>
      <c r="F31" s="30">
        <f>5.7*1.3</f>
        <v>7.41</v>
      </c>
      <c r="G31" s="30"/>
      <c r="H31" s="30"/>
      <c r="I31" s="30"/>
      <c r="J31" s="30"/>
      <c r="K31" s="30">
        <f t="shared" si="0"/>
        <v>7.9420000000000002</v>
      </c>
      <c r="L31" s="30">
        <f t="shared" si="1"/>
        <v>3.4485453755970474</v>
      </c>
      <c r="M31" s="44">
        <v>17</v>
      </c>
    </row>
    <row r="32" spans="3:15" x14ac:dyDescent="0.3">
      <c r="C32" s="29">
        <v>10</v>
      </c>
      <c r="D32" s="29" t="s">
        <v>45</v>
      </c>
      <c r="E32" s="30">
        <f>0.95*0.6</f>
        <v>0.56999999999999995</v>
      </c>
      <c r="F32" s="30"/>
      <c r="G32" s="30"/>
      <c r="H32" s="30"/>
      <c r="I32" s="30"/>
      <c r="J32" s="30"/>
      <c r="K32" s="30">
        <f t="shared" si="0"/>
        <v>0.56999999999999995</v>
      </c>
      <c r="L32" s="30">
        <f t="shared" si="1"/>
        <v>0.24750325662179765</v>
      </c>
      <c r="M32" s="43">
        <v>0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+PCI_U81!D4+1</f>
        <v>996</v>
      </c>
      <c r="D4" s="1">
        <v>1008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+PCI_U81!F11</f>
        <v>K2+971,54</v>
      </c>
      <c r="G9" s="27"/>
      <c r="H9" s="106" t="s">
        <v>219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221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4.7*0.5</f>
        <v>2.35</v>
      </c>
      <c r="F26" s="30">
        <f>3.97*0.9</f>
        <v>3.5730000000000004</v>
      </c>
      <c r="G26" s="30">
        <f>1.28*1.07</f>
        <v>1.3696000000000002</v>
      </c>
      <c r="H26" s="30">
        <f>1.66*1.88</f>
        <v>3.1207999999999996</v>
      </c>
      <c r="I26" s="30">
        <f>4*1.53</f>
        <v>6.12</v>
      </c>
      <c r="J26" s="30">
        <f>(4*1.5)+(3.3*1.3)</f>
        <v>10.29</v>
      </c>
      <c r="K26" s="30">
        <f>+SUM(E26:J26)</f>
        <v>26.823399999999999</v>
      </c>
      <c r="L26" s="30">
        <f>+(K26/$H$11)*100</f>
        <v>11.647155883630047</v>
      </c>
      <c r="M26" s="68">
        <v>25.5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1.12*0.6</f>
        <v>0.67200000000000004</v>
      </c>
      <c r="F27" s="30"/>
      <c r="G27" s="30"/>
      <c r="H27" s="30"/>
      <c r="I27" s="30"/>
      <c r="J27" s="30"/>
      <c r="K27" s="30">
        <f t="shared" ref="K27:K32" si="0">+SUM(E27:J27)</f>
        <v>0.67200000000000004</v>
      </c>
      <c r="L27" s="30">
        <f t="shared" ref="L27:L32" si="1">+(K27/$H$11)*100</f>
        <v>0.2917933130699088</v>
      </c>
      <c r="M27" s="43">
        <v>0</v>
      </c>
    </row>
    <row r="28" spans="3:15" x14ac:dyDescent="0.3">
      <c r="C28" s="29">
        <v>3</v>
      </c>
      <c r="D28" s="29" t="s">
        <v>43</v>
      </c>
      <c r="E28" s="30">
        <f>5.26*1.92</f>
        <v>10.0992</v>
      </c>
      <c r="F28" s="30"/>
      <c r="G28" s="30"/>
      <c r="H28" s="30"/>
      <c r="I28" s="30"/>
      <c r="J28" s="30"/>
      <c r="K28" s="30">
        <f t="shared" si="0"/>
        <v>10.0992</v>
      </c>
      <c r="L28" s="30">
        <f t="shared" si="1"/>
        <v>4.3852366478506291</v>
      </c>
      <c r="M28" s="44">
        <v>21</v>
      </c>
    </row>
    <row r="29" spans="3:15" x14ac:dyDescent="0.3">
      <c r="C29" s="29">
        <v>1</v>
      </c>
      <c r="D29" s="29" t="s">
        <v>43</v>
      </c>
      <c r="E29" s="30">
        <f>7.6*0.8</f>
        <v>6.08</v>
      </c>
      <c r="F29" s="30"/>
      <c r="G29" s="30"/>
      <c r="H29" s="30"/>
      <c r="I29" s="30"/>
      <c r="J29" s="30"/>
      <c r="K29" s="30">
        <f t="shared" si="0"/>
        <v>6.08</v>
      </c>
      <c r="L29" s="30">
        <f t="shared" si="1"/>
        <v>2.640034737299175</v>
      </c>
      <c r="M29" s="45">
        <v>44</v>
      </c>
    </row>
    <row r="30" spans="3:15" x14ac:dyDescent="0.3">
      <c r="C30" s="29">
        <v>10</v>
      </c>
      <c r="D30" s="29" t="s">
        <v>43</v>
      </c>
      <c r="E30" s="30">
        <f>6*0.6</f>
        <v>3.5999999999999996</v>
      </c>
      <c r="F30" s="30"/>
      <c r="G30" s="30"/>
      <c r="H30" s="30"/>
      <c r="I30" s="30"/>
      <c r="J30" s="30"/>
      <c r="K30" s="30">
        <f t="shared" si="0"/>
        <v>3.5999999999999996</v>
      </c>
      <c r="L30" s="30">
        <f t="shared" si="1"/>
        <v>1.5631784628745113</v>
      </c>
      <c r="M30" s="33">
        <v>10</v>
      </c>
    </row>
    <row r="31" spans="3:15" x14ac:dyDescent="0.3">
      <c r="C31" s="29">
        <v>1</v>
      </c>
      <c r="D31" s="29" t="s">
        <v>45</v>
      </c>
      <c r="E31" s="30">
        <f>10.56*1.15</f>
        <v>12.144</v>
      </c>
      <c r="F31" s="30"/>
      <c r="G31" s="30"/>
      <c r="H31" s="30"/>
      <c r="I31" s="30"/>
      <c r="J31" s="30"/>
      <c r="K31" s="30">
        <f t="shared" si="0"/>
        <v>12.144</v>
      </c>
      <c r="L31" s="30">
        <f t="shared" si="1"/>
        <v>5.2731220147633522</v>
      </c>
      <c r="M31" s="58">
        <v>6.9</v>
      </c>
    </row>
    <row r="32" spans="3:15" x14ac:dyDescent="0.3">
      <c r="C32" s="29">
        <v>3</v>
      </c>
      <c r="D32" s="29" t="s">
        <v>45</v>
      </c>
      <c r="E32" s="30">
        <f>4.9*1.7</f>
        <v>8.33</v>
      </c>
      <c r="F32" s="30"/>
      <c r="G32" s="30"/>
      <c r="H32" s="30"/>
      <c r="I32" s="30"/>
      <c r="J32" s="30"/>
      <c r="K32" s="30">
        <f t="shared" si="0"/>
        <v>8.33</v>
      </c>
      <c r="L32" s="30">
        <f t="shared" si="1"/>
        <v>3.6170212765957444</v>
      </c>
      <c r="M32" s="67">
        <v>4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+PCI_U82!D4+1</f>
        <v>1009</v>
      </c>
      <c r="D4" s="1">
        <v>1020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+PCI_U82!F11</f>
        <v>K3+007,68</v>
      </c>
      <c r="G9" s="27"/>
      <c r="H9" s="106" t="s">
        <v>218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222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44</v>
      </c>
      <c r="E26" s="30">
        <f>1.37*1.1</f>
        <v>1.5070000000000003</v>
      </c>
      <c r="F26" s="30"/>
      <c r="G26" s="30"/>
      <c r="H26" s="30"/>
      <c r="I26" s="30"/>
      <c r="J26" s="30"/>
      <c r="K26" s="30">
        <f t="shared" ref="K26:K31" si="0">+SUM(E26:J26)</f>
        <v>1.5070000000000003</v>
      </c>
      <c r="L26" s="30">
        <f t="shared" ref="L26:L31" si="1">+(K26/$H$11)*100</f>
        <v>0.65436387320885814</v>
      </c>
      <c r="M26" s="58">
        <v>8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4.9*0.6</f>
        <v>2.94</v>
      </c>
      <c r="F27" s="30">
        <f>1.77*0.6</f>
        <v>1.0620000000000001</v>
      </c>
      <c r="G27" s="30">
        <f>2.7*0.6</f>
        <v>1.62</v>
      </c>
      <c r="H27" s="30"/>
      <c r="I27" s="30"/>
      <c r="J27" s="30"/>
      <c r="K27" s="30">
        <f t="shared" si="0"/>
        <v>5.6219999999999999</v>
      </c>
      <c r="L27" s="30">
        <f t="shared" si="1"/>
        <v>2.4411636995223618</v>
      </c>
      <c r="M27" s="45">
        <v>4.8</v>
      </c>
    </row>
    <row r="28" spans="3:15" x14ac:dyDescent="0.3">
      <c r="C28" s="29">
        <v>3</v>
      </c>
      <c r="D28" s="29" t="s">
        <v>44</v>
      </c>
      <c r="E28" s="30">
        <f>4.34*1.52</f>
        <v>6.5968</v>
      </c>
      <c r="F28" s="30">
        <f>3.6*3.2</f>
        <v>11.520000000000001</v>
      </c>
      <c r="G28" s="30">
        <f>2.9*1.15</f>
        <v>3.3349999999999995</v>
      </c>
      <c r="H28" s="30"/>
      <c r="I28" s="30"/>
      <c r="J28" s="30"/>
      <c r="K28" s="30">
        <f t="shared" si="0"/>
        <v>21.451800000000002</v>
      </c>
      <c r="L28" s="30">
        <f t="shared" si="1"/>
        <v>9.3147199305254009</v>
      </c>
      <c r="M28" s="68">
        <v>15.7</v>
      </c>
    </row>
    <row r="29" spans="3:15" x14ac:dyDescent="0.3">
      <c r="C29" s="29">
        <v>3</v>
      </c>
      <c r="D29" s="29" t="s">
        <v>43</v>
      </c>
      <c r="E29" s="30">
        <f>5.92*0.6</f>
        <v>3.552</v>
      </c>
      <c r="F29" s="30">
        <f>7.7*2.5</f>
        <v>19.25</v>
      </c>
      <c r="G29" s="30"/>
      <c r="H29" s="30"/>
      <c r="I29" s="30"/>
      <c r="J29" s="30"/>
      <c r="K29" s="30">
        <f t="shared" si="0"/>
        <v>22.802</v>
      </c>
      <c r="L29" s="30">
        <f t="shared" si="1"/>
        <v>9.9009986973512802</v>
      </c>
      <c r="M29" s="44">
        <v>29</v>
      </c>
    </row>
    <row r="30" spans="3:15" x14ac:dyDescent="0.3">
      <c r="C30" s="29">
        <v>10</v>
      </c>
      <c r="D30" s="29" t="s">
        <v>44</v>
      </c>
      <c r="E30" s="30">
        <f>0.92*0.6</f>
        <v>0.55200000000000005</v>
      </c>
      <c r="F30" s="30">
        <f>0.56*0.6</f>
        <v>0.33600000000000002</v>
      </c>
      <c r="G30" s="30"/>
      <c r="H30" s="30"/>
      <c r="I30" s="30"/>
      <c r="J30" s="30"/>
      <c r="K30" s="30">
        <f t="shared" si="0"/>
        <v>0.88800000000000012</v>
      </c>
      <c r="L30" s="30">
        <f t="shared" si="1"/>
        <v>0.38558402084237953</v>
      </c>
      <c r="M30" s="33">
        <v>1</v>
      </c>
    </row>
    <row r="31" spans="3:15" x14ac:dyDescent="0.3">
      <c r="C31" s="29">
        <v>3</v>
      </c>
      <c r="D31" s="29" t="s">
        <v>45</v>
      </c>
      <c r="E31" s="30">
        <f>3.1*2</f>
        <v>6.2</v>
      </c>
      <c r="F31" s="30"/>
      <c r="G31" s="30"/>
      <c r="H31" s="30"/>
      <c r="I31" s="30"/>
      <c r="J31" s="30"/>
      <c r="K31" s="30">
        <f t="shared" si="0"/>
        <v>6.2</v>
      </c>
      <c r="L31" s="30">
        <f t="shared" si="1"/>
        <v>2.6921406860616588</v>
      </c>
      <c r="M31" s="67">
        <v>2.8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3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+PCI_U83!D4+1</f>
        <v>1021</v>
      </c>
      <c r="D4" s="1">
        <v>1036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+PCI_U83!F11</f>
        <v>K3+043,83</v>
      </c>
      <c r="G9" s="27"/>
      <c r="H9" s="106" t="s">
        <v>220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223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43</v>
      </c>
      <c r="E26" s="30">
        <f>6.8*0.74</f>
        <v>5.032</v>
      </c>
      <c r="F26" s="30">
        <f>5.22*2.55</f>
        <v>13.310999999999998</v>
      </c>
      <c r="G26" s="30">
        <f>1*1</f>
        <v>1</v>
      </c>
      <c r="H26" s="30"/>
      <c r="I26" s="30"/>
      <c r="J26" s="30"/>
      <c r="K26" s="30">
        <f t="shared" ref="K26:K31" si="0">+SUM(E26:J26)</f>
        <v>19.342999999999996</v>
      </c>
      <c r="L26" s="30">
        <f t="shared" ref="L26:L31" si="1">+(K26/$H$11)*100</f>
        <v>8.3990447242726862</v>
      </c>
      <c r="M26" s="68">
        <v>27</v>
      </c>
      <c r="O26" t="s">
        <v>47</v>
      </c>
    </row>
    <row r="27" spans="3:15" x14ac:dyDescent="0.3">
      <c r="C27" s="29">
        <v>3</v>
      </c>
      <c r="D27" s="29" t="s">
        <v>44</v>
      </c>
      <c r="E27" s="30">
        <f>0.9*0.57</f>
        <v>0.51300000000000001</v>
      </c>
      <c r="F27" s="30">
        <f>0.67*0.74</f>
        <v>0.49580000000000002</v>
      </c>
      <c r="G27" s="30">
        <f>3.06*2.2</f>
        <v>6.7320000000000011</v>
      </c>
      <c r="H27" s="30">
        <f>1.65*2</f>
        <v>3.3</v>
      </c>
      <c r="I27" s="30">
        <f>2.66*1.55</f>
        <v>4.1230000000000002</v>
      </c>
      <c r="J27" s="30">
        <f>(0.92*2)+(3.7*0.64)</f>
        <v>4.2080000000000002</v>
      </c>
      <c r="K27" s="30">
        <f t="shared" si="0"/>
        <v>19.3718</v>
      </c>
      <c r="L27" s="30">
        <f t="shared" si="1"/>
        <v>8.4115501519756837</v>
      </c>
      <c r="M27" s="67">
        <v>15</v>
      </c>
    </row>
    <row r="28" spans="3:15" x14ac:dyDescent="0.3">
      <c r="C28" s="29">
        <v>13</v>
      </c>
      <c r="D28" s="29" t="s">
        <v>43</v>
      </c>
      <c r="E28" s="30">
        <f>0.71*0.62</f>
        <v>0.44019999999999998</v>
      </c>
      <c r="F28" s="30">
        <f>0.9*0.49</f>
        <v>0.441</v>
      </c>
      <c r="G28" s="30"/>
      <c r="H28" s="30"/>
      <c r="I28" s="30"/>
      <c r="J28" s="30"/>
      <c r="K28" s="30">
        <f t="shared" si="0"/>
        <v>0.88119999999999998</v>
      </c>
      <c r="L28" s="30">
        <f t="shared" si="1"/>
        <v>0.3826313504125054</v>
      </c>
      <c r="M28" s="48">
        <v>35</v>
      </c>
    </row>
    <row r="29" spans="3:15" x14ac:dyDescent="0.3">
      <c r="C29" s="29">
        <v>10</v>
      </c>
      <c r="D29" s="29" t="s">
        <v>45</v>
      </c>
      <c r="E29" s="30">
        <f>1.73*0.6</f>
        <v>1.038</v>
      </c>
      <c r="F29" s="30">
        <f>2.86*0.6</f>
        <v>1.716</v>
      </c>
      <c r="G29" s="30"/>
      <c r="H29" s="30"/>
      <c r="I29" s="30"/>
      <c r="J29" s="30"/>
      <c r="K29" s="30">
        <f t="shared" si="0"/>
        <v>2.754</v>
      </c>
      <c r="L29" s="30">
        <f t="shared" si="1"/>
        <v>1.1958315240990014</v>
      </c>
      <c r="M29" s="43">
        <v>0</v>
      </c>
    </row>
    <row r="30" spans="3:15" x14ac:dyDescent="0.3">
      <c r="C30" s="29">
        <v>10</v>
      </c>
      <c r="D30" s="29" t="s">
        <v>43</v>
      </c>
      <c r="E30" s="30">
        <f>2.44*0.6</f>
        <v>1.464</v>
      </c>
      <c r="F30" s="30"/>
      <c r="G30" s="30"/>
      <c r="H30" s="30"/>
      <c r="I30" s="30"/>
      <c r="J30" s="30"/>
      <c r="K30" s="30">
        <f t="shared" si="0"/>
        <v>1.464</v>
      </c>
      <c r="L30" s="30">
        <f t="shared" si="1"/>
        <v>0.63569257490230135</v>
      </c>
      <c r="M30" s="33">
        <v>6</v>
      </c>
    </row>
    <row r="31" spans="3:15" x14ac:dyDescent="0.3">
      <c r="C31" s="29">
        <v>10</v>
      </c>
      <c r="D31" s="29" t="s">
        <v>44</v>
      </c>
      <c r="E31" s="30">
        <f>2.6*0.6</f>
        <v>1.56</v>
      </c>
      <c r="F31" s="30"/>
      <c r="G31" s="30"/>
      <c r="H31" s="30"/>
      <c r="I31" s="30"/>
      <c r="J31" s="30"/>
      <c r="K31" s="30">
        <f t="shared" si="0"/>
        <v>1.56</v>
      </c>
      <c r="L31" s="30">
        <f t="shared" si="1"/>
        <v>0.67737733391228827</v>
      </c>
      <c r="M31" s="44">
        <v>1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+PCI_U84!D4+1</f>
        <v>1037</v>
      </c>
      <c r="D4" s="1">
        <v>1047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+PCI_U84!F11</f>
        <v>K3+079,99</v>
      </c>
      <c r="G9" s="27"/>
      <c r="H9" s="106" t="s">
        <v>224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225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1.96*1.7</f>
        <v>3.3319999999999999</v>
      </c>
      <c r="F26" s="30">
        <f>4.8*1.1</f>
        <v>5.28</v>
      </c>
      <c r="G26" s="30">
        <f>1.8*0.44</f>
        <v>0.79200000000000004</v>
      </c>
      <c r="H26" s="30">
        <f>3*0.5</f>
        <v>1.5</v>
      </c>
      <c r="I26" s="30">
        <f>3.2*2.6</f>
        <v>8.32</v>
      </c>
      <c r="J26" s="30">
        <f>(4.43*2.33)+(4.23*0.44)+(2.6*1.3)</f>
        <v>15.5631</v>
      </c>
      <c r="K26" s="30">
        <f>+SUM(E26:J26)</f>
        <v>34.787100000000002</v>
      </c>
      <c r="L26" s="30">
        <f>+(K26/$H$11)*100</f>
        <v>15.105123751628311</v>
      </c>
      <c r="M26" s="68">
        <v>18.899999999999999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1.38*1.26</f>
        <v>1.7387999999999999</v>
      </c>
      <c r="F27" s="30"/>
      <c r="G27" s="30"/>
      <c r="H27" s="30"/>
      <c r="I27" s="30"/>
      <c r="J27" s="30"/>
      <c r="K27" s="30">
        <f>+SUM(E27:J27)</f>
        <v>1.7387999999999999</v>
      </c>
      <c r="L27" s="30">
        <f>+(K27/$H$11)*100</f>
        <v>0.75501519756838897</v>
      </c>
      <c r="M27" s="43">
        <v>0</v>
      </c>
    </row>
    <row r="28" spans="3:15" x14ac:dyDescent="0.3">
      <c r="C28" s="29">
        <v>10</v>
      </c>
      <c r="D28" s="29" t="s">
        <v>44</v>
      </c>
      <c r="E28" s="30">
        <f>4.05*0.6</f>
        <v>2.4299999999999997</v>
      </c>
      <c r="F28" s="30"/>
      <c r="G28" s="30"/>
      <c r="H28" s="30"/>
      <c r="I28" s="30"/>
      <c r="J28" s="30"/>
      <c r="K28" s="30">
        <f>+SUM(E28:J28)</f>
        <v>2.4299999999999997</v>
      </c>
      <c r="L28" s="30">
        <f>+(K28/$H$11)*100</f>
        <v>1.0551454624402952</v>
      </c>
      <c r="M28" s="67">
        <v>2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+PCI_U85!D4+1</f>
        <v>1048</v>
      </c>
      <c r="D4" s="1">
        <v>1061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+PCI_U85!F11</f>
        <v>K3+116,14</v>
      </c>
      <c r="G9" s="27"/>
      <c r="H9" s="106" t="s">
        <v>226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227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1.08*0.63</f>
        <v>0.6804</v>
      </c>
      <c r="F26" s="30">
        <f>1.84*0.93</f>
        <v>1.7112000000000001</v>
      </c>
      <c r="G26" s="30">
        <f>1.03*1.5</f>
        <v>1.5449999999999999</v>
      </c>
      <c r="H26" s="30">
        <f>1.13*1.22</f>
        <v>1.3785999999999998</v>
      </c>
      <c r="I26" s="30">
        <f>1.93*1.05</f>
        <v>2.0265</v>
      </c>
      <c r="J26" s="30">
        <f>(3.76*1.36)+(0.74*1.16)+(0.54*1.86)+(3.7*1.25)+(1.6*0.88)+(1.1*0.9)</f>
        <v>13.9994</v>
      </c>
      <c r="K26" s="30">
        <f>+SUM(E26:J26)</f>
        <v>21.341099999999997</v>
      </c>
      <c r="L26" s="30">
        <f>+(K26/$H$11)*100</f>
        <v>9.2666521927920087</v>
      </c>
      <c r="M26" s="67">
        <v>16</v>
      </c>
      <c r="O26" t="s">
        <v>47</v>
      </c>
    </row>
    <row r="27" spans="3:15" x14ac:dyDescent="0.3">
      <c r="C27" s="29">
        <v>3</v>
      </c>
      <c r="D27" s="29" t="s">
        <v>43</v>
      </c>
      <c r="E27" s="30">
        <f>3.33*2.1</f>
        <v>6.9930000000000003</v>
      </c>
      <c r="F27" s="30"/>
      <c r="G27" s="30"/>
      <c r="H27" s="30"/>
      <c r="I27" s="30"/>
      <c r="J27" s="30"/>
      <c r="K27" s="30">
        <f>+SUM(E27:J27)</f>
        <v>6.9930000000000003</v>
      </c>
      <c r="L27" s="30">
        <f>+(K27/$H$11)*100</f>
        <v>3.0364741641337387</v>
      </c>
      <c r="M27" s="68">
        <v>15</v>
      </c>
    </row>
    <row r="28" spans="3:15" x14ac:dyDescent="0.3">
      <c r="C28" s="29">
        <v>1</v>
      </c>
      <c r="D28" s="29" t="s">
        <v>43</v>
      </c>
      <c r="E28" s="30">
        <f>4.3*1.93</f>
        <v>8.2989999999999995</v>
      </c>
      <c r="F28" s="30"/>
      <c r="G28" s="30"/>
      <c r="H28" s="30"/>
      <c r="I28" s="30"/>
      <c r="J28" s="30"/>
      <c r="K28" s="30">
        <f>+SUM(E28:J28)</f>
        <v>8.2989999999999995</v>
      </c>
      <c r="L28" s="30">
        <f>+(K28/$H$11)*100</f>
        <v>3.6035605731654359</v>
      </c>
      <c r="M28" s="58">
        <v>48</v>
      </c>
    </row>
    <row r="29" spans="3:15" x14ac:dyDescent="0.3">
      <c r="C29" s="29">
        <v>10</v>
      </c>
      <c r="D29" s="29" t="s">
        <v>44</v>
      </c>
      <c r="E29" s="30">
        <f>5.98*0.6</f>
        <v>3.5880000000000001</v>
      </c>
      <c r="F29" s="30"/>
      <c r="G29" s="30"/>
      <c r="H29" s="30"/>
      <c r="I29" s="30"/>
      <c r="J29" s="30"/>
      <c r="K29" s="30">
        <f>+SUM(E29:J29)</f>
        <v>3.5880000000000001</v>
      </c>
      <c r="L29" s="30">
        <f>+(K29/$H$11)*100</f>
        <v>1.5579678679982631</v>
      </c>
      <c r="M29" s="44">
        <v>3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+PCI_U86!D4+1</f>
        <v>1062</v>
      </c>
      <c r="D4" s="1">
        <v>1070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+PCI_U86!F11</f>
        <v>K3+152,30</v>
      </c>
      <c r="G9" s="27"/>
      <c r="H9" s="106" t="s">
        <v>228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231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0.94*0.9</f>
        <v>0.84599999999999997</v>
      </c>
      <c r="F26" s="30">
        <f>2.06*1.26</f>
        <v>2.5956000000000001</v>
      </c>
      <c r="G26" s="30"/>
      <c r="H26" s="30"/>
      <c r="I26" s="30"/>
      <c r="J26" s="30"/>
      <c r="K26" s="30">
        <f>+SUM(E26:J26)</f>
        <v>3.4416000000000002</v>
      </c>
      <c r="L26" s="30">
        <f>+(K26/$H$11)*100</f>
        <v>1.4943986105080331</v>
      </c>
      <c r="M26" s="67">
        <v>4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45</v>
      </c>
      <c r="E27" s="30">
        <f>0.9*0.78</f>
        <v>0.70200000000000007</v>
      </c>
      <c r="F27" s="30">
        <f>1.96*1.5</f>
        <v>2.94</v>
      </c>
      <c r="G27" s="30"/>
      <c r="H27" s="30"/>
      <c r="I27" s="30"/>
      <c r="J27" s="30"/>
      <c r="K27" s="30">
        <f t="shared" ref="K27:K32" si="0">+SUM(E27:J27)</f>
        <v>3.6419999999999999</v>
      </c>
      <c r="L27" s="30">
        <f t="shared" ref="L27:L32" si="1">+(K27/$H$11)*100</f>
        <v>1.5814155449413807</v>
      </c>
      <c r="M27" s="44">
        <v>1</v>
      </c>
    </row>
    <row r="28" spans="3:20" x14ac:dyDescent="0.3">
      <c r="C28" s="29">
        <v>10</v>
      </c>
      <c r="D28" s="29" t="s">
        <v>44</v>
      </c>
      <c r="E28" s="30">
        <f>1.33*0.6</f>
        <v>0.79800000000000004</v>
      </c>
      <c r="F28" s="30"/>
      <c r="G28" s="30"/>
      <c r="H28" s="30"/>
      <c r="I28" s="30"/>
      <c r="J28" s="30"/>
      <c r="K28" s="30">
        <f t="shared" si="0"/>
        <v>0.79800000000000004</v>
      </c>
      <c r="L28" s="30">
        <f t="shared" si="1"/>
        <v>0.34650455927051671</v>
      </c>
      <c r="M28" s="43">
        <v>0</v>
      </c>
    </row>
    <row r="29" spans="3:20" x14ac:dyDescent="0.3">
      <c r="C29" s="29">
        <v>1</v>
      </c>
      <c r="D29" s="29" t="s">
        <v>44</v>
      </c>
      <c r="E29" s="30">
        <f>1.66*0.64</f>
        <v>1.0624</v>
      </c>
      <c r="F29" s="30"/>
      <c r="G29" s="30"/>
      <c r="H29" s="30"/>
      <c r="I29" s="30"/>
      <c r="J29" s="30"/>
      <c r="K29" s="30">
        <f t="shared" si="0"/>
        <v>1.0624</v>
      </c>
      <c r="L29" s="30">
        <f t="shared" si="1"/>
        <v>0.4613113330438558</v>
      </c>
      <c r="M29" s="58">
        <v>15</v>
      </c>
    </row>
    <row r="30" spans="3:20" x14ac:dyDescent="0.3">
      <c r="C30" s="29">
        <v>10</v>
      </c>
      <c r="D30" s="29" t="s">
        <v>45</v>
      </c>
      <c r="E30" s="30">
        <f>1.26*0.6</f>
        <v>0.75600000000000001</v>
      </c>
      <c r="F30" s="30"/>
      <c r="G30" s="30"/>
      <c r="H30" s="30"/>
      <c r="I30" s="30"/>
      <c r="J30" s="30"/>
      <c r="K30" s="30">
        <f t="shared" si="0"/>
        <v>0.75600000000000001</v>
      </c>
      <c r="L30" s="30">
        <f t="shared" si="1"/>
        <v>0.32826747720364741</v>
      </c>
      <c r="M30" s="43">
        <v>0</v>
      </c>
    </row>
    <row r="31" spans="3:20" x14ac:dyDescent="0.3">
      <c r="C31" s="29">
        <v>13</v>
      </c>
      <c r="D31" s="29" t="s">
        <v>43</v>
      </c>
      <c r="E31" s="30">
        <f>0.92*0.25</f>
        <v>0.23</v>
      </c>
      <c r="F31" s="30"/>
      <c r="G31" s="30"/>
      <c r="H31" s="30"/>
      <c r="I31" s="30"/>
      <c r="J31" s="30"/>
      <c r="K31" s="30">
        <f t="shared" si="0"/>
        <v>0.23</v>
      </c>
      <c r="L31" s="30">
        <f t="shared" si="1"/>
        <v>9.9869735128093787E-2</v>
      </c>
      <c r="M31" s="48">
        <v>20</v>
      </c>
    </row>
    <row r="32" spans="3:20" x14ac:dyDescent="0.3">
      <c r="C32" s="29">
        <v>3</v>
      </c>
      <c r="D32" s="29" t="s">
        <v>43</v>
      </c>
      <c r="E32" s="30">
        <f>6.93*0.82</f>
        <v>5.682599999999999</v>
      </c>
      <c r="F32" s="30"/>
      <c r="G32" s="30"/>
      <c r="H32" s="30"/>
      <c r="I32" s="30"/>
      <c r="J32" s="30"/>
      <c r="K32" s="30">
        <f t="shared" si="0"/>
        <v>5.682599999999999</v>
      </c>
      <c r="L32" s="30">
        <f t="shared" si="1"/>
        <v>2.467477203647416</v>
      </c>
      <c r="M32" s="68">
        <v>13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+PCI_U87!D4+1</f>
        <v>1071</v>
      </c>
      <c r="D4" s="1">
        <v>1071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1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1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15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15" x14ac:dyDescent="0.3">
      <c r="C9" s="62" t="s">
        <v>38</v>
      </c>
      <c r="D9" s="27"/>
      <c r="E9" s="27"/>
      <c r="F9" s="62" t="str">
        <f>+PCI_U87!F11</f>
        <v>K3+188,46</v>
      </c>
      <c r="G9" s="27"/>
      <c r="H9" s="106" t="s">
        <v>229</v>
      </c>
      <c r="I9" s="106"/>
      <c r="J9" s="9"/>
      <c r="K9" s="111"/>
      <c r="L9" s="112"/>
      <c r="M9" s="11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15" x14ac:dyDescent="0.3">
      <c r="C11" s="62" t="s">
        <v>39</v>
      </c>
      <c r="D11" s="27"/>
      <c r="E11" s="27"/>
      <c r="F11" s="62" t="s">
        <v>232</v>
      </c>
      <c r="G11" s="27"/>
      <c r="H11" s="105">
        <v>230.3</v>
      </c>
      <c r="I11" s="105"/>
      <c r="J11" s="9"/>
      <c r="K11" s="111"/>
      <c r="L11" s="112"/>
      <c r="M11" s="113"/>
      <c r="O11" t="s">
        <v>47</v>
      </c>
    </row>
    <row r="12" spans="3:1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15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15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1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1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3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3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3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3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3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3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3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3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3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10</v>
      </c>
      <c r="D26" s="29" t="s">
        <v>44</v>
      </c>
      <c r="E26" s="30">
        <f>1.94*0.6</f>
        <v>1.1639999999999999</v>
      </c>
      <c r="F26" s="30"/>
      <c r="G26" s="30"/>
      <c r="H26" s="30"/>
      <c r="I26" s="30"/>
      <c r="J26" s="30"/>
      <c r="K26" s="30">
        <f>+SUM(E26:J26)</f>
        <v>1.1639999999999999</v>
      </c>
      <c r="L26" s="30">
        <f>+(K26/$H$11)*100</f>
        <v>0.50542770299609208</v>
      </c>
      <c r="M26" s="67">
        <v>1</v>
      </c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abSelected="1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+PCI_U88!D4+1</f>
        <v>1072</v>
      </c>
      <c r="D4" s="1">
        <v>1074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0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0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0" x14ac:dyDescent="0.3">
      <c r="C8" s="7" t="s">
        <v>2</v>
      </c>
      <c r="D8" s="5"/>
      <c r="E8" s="5"/>
      <c r="F8" s="64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0" x14ac:dyDescent="0.3">
      <c r="C9" s="62" t="s">
        <v>38</v>
      </c>
      <c r="D9" s="27"/>
      <c r="E9" s="27"/>
      <c r="F9" s="62" t="str">
        <f>+PCI_U88!F11</f>
        <v>K3+207,85</v>
      </c>
      <c r="G9" s="27"/>
      <c r="H9" s="106" t="s">
        <v>230</v>
      </c>
      <c r="I9" s="106"/>
      <c r="J9" s="9"/>
      <c r="K9" s="111"/>
      <c r="L9" s="112"/>
      <c r="M9" s="11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0" x14ac:dyDescent="0.3">
      <c r="C11" s="62" t="s">
        <v>39</v>
      </c>
      <c r="D11" s="27"/>
      <c r="E11" s="27"/>
      <c r="F11" s="62" t="s">
        <v>233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0" x14ac:dyDescent="0.3">
      <c r="C13" s="107" t="s">
        <v>42</v>
      </c>
      <c r="D13" s="107"/>
      <c r="E13" s="107"/>
      <c r="F13" s="107"/>
      <c r="G13" s="5"/>
      <c r="H13" s="125">
        <v>44030</v>
      </c>
      <c r="I13" s="106"/>
      <c r="J13" s="9"/>
      <c r="K13" s="111"/>
      <c r="L13" s="112"/>
      <c r="M13" s="113"/>
    </row>
    <row r="14" spans="3:20" x14ac:dyDescent="0.3">
      <c r="C14" s="11" t="s">
        <v>5</v>
      </c>
      <c r="D14" s="121" t="s">
        <v>1</v>
      </c>
      <c r="E14" s="121"/>
      <c r="F14" s="121"/>
      <c r="G14" s="61" t="s">
        <v>5</v>
      </c>
      <c r="H14" s="121" t="s">
        <v>1</v>
      </c>
      <c r="I14" s="121"/>
      <c r="J14" s="13"/>
      <c r="K14" s="111"/>
      <c r="L14" s="112"/>
      <c r="M14" s="113"/>
    </row>
    <row r="15" spans="3:20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0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15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15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15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15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15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15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15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15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15" ht="27.6" customHeight="1" x14ac:dyDescent="0.3">
      <c r="C25" s="59" t="s">
        <v>1</v>
      </c>
      <c r="D25" s="59" t="s">
        <v>29</v>
      </c>
      <c r="E25" s="126" t="s">
        <v>30</v>
      </c>
      <c r="F25" s="127"/>
      <c r="G25" s="127"/>
      <c r="H25" s="127"/>
      <c r="I25" s="127"/>
      <c r="J25" s="128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13</v>
      </c>
      <c r="D26" s="29" t="s">
        <v>43</v>
      </c>
      <c r="E26" s="30">
        <f>0.37*0.4</f>
        <v>0.14799999999999999</v>
      </c>
      <c r="F26" s="30"/>
      <c r="G26" s="30"/>
      <c r="H26" s="30"/>
      <c r="I26" s="30"/>
      <c r="J26" s="30"/>
      <c r="K26" s="30">
        <f>+SUM(E26:J26)</f>
        <v>0.14799999999999999</v>
      </c>
      <c r="L26" s="30">
        <f>+(K26/$H$11)*100</f>
        <v>6.4264003473729903E-2</v>
      </c>
      <c r="M26" s="43">
        <v>0</v>
      </c>
      <c r="O26" t="s">
        <v>237</v>
      </c>
    </row>
    <row r="27" spans="3:15" x14ac:dyDescent="0.3">
      <c r="C27" s="29">
        <v>3</v>
      </c>
      <c r="D27" s="29" t="s">
        <v>43</v>
      </c>
      <c r="E27" s="30">
        <f>0.77*1.35</f>
        <v>1.0395000000000001</v>
      </c>
      <c r="F27" s="30"/>
      <c r="G27" s="30"/>
      <c r="H27" s="30"/>
      <c r="I27" s="30"/>
      <c r="J27" s="30"/>
      <c r="K27" s="30">
        <f>+SUM(E27:J27)</f>
        <v>1.0395000000000001</v>
      </c>
      <c r="L27" s="30">
        <f>+(K27/$H$11)*100</f>
        <v>0.45136778115501525</v>
      </c>
      <c r="M27" s="67">
        <v>3</v>
      </c>
    </row>
    <row r="28" spans="3:15" x14ac:dyDescent="0.3">
      <c r="C28" s="29">
        <v>8</v>
      </c>
      <c r="D28" s="29" t="s">
        <v>45</v>
      </c>
      <c r="E28" s="30">
        <f>6*0.6</f>
        <v>3.5999999999999996</v>
      </c>
      <c r="F28" s="30"/>
      <c r="G28" s="30"/>
      <c r="H28" s="30"/>
      <c r="I28" s="30"/>
      <c r="J28" s="30"/>
      <c r="K28" s="30">
        <f>+SUM(E28:J28)</f>
        <v>3.5999999999999996</v>
      </c>
      <c r="L28" s="30">
        <f>+(K28/$H$11)*100</f>
        <v>1.5631784628745113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82</v>
      </c>
      <c r="D4" s="1">
        <v>90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04" t="s">
        <v>35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</row>
    <row r="6" spans="3:25" x14ac:dyDescent="0.3">
      <c r="C6" s="102" t="s">
        <v>36</v>
      </c>
      <c r="D6" s="102"/>
      <c r="E6" s="102"/>
      <c r="F6" s="102"/>
      <c r="G6" s="102"/>
      <c r="H6" s="102"/>
      <c r="I6" s="102"/>
      <c r="J6" s="102"/>
      <c r="K6" s="103"/>
      <c r="L6" s="103"/>
      <c r="M6" s="103"/>
    </row>
    <row r="7" spans="3:25" x14ac:dyDescent="0.3">
      <c r="C7" s="117" t="s">
        <v>34</v>
      </c>
      <c r="D7" s="118"/>
      <c r="E7" s="118"/>
      <c r="F7" s="118"/>
      <c r="G7" s="118"/>
      <c r="H7" s="118"/>
      <c r="I7" s="118"/>
      <c r="J7" s="6"/>
      <c r="K7" s="108" t="s">
        <v>0</v>
      </c>
      <c r="L7" s="109"/>
      <c r="M7" s="110"/>
    </row>
    <row r="8" spans="3:25" x14ac:dyDescent="0.3">
      <c r="C8" s="7" t="s">
        <v>2</v>
      </c>
      <c r="D8" s="5"/>
      <c r="E8" s="5"/>
      <c r="F8" s="55" t="s">
        <v>16</v>
      </c>
      <c r="G8" s="5"/>
      <c r="H8" s="123" t="s">
        <v>27</v>
      </c>
      <c r="I8" s="123"/>
      <c r="J8" s="9"/>
      <c r="K8" s="111"/>
      <c r="L8" s="112"/>
      <c r="M8" s="113"/>
    </row>
    <row r="9" spans="3:25" x14ac:dyDescent="0.3">
      <c r="C9" s="53" t="s">
        <v>38</v>
      </c>
      <c r="D9" s="27"/>
      <c r="E9" s="27"/>
      <c r="F9" s="53" t="str">
        <f>+PCI_U8!F11</f>
        <v>K0+289,21</v>
      </c>
      <c r="G9" s="27"/>
      <c r="H9" s="106" t="s">
        <v>63</v>
      </c>
      <c r="I9" s="106"/>
      <c r="J9" s="9"/>
      <c r="K9" s="111"/>
      <c r="L9" s="112"/>
      <c r="M9" s="11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123" t="s">
        <v>37</v>
      </c>
      <c r="I10" s="123"/>
      <c r="J10" s="9"/>
      <c r="K10" s="111"/>
      <c r="L10" s="112"/>
      <c r="M10" s="113"/>
    </row>
    <row r="11" spans="3:25" x14ac:dyDescent="0.3">
      <c r="C11" s="53" t="s">
        <v>39</v>
      </c>
      <c r="D11" s="27"/>
      <c r="E11" s="27"/>
      <c r="F11" s="53" t="s">
        <v>186</v>
      </c>
      <c r="G11" s="27"/>
      <c r="H11" s="105">
        <v>230.3</v>
      </c>
      <c r="I11" s="105"/>
      <c r="J11" s="9"/>
      <c r="K11" s="111"/>
      <c r="L11" s="112"/>
      <c r="M11" s="11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122" t="s">
        <v>28</v>
      </c>
      <c r="I12" s="122"/>
      <c r="J12" s="9"/>
      <c r="K12" s="111"/>
      <c r="L12" s="112"/>
      <c r="M12" s="113"/>
    </row>
    <row r="13" spans="3:25" x14ac:dyDescent="0.3">
      <c r="C13" s="107" t="s">
        <v>42</v>
      </c>
      <c r="D13" s="107"/>
      <c r="E13" s="107"/>
      <c r="F13" s="107"/>
      <c r="G13" s="5"/>
      <c r="H13" s="125">
        <v>44021</v>
      </c>
      <c r="I13" s="106"/>
      <c r="J13" s="9"/>
      <c r="K13" s="111"/>
      <c r="L13" s="112"/>
      <c r="M13" s="113"/>
    </row>
    <row r="14" spans="3:25" x14ac:dyDescent="0.3">
      <c r="C14" s="11" t="s">
        <v>5</v>
      </c>
      <c r="D14" s="121" t="s">
        <v>1</v>
      </c>
      <c r="E14" s="121"/>
      <c r="F14" s="121"/>
      <c r="G14" s="52" t="s">
        <v>5</v>
      </c>
      <c r="H14" s="121" t="s">
        <v>1</v>
      </c>
      <c r="I14" s="121"/>
      <c r="J14" s="13"/>
      <c r="K14" s="111"/>
      <c r="L14" s="112"/>
      <c r="M14" s="113"/>
    </row>
    <row r="15" spans="3:25" x14ac:dyDescent="0.3">
      <c r="C15" s="14">
        <v>1</v>
      </c>
      <c r="D15" s="119" t="s">
        <v>6</v>
      </c>
      <c r="E15" s="119"/>
      <c r="F15" s="120"/>
      <c r="G15" s="14">
        <v>11</v>
      </c>
      <c r="H15" s="15" t="s">
        <v>18</v>
      </c>
      <c r="I15" s="15"/>
      <c r="J15" s="16"/>
      <c r="K15" s="111"/>
      <c r="L15" s="112"/>
      <c r="M15" s="113"/>
    </row>
    <row r="16" spans="3:25" x14ac:dyDescent="0.3">
      <c r="C16" s="14">
        <v>2</v>
      </c>
      <c r="D16" s="119" t="s">
        <v>7</v>
      </c>
      <c r="E16" s="119"/>
      <c r="F16" s="120"/>
      <c r="G16" s="14">
        <v>12</v>
      </c>
      <c r="H16" s="15" t="s">
        <v>19</v>
      </c>
      <c r="I16" s="15"/>
      <c r="J16" s="16"/>
      <c r="K16" s="111"/>
      <c r="L16" s="112"/>
      <c r="M16" s="113"/>
    </row>
    <row r="17" spans="3:20" x14ac:dyDescent="0.3">
      <c r="C17" s="14">
        <v>3</v>
      </c>
      <c r="D17" s="119" t="s">
        <v>8</v>
      </c>
      <c r="E17" s="119"/>
      <c r="F17" s="120"/>
      <c r="G17" s="14">
        <v>13</v>
      </c>
      <c r="H17" s="15" t="s">
        <v>20</v>
      </c>
      <c r="I17" s="15"/>
      <c r="J17" s="16"/>
      <c r="K17" s="111"/>
      <c r="L17" s="112"/>
      <c r="M17" s="113"/>
    </row>
    <row r="18" spans="3:20" x14ac:dyDescent="0.3">
      <c r="C18" s="14">
        <v>4</v>
      </c>
      <c r="D18" s="119" t="s">
        <v>9</v>
      </c>
      <c r="E18" s="119"/>
      <c r="F18" s="120"/>
      <c r="G18" s="14">
        <v>14</v>
      </c>
      <c r="H18" s="15" t="s">
        <v>21</v>
      </c>
      <c r="I18" s="15"/>
      <c r="J18" s="16"/>
      <c r="K18" s="111"/>
      <c r="L18" s="112"/>
      <c r="M18" s="113"/>
    </row>
    <row r="19" spans="3:20" x14ac:dyDescent="0.3">
      <c r="C19" s="14">
        <v>5</v>
      </c>
      <c r="D19" s="119" t="s">
        <v>10</v>
      </c>
      <c r="E19" s="119"/>
      <c r="F19" s="120"/>
      <c r="G19" s="14">
        <v>15</v>
      </c>
      <c r="H19" s="15" t="s">
        <v>22</v>
      </c>
      <c r="I19" s="15"/>
      <c r="J19" s="16"/>
      <c r="K19" s="111"/>
      <c r="L19" s="112"/>
      <c r="M19" s="113"/>
    </row>
    <row r="20" spans="3:20" x14ac:dyDescent="0.3">
      <c r="C20" s="14">
        <v>6</v>
      </c>
      <c r="D20" s="119" t="s">
        <v>11</v>
      </c>
      <c r="E20" s="119"/>
      <c r="F20" s="120"/>
      <c r="G20" s="14">
        <v>16</v>
      </c>
      <c r="H20" s="15" t="s">
        <v>23</v>
      </c>
      <c r="I20" s="15"/>
      <c r="J20" s="16"/>
      <c r="K20" s="111"/>
      <c r="L20" s="112"/>
      <c r="M20" s="113"/>
    </row>
    <row r="21" spans="3:20" x14ac:dyDescent="0.3">
      <c r="C21" s="14">
        <v>7</v>
      </c>
      <c r="D21" s="119" t="s">
        <v>12</v>
      </c>
      <c r="E21" s="119"/>
      <c r="F21" s="120"/>
      <c r="G21" s="14">
        <v>17</v>
      </c>
      <c r="H21" s="15" t="s">
        <v>24</v>
      </c>
      <c r="I21" s="15"/>
      <c r="J21" s="16"/>
      <c r="K21" s="111"/>
      <c r="L21" s="112"/>
      <c r="M21" s="113"/>
    </row>
    <row r="22" spans="3:20" x14ac:dyDescent="0.3">
      <c r="C22" s="14">
        <v>8</v>
      </c>
      <c r="D22" s="119" t="s">
        <v>13</v>
      </c>
      <c r="E22" s="119"/>
      <c r="F22" s="120"/>
      <c r="G22" s="14">
        <v>18</v>
      </c>
      <c r="H22" s="15" t="s">
        <v>25</v>
      </c>
      <c r="I22" s="15"/>
      <c r="J22" s="16"/>
      <c r="K22" s="111"/>
      <c r="L22" s="112"/>
      <c r="M22" s="113"/>
    </row>
    <row r="23" spans="3:20" x14ac:dyDescent="0.3">
      <c r="C23" s="14">
        <v>9</v>
      </c>
      <c r="D23" s="119" t="s">
        <v>14</v>
      </c>
      <c r="E23" s="119"/>
      <c r="F23" s="120"/>
      <c r="G23" s="14">
        <v>19</v>
      </c>
      <c r="H23" s="15" t="s">
        <v>26</v>
      </c>
      <c r="I23" s="15"/>
      <c r="J23" s="16"/>
      <c r="K23" s="111"/>
      <c r="L23" s="112"/>
      <c r="M23" s="113"/>
    </row>
    <row r="24" spans="3:20" x14ac:dyDescent="0.3">
      <c r="C24" s="17">
        <v>10</v>
      </c>
      <c r="D24" s="124" t="s">
        <v>15</v>
      </c>
      <c r="E24" s="119"/>
      <c r="F24" s="120"/>
      <c r="G24" s="14"/>
      <c r="H24" s="5"/>
      <c r="I24" s="5"/>
      <c r="J24" s="16"/>
      <c r="K24" s="114"/>
      <c r="L24" s="115"/>
      <c r="M24" s="116"/>
    </row>
    <row r="25" spans="3:20" ht="27.6" customHeight="1" x14ac:dyDescent="0.3">
      <c r="C25" s="51" t="s">
        <v>1</v>
      </c>
      <c r="D25" s="51" t="s">
        <v>29</v>
      </c>
      <c r="E25" s="126" t="s">
        <v>30</v>
      </c>
      <c r="F25" s="127"/>
      <c r="G25" s="127"/>
      <c r="H25" s="127"/>
      <c r="I25" s="127"/>
      <c r="J25" s="128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3</v>
      </c>
      <c r="D26" s="29" t="s">
        <v>43</v>
      </c>
      <c r="E26" s="30">
        <f>6.2*1.14</f>
        <v>7.0679999999999996</v>
      </c>
      <c r="F26" s="30"/>
      <c r="G26" s="30"/>
      <c r="H26" s="30"/>
      <c r="I26" s="30"/>
      <c r="J26" s="30"/>
      <c r="K26" s="30">
        <f>+SUM(E26:J26)</f>
        <v>7.0679999999999996</v>
      </c>
      <c r="L26" s="30">
        <f>+(K26/$H$11)*100</f>
        <v>3.0690403821102907</v>
      </c>
      <c r="M26" s="44">
        <v>3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0.87*0.98</f>
        <v>0.85260000000000002</v>
      </c>
      <c r="F27" s="30"/>
      <c r="G27" s="30"/>
      <c r="H27" s="30"/>
      <c r="I27" s="30"/>
      <c r="J27" s="30"/>
      <c r="K27" s="30">
        <f t="shared" ref="K27:K32" si="0">+SUM(E27:J27)</f>
        <v>0.85260000000000002</v>
      </c>
      <c r="L27" s="30">
        <f t="shared" ref="L27:L32" si="1">+(K27/$H$11)*100</f>
        <v>0.37021276595744679</v>
      </c>
      <c r="M27" s="58">
        <v>19</v>
      </c>
    </row>
    <row r="28" spans="3:20" x14ac:dyDescent="0.3">
      <c r="C28" s="29">
        <v>3</v>
      </c>
      <c r="D28" s="29" t="s">
        <v>44</v>
      </c>
      <c r="E28" s="30">
        <f>1.64*1.2</f>
        <v>1.9679999999999997</v>
      </c>
      <c r="F28" s="30">
        <f>2.16*0.96</f>
        <v>2.0735999999999999</v>
      </c>
      <c r="G28" s="30"/>
      <c r="H28" s="30"/>
      <c r="I28" s="30"/>
      <c r="J28" s="30"/>
      <c r="K28" s="30">
        <f t="shared" si="0"/>
        <v>4.0415999999999999</v>
      </c>
      <c r="L28" s="30">
        <f t="shared" si="1"/>
        <v>1.7549283543204515</v>
      </c>
      <c r="M28" s="47">
        <v>4</v>
      </c>
    </row>
    <row r="29" spans="3:20" x14ac:dyDescent="0.3">
      <c r="C29" s="29">
        <v>11</v>
      </c>
      <c r="D29" s="29" t="s">
        <v>43</v>
      </c>
      <c r="E29" s="30">
        <f>2.6*1</f>
        <v>2.6</v>
      </c>
      <c r="F29" s="30"/>
      <c r="G29" s="30"/>
      <c r="H29" s="30"/>
      <c r="I29" s="30"/>
      <c r="J29" s="30"/>
      <c r="K29" s="30">
        <f t="shared" si="0"/>
        <v>2.6</v>
      </c>
      <c r="L29" s="30">
        <f t="shared" si="1"/>
        <v>1.1289622231871472</v>
      </c>
      <c r="M29" s="41">
        <v>19.7</v>
      </c>
    </row>
    <row r="30" spans="3:20" x14ac:dyDescent="0.3">
      <c r="C30" s="29">
        <v>13</v>
      </c>
      <c r="D30" s="29" t="s">
        <v>43</v>
      </c>
      <c r="E30" s="30">
        <f>0.23*0.1</f>
        <v>2.3000000000000003E-2</v>
      </c>
      <c r="F30" s="30"/>
      <c r="G30" s="30"/>
      <c r="H30" s="30"/>
      <c r="I30" s="30"/>
      <c r="J30" s="30"/>
      <c r="K30" s="30">
        <f t="shared" si="0"/>
        <v>2.3000000000000003E-2</v>
      </c>
      <c r="L30" s="30">
        <f t="shared" si="1"/>
        <v>9.9869735128093797E-3</v>
      </c>
      <c r="M30" s="43">
        <v>0</v>
      </c>
    </row>
    <row r="31" spans="3:20" x14ac:dyDescent="0.3">
      <c r="C31" s="29">
        <v>10</v>
      </c>
      <c r="D31" s="29" t="s">
        <v>43</v>
      </c>
      <c r="E31" s="30">
        <f>5.65*0.6</f>
        <v>3.39</v>
      </c>
      <c r="F31" s="30"/>
      <c r="G31" s="30"/>
      <c r="H31" s="30"/>
      <c r="I31" s="30"/>
      <c r="J31" s="30"/>
      <c r="K31" s="30">
        <f t="shared" si="0"/>
        <v>3.39</v>
      </c>
      <c r="L31" s="30">
        <f t="shared" si="1"/>
        <v>1.471993052540165</v>
      </c>
      <c r="M31" s="45">
        <v>20</v>
      </c>
    </row>
    <row r="32" spans="3:20" x14ac:dyDescent="0.3">
      <c r="C32" s="29">
        <v>10</v>
      </c>
      <c r="D32" s="29" t="s">
        <v>45</v>
      </c>
      <c r="E32" s="30">
        <f>1.45*0.6</f>
        <v>0.87</v>
      </c>
      <c r="F32" s="30"/>
      <c r="G32" s="30"/>
      <c r="H32" s="30"/>
      <c r="I32" s="30"/>
      <c r="J32" s="30"/>
      <c r="K32" s="30">
        <f t="shared" si="0"/>
        <v>0.87</v>
      </c>
      <c r="L32" s="30">
        <f t="shared" si="1"/>
        <v>0.37776812852800695</v>
      </c>
      <c r="M32" s="40">
        <v>13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89</vt:i4>
      </vt:variant>
    </vt:vector>
  </HeadingPairs>
  <TitlesOfParts>
    <vt:vector size="89" baseType="lpstr">
      <vt:lpstr>PCI_U1</vt:lpstr>
      <vt:lpstr>PCI_U2</vt:lpstr>
      <vt:lpstr>PCI_U3</vt:lpstr>
      <vt:lpstr>PCI_U4</vt:lpstr>
      <vt:lpstr>PCI_U5</vt:lpstr>
      <vt:lpstr>PCI_U6</vt:lpstr>
      <vt:lpstr>PCI_U7</vt:lpstr>
      <vt:lpstr>PCI_U8</vt:lpstr>
      <vt:lpstr>PCI_U9</vt:lpstr>
      <vt:lpstr>PCI_U10</vt:lpstr>
      <vt:lpstr>PCI_U11</vt:lpstr>
      <vt:lpstr>PCI_U12</vt:lpstr>
      <vt:lpstr>PCI_U13</vt:lpstr>
      <vt:lpstr>PCI_U14</vt:lpstr>
      <vt:lpstr>PCI_U15</vt:lpstr>
      <vt:lpstr>PCI_U16</vt:lpstr>
      <vt:lpstr>PCI_U17</vt:lpstr>
      <vt:lpstr>PCI_U18</vt:lpstr>
      <vt:lpstr>PCI_U19</vt:lpstr>
      <vt:lpstr>PCI_U20</vt:lpstr>
      <vt:lpstr>PCI_U21</vt:lpstr>
      <vt:lpstr>PCI_U22</vt:lpstr>
      <vt:lpstr>PCI_U23</vt:lpstr>
      <vt:lpstr>PCI_U24</vt:lpstr>
      <vt:lpstr>PCI_U25</vt:lpstr>
      <vt:lpstr>PCI_U26</vt:lpstr>
      <vt:lpstr>PCI_U27</vt:lpstr>
      <vt:lpstr>PCI_U28</vt:lpstr>
      <vt:lpstr>PCI_U29</vt:lpstr>
      <vt:lpstr>PCI_U30</vt:lpstr>
      <vt:lpstr>PCI_U31</vt:lpstr>
      <vt:lpstr>PCI_U32</vt:lpstr>
      <vt:lpstr>PCI_U33</vt:lpstr>
      <vt:lpstr>PCI_U34</vt:lpstr>
      <vt:lpstr>PCI_U35</vt:lpstr>
      <vt:lpstr>PCI_U36</vt:lpstr>
      <vt:lpstr>PCI_U37</vt:lpstr>
      <vt:lpstr>PCI_U38</vt:lpstr>
      <vt:lpstr>PCI_U39</vt:lpstr>
      <vt:lpstr>PCI_U40</vt:lpstr>
      <vt:lpstr>PCI_U41</vt:lpstr>
      <vt:lpstr>PCI_U42</vt:lpstr>
      <vt:lpstr>PCI_U43</vt:lpstr>
      <vt:lpstr>PCI_U44</vt:lpstr>
      <vt:lpstr>PCI_U45</vt:lpstr>
      <vt:lpstr>PCI_U46</vt:lpstr>
      <vt:lpstr>PCI_U47</vt:lpstr>
      <vt:lpstr>PCI_U48</vt:lpstr>
      <vt:lpstr>PCI_U49</vt:lpstr>
      <vt:lpstr>PCI_U50</vt:lpstr>
      <vt:lpstr>PCI_U51</vt:lpstr>
      <vt:lpstr>PCI_U52</vt:lpstr>
      <vt:lpstr>PCI_U53</vt:lpstr>
      <vt:lpstr>PCI_U54</vt:lpstr>
      <vt:lpstr>PCI_U55</vt:lpstr>
      <vt:lpstr>PCI_U56</vt:lpstr>
      <vt:lpstr>PCI_U57</vt:lpstr>
      <vt:lpstr>PCI_U58</vt:lpstr>
      <vt:lpstr>PCI_U59</vt:lpstr>
      <vt:lpstr>PCI_U60</vt:lpstr>
      <vt:lpstr>PCI_U61</vt:lpstr>
      <vt:lpstr>PCI_U62</vt:lpstr>
      <vt:lpstr>PCI_U63</vt:lpstr>
      <vt:lpstr>PCI_U64</vt:lpstr>
      <vt:lpstr>PCI_U65</vt:lpstr>
      <vt:lpstr>PCI_U66</vt:lpstr>
      <vt:lpstr>PCI_U67</vt:lpstr>
      <vt:lpstr>PCI_U68</vt:lpstr>
      <vt:lpstr>PCI_U69</vt:lpstr>
      <vt:lpstr>PCI_U70</vt:lpstr>
      <vt:lpstr>PCI_U71</vt:lpstr>
      <vt:lpstr>PCI_U72</vt:lpstr>
      <vt:lpstr>PCI_U73</vt:lpstr>
      <vt:lpstr>PCI_U74</vt:lpstr>
      <vt:lpstr>PCI_U75</vt:lpstr>
      <vt:lpstr>PCI_U76</vt:lpstr>
      <vt:lpstr>PCI_U77</vt:lpstr>
      <vt:lpstr>PCI_U78</vt:lpstr>
      <vt:lpstr>PCI_U79</vt:lpstr>
      <vt:lpstr>PCI_U80</vt:lpstr>
      <vt:lpstr>PCI_U81</vt:lpstr>
      <vt:lpstr>PCI_U82</vt:lpstr>
      <vt:lpstr>PCI_U83</vt:lpstr>
      <vt:lpstr>PCI_U84</vt:lpstr>
      <vt:lpstr>PCI_U85</vt:lpstr>
      <vt:lpstr>PCI_U86</vt:lpstr>
      <vt:lpstr>PCI_U87</vt:lpstr>
      <vt:lpstr>PCI_U88</vt:lpstr>
      <vt:lpstr>PCI_U89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DANIELA</cp:lastModifiedBy>
  <cp:lastPrinted>2020-03-07T15:07:00Z</cp:lastPrinted>
  <dcterms:created xsi:type="dcterms:W3CDTF">2020-02-11T19:29:32Z</dcterms:created>
  <dcterms:modified xsi:type="dcterms:W3CDTF">2020-11-03T00:09:56Z</dcterms:modified>
</cp:coreProperties>
</file>