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FERSON ZAPATA\Downloads\TESIS FINAL\"/>
    </mc:Choice>
  </mc:AlternateContent>
  <xr:revisionPtr revIDLastSave="0" documentId="13_ncr:1_{869D57A3-EAB6-470B-908F-38295886ED40}" xr6:coauthVersionLast="47" xr6:coauthVersionMax="47" xr10:uidLastSave="{00000000-0000-0000-0000-000000000000}"/>
  <workbookProtection workbookAlgorithmName="SHA-512" workbookHashValue="lW2eLd5FlEyZbhnHx2Suw9wSm5cQfRjAsqfgla8aHa/dwcyU3JYqc+o9Yf6CbwKcWDZnh/KzlXwqz6WFwiWMAg==" workbookSaltValue="mI1kKYBZj74fgkBH2YICRw==" workbookSpinCount="100000" lockStructure="1"/>
  <bookViews>
    <workbookView xWindow="-120" yWindow="-120" windowWidth="20730" windowHeight="11040" firstSheet="5" activeTab="10" xr2:uid="{7D959573-EA0E-4F6B-992F-48295871BE70}"/>
  </bookViews>
  <sheets>
    <sheet name="Movimientos en masa" sheetId="15" r:id="rId1"/>
    <sheet name="Cobertura vegetal 2018" sheetId="1" r:id="rId2"/>
    <sheet name="Cobertura vegetal actual" sheetId="14" r:id="rId3"/>
    <sheet name="Curvatura" sheetId="2" r:id="rId4"/>
    <sheet name="Distancia a drenajes" sheetId="3" r:id="rId5"/>
    <sheet name="Relieve" sheetId="4" r:id="rId6"/>
    <sheet name="Geomorfología" sheetId="6" r:id="rId7"/>
    <sheet name="Pendientes" sheetId="7" r:id="rId8"/>
    <sheet name="Suelos" sheetId="8" r:id="rId9"/>
    <sheet name="Precipitación" sheetId="9" r:id="rId10"/>
    <sheet name="Método WoFE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5" l="1"/>
  <c r="C31" i="15"/>
  <c r="C2" i="15"/>
  <c r="C3" i="15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B31" i="15"/>
  <c r="G5" i="12"/>
  <c r="G7" i="12"/>
  <c r="J86" i="12"/>
  <c r="I86" i="12"/>
  <c r="K87" i="12"/>
  <c r="K67" i="12"/>
  <c r="K9" i="12"/>
  <c r="H91" i="12"/>
  <c r="H86" i="12"/>
  <c r="H87" i="12"/>
  <c r="G86" i="12"/>
  <c r="G87" i="12"/>
  <c r="G88" i="12"/>
  <c r="G89" i="12"/>
  <c r="G90" i="12"/>
  <c r="G91" i="12"/>
  <c r="G92" i="12"/>
  <c r="G93" i="12"/>
  <c r="H88" i="12"/>
  <c r="H89" i="12"/>
  <c r="H90" i="12"/>
  <c r="H92" i="12"/>
  <c r="H93" i="12"/>
  <c r="F87" i="12"/>
  <c r="F88" i="12"/>
  <c r="F89" i="12"/>
  <c r="I89" i="12" s="1"/>
  <c r="F90" i="12"/>
  <c r="J90" i="12" s="1"/>
  <c r="F91" i="12"/>
  <c r="F92" i="12"/>
  <c r="F93" i="12"/>
  <c r="F86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67" i="12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G63" i="12"/>
  <c r="G64" i="12"/>
  <c r="I64" i="12" s="1"/>
  <c r="K64" i="12" s="1"/>
  <c r="G65" i="12"/>
  <c r="G66" i="12"/>
  <c r="H63" i="12"/>
  <c r="H62" i="12"/>
  <c r="G62" i="12"/>
  <c r="I62" i="12" s="1"/>
  <c r="F63" i="12"/>
  <c r="I63" i="12" s="1"/>
  <c r="F64" i="12"/>
  <c r="F65" i="12"/>
  <c r="F66" i="12"/>
  <c r="F62" i="12"/>
  <c r="D65" i="12"/>
  <c r="H64" i="12" s="1"/>
  <c r="J64" i="12" s="1"/>
  <c r="H54" i="12"/>
  <c r="H55" i="12"/>
  <c r="J55" i="12" s="1"/>
  <c r="H56" i="12"/>
  <c r="H57" i="12"/>
  <c r="H58" i="12"/>
  <c r="H59" i="12"/>
  <c r="H60" i="12"/>
  <c r="H61" i="12"/>
  <c r="H53" i="12"/>
  <c r="F54" i="12"/>
  <c r="F55" i="12"/>
  <c r="F56" i="12"/>
  <c r="F57" i="12"/>
  <c r="F58" i="12"/>
  <c r="F59" i="12"/>
  <c r="F60" i="12"/>
  <c r="F61" i="12"/>
  <c r="F53" i="12"/>
  <c r="H5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I56" i="12"/>
  <c r="H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32" i="12"/>
  <c r="H21" i="12"/>
  <c r="H22" i="12"/>
  <c r="H23" i="12"/>
  <c r="H24" i="12"/>
  <c r="H25" i="12"/>
  <c r="H26" i="12"/>
  <c r="H27" i="12"/>
  <c r="H28" i="12"/>
  <c r="H29" i="12"/>
  <c r="H30" i="12"/>
  <c r="H31" i="12"/>
  <c r="H20" i="12"/>
  <c r="G20" i="12"/>
  <c r="F21" i="12"/>
  <c r="F22" i="12"/>
  <c r="F23" i="12"/>
  <c r="F24" i="12"/>
  <c r="F25" i="12"/>
  <c r="F26" i="12"/>
  <c r="F27" i="12"/>
  <c r="F28" i="12"/>
  <c r="F29" i="12"/>
  <c r="F30" i="12"/>
  <c r="F31" i="12"/>
  <c r="F20" i="12"/>
  <c r="G21" i="12"/>
  <c r="G22" i="12"/>
  <c r="G23" i="12"/>
  <c r="I23" i="12" s="1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I31" i="12"/>
  <c r="H16" i="12"/>
  <c r="H17" i="12"/>
  <c r="H18" i="12"/>
  <c r="J18" i="12" s="1"/>
  <c r="H19" i="12"/>
  <c r="H15" i="12"/>
  <c r="G15" i="12"/>
  <c r="G16" i="12"/>
  <c r="G17" i="12"/>
  <c r="G18" i="12"/>
  <c r="G19" i="12"/>
  <c r="F15" i="12"/>
  <c r="F16" i="12"/>
  <c r="I16" i="12" s="1"/>
  <c r="F17" i="12"/>
  <c r="F18" i="12"/>
  <c r="I18" i="12" s="1"/>
  <c r="K18" i="12" s="1"/>
  <c r="F19" i="12"/>
  <c r="F14" i="12"/>
  <c r="H9" i="12"/>
  <c r="J9" i="12" s="1"/>
  <c r="G9" i="12"/>
  <c r="F9" i="12"/>
  <c r="H10" i="12"/>
  <c r="H11" i="12"/>
  <c r="H12" i="12"/>
  <c r="H13" i="12"/>
  <c r="H14" i="12"/>
  <c r="G10" i="12"/>
  <c r="G11" i="12"/>
  <c r="G12" i="12"/>
  <c r="G13" i="12"/>
  <c r="G14" i="12"/>
  <c r="F10" i="12"/>
  <c r="F11" i="12"/>
  <c r="F12" i="12"/>
  <c r="J12" i="12" s="1"/>
  <c r="F13" i="12"/>
  <c r="J13" i="12" s="1"/>
  <c r="G3" i="12"/>
  <c r="G4" i="12"/>
  <c r="G6" i="12"/>
  <c r="G8" i="12"/>
  <c r="C10" i="9"/>
  <c r="E10" i="9"/>
  <c r="E2" i="9"/>
  <c r="E3" i="9"/>
  <c r="E4" i="9"/>
  <c r="E5" i="9"/>
  <c r="E6" i="9"/>
  <c r="E7" i="9"/>
  <c r="E8" i="9"/>
  <c r="E9" i="9"/>
  <c r="D3" i="9"/>
  <c r="D4" i="9"/>
  <c r="D5" i="9"/>
  <c r="D6" i="9"/>
  <c r="D7" i="9"/>
  <c r="D8" i="9"/>
  <c r="D9" i="9"/>
  <c r="D2" i="9"/>
  <c r="D10" i="9" s="1"/>
  <c r="F11" i="8"/>
  <c r="G2" i="8" s="1"/>
  <c r="D9" i="7"/>
  <c r="E3" i="7"/>
  <c r="E4" i="7"/>
  <c r="E5" i="7"/>
  <c r="E6" i="7"/>
  <c r="E7" i="7"/>
  <c r="E8" i="7"/>
  <c r="E2" i="7"/>
  <c r="E23" i="6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D23" i="6"/>
  <c r="E8" i="4"/>
  <c r="E2" i="4"/>
  <c r="E3" i="4"/>
  <c r="E4" i="4"/>
  <c r="E5" i="4"/>
  <c r="E6" i="4"/>
  <c r="E7" i="4"/>
  <c r="C8" i="4"/>
  <c r="D2" i="4"/>
  <c r="D8" i="4" s="1"/>
  <c r="D3" i="4"/>
  <c r="D4" i="4"/>
  <c r="D5" i="4"/>
  <c r="D6" i="4"/>
  <c r="D7" i="4"/>
  <c r="D7" i="3"/>
  <c r="D2" i="3"/>
  <c r="D3" i="3"/>
  <c r="D4" i="3"/>
  <c r="D5" i="3"/>
  <c r="D6" i="3"/>
  <c r="C7" i="3"/>
  <c r="C5" i="3"/>
  <c r="E7" i="2"/>
  <c r="E2" i="2"/>
  <c r="E3" i="2"/>
  <c r="E4" i="2"/>
  <c r="E5" i="2"/>
  <c r="E6" i="2"/>
  <c r="D7" i="2"/>
  <c r="C7" i="2"/>
  <c r="D2" i="2"/>
  <c r="D3" i="2"/>
  <c r="D4" i="2"/>
  <c r="D5" i="2"/>
  <c r="D6" i="2"/>
  <c r="D2" i="1"/>
  <c r="D3" i="1"/>
  <c r="D24" i="1" s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C24" i="1"/>
  <c r="H5" i="12" l="1"/>
  <c r="H4" i="12"/>
  <c r="F5" i="12"/>
  <c r="I5" i="12" s="1"/>
  <c r="H3" i="12"/>
  <c r="F6" i="12"/>
  <c r="F3" i="12"/>
  <c r="G2" i="12"/>
  <c r="H8" i="12"/>
  <c r="H2" i="12"/>
  <c r="F4" i="12"/>
  <c r="J4" i="12" s="1"/>
  <c r="F2" i="12"/>
  <c r="H7" i="12"/>
  <c r="F8" i="12"/>
  <c r="H6" i="12"/>
  <c r="F7" i="12"/>
  <c r="K86" i="12"/>
  <c r="J54" i="12"/>
  <c r="I15" i="12"/>
  <c r="I53" i="12"/>
  <c r="J62" i="12"/>
  <c r="K62" i="12" s="1"/>
  <c r="I11" i="12"/>
  <c r="I13" i="12"/>
  <c r="I17" i="12"/>
  <c r="I60" i="12"/>
  <c r="J24" i="12"/>
  <c r="H66" i="12"/>
  <c r="J63" i="12"/>
  <c r="K63" i="12" s="1"/>
  <c r="I87" i="12"/>
  <c r="J5" i="12"/>
  <c r="I10" i="12"/>
  <c r="I12" i="12"/>
  <c r="J59" i="12"/>
  <c r="H65" i="12"/>
  <c r="J65" i="12" s="1"/>
  <c r="J52" i="12"/>
  <c r="I44" i="12"/>
  <c r="J36" i="12"/>
  <c r="J79" i="12"/>
  <c r="I93" i="12"/>
  <c r="J70" i="12"/>
  <c r="J19" i="12"/>
  <c r="I49" i="12"/>
  <c r="I41" i="12"/>
  <c r="J33" i="12"/>
  <c r="I67" i="12"/>
  <c r="J78" i="12"/>
  <c r="I9" i="12"/>
  <c r="J15" i="12"/>
  <c r="J32" i="12"/>
  <c r="I92" i="12"/>
  <c r="I91" i="12"/>
  <c r="J88" i="12"/>
  <c r="J87" i="12"/>
  <c r="J91" i="12"/>
  <c r="K91" i="12" s="1"/>
  <c r="J93" i="12"/>
  <c r="K93" i="12" s="1"/>
  <c r="I90" i="12"/>
  <c r="K90" i="12" s="1"/>
  <c r="I88" i="12"/>
  <c r="J89" i="12"/>
  <c r="K89" i="12" s="1"/>
  <c r="J92" i="12"/>
  <c r="I80" i="12"/>
  <c r="I72" i="12"/>
  <c r="J84" i="12"/>
  <c r="J82" i="12"/>
  <c r="J74" i="12"/>
  <c r="J85" i="12"/>
  <c r="J76" i="12"/>
  <c r="J77" i="12"/>
  <c r="J69" i="12"/>
  <c r="J83" i="12"/>
  <c r="J75" i="12"/>
  <c r="J68" i="12"/>
  <c r="J71" i="12"/>
  <c r="I69" i="12"/>
  <c r="I79" i="12"/>
  <c r="K79" i="12" s="1"/>
  <c r="I71" i="12"/>
  <c r="I81" i="12"/>
  <c r="I73" i="12"/>
  <c r="J81" i="12"/>
  <c r="J73" i="12"/>
  <c r="I78" i="12"/>
  <c r="I70" i="12"/>
  <c r="K70" i="12" s="1"/>
  <c r="J80" i="12"/>
  <c r="K80" i="12" s="1"/>
  <c r="J72" i="12"/>
  <c r="I85" i="12"/>
  <c r="K85" i="12" s="1"/>
  <c r="I77" i="12"/>
  <c r="I84" i="12"/>
  <c r="K84" i="12" s="1"/>
  <c r="I76" i="12"/>
  <c r="I68" i="12"/>
  <c r="I83" i="12"/>
  <c r="I75" i="12"/>
  <c r="I82" i="12"/>
  <c r="I74" i="12"/>
  <c r="K74" i="12" s="1"/>
  <c r="J67" i="12"/>
  <c r="D21" i="14"/>
  <c r="E2" i="14" s="1"/>
  <c r="E19" i="14"/>
  <c r="K16" i="12"/>
  <c r="I36" i="12"/>
  <c r="J11" i="12"/>
  <c r="J17" i="12"/>
  <c r="K17" i="12" s="1"/>
  <c r="J51" i="12"/>
  <c r="J43" i="12"/>
  <c r="J35" i="12"/>
  <c r="I52" i="12"/>
  <c r="K52" i="12" s="1"/>
  <c r="J10" i="12"/>
  <c r="I14" i="12"/>
  <c r="I19" i="12"/>
  <c r="K19" i="12" s="1"/>
  <c r="J16" i="12"/>
  <c r="I24" i="12"/>
  <c r="K24" i="12" s="1"/>
  <c r="J58" i="12"/>
  <c r="J50" i="12"/>
  <c r="J42" i="12"/>
  <c r="J34" i="12"/>
  <c r="J26" i="12"/>
  <c r="I32" i="12"/>
  <c r="K32" i="12" s="1"/>
  <c r="I45" i="12"/>
  <c r="J31" i="12"/>
  <c r="J23" i="12"/>
  <c r="I20" i="12"/>
  <c r="J40" i="12"/>
  <c r="J46" i="12"/>
  <c r="I38" i="12"/>
  <c r="I30" i="12"/>
  <c r="I22" i="12"/>
  <c r="J29" i="12"/>
  <c r="J21" i="12"/>
  <c r="J57" i="12"/>
  <c r="I57" i="12"/>
  <c r="K57" i="12" s="1"/>
  <c r="I61" i="12"/>
  <c r="I54" i="12"/>
  <c r="K54" i="12" s="1"/>
  <c r="J61" i="12"/>
  <c r="J53" i="12"/>
  <c r="J56" i="12"/>
  <c r="K56" i="12" s="1"/>
  <c r="I55" i="12"/>
  <c r="K55" i="12" s="1"/>
  <c r="I48" i="12"/>
  <c r="I40" i="12"/>
  <c r="K40" i="12" s="1"/>
  <c r="I37" i="12"/>
  <c r="J47" i="12"/>
  <c r="J39" i="12"/>
  <c r="J48" i="12"/>
  <c r="J45" i="12"/>
  <c r="K45" i="12" s="1"/>
  <c r="J37" i="12"/>
  <c r="I47" i="12"/>
  <c r="I39" i="12"/>
  <c r="K31" i="12"/>
  <c r="I29" i="12"/>
  <c r="K29" i="12" s="1"/>
  <c r="I21" i="12"/>
  <c r="K21" i="12" s="1"/>
  <c r="J25" i="12"/>
  <c r="J60" i="12"/>
  <c r="K60" i="12" s="1"/>
  <c r="J44" i="12"/>
  <c r="I28" i="12"/>
  <c r="J27" i="12"/>
  <c r="J28" i="12"/>
  <c r="I25" i="12"/>
  <c r="K25" i="12" s="1"/>
  <c r="J30" i="12"/>
  <c r="J22" i="12"/>
  <c r="K22" i="12" s="1"/>
  <c r="I46" i="12"/>
  <c r="K36" i="12"/>
  <c r="J41" i="12"/>
  <c r="K41" i="12" s="1"/>
  <c r="I33" i="12"/>
  <c r="K33" i="12" s="1"/>
  <c r="J49" i="12"/>
  <c r="K49" i="12" s="1"/>
  <c r="J38" i="12"/>
  <c r="J20" i="12"/>
  <c r="K20" i="12" s="1"/>
  <c r="K23" i="12"/>
  <c r="I59" i="12"/>
  <c r="K59" i="12" s="1"/>
  <c r="I51" i="12"/>
  <c r="I43" i="12"/>
  <c r="I35" i="12"/>
  <c r="K35" i="12" s="1"/>
  <c r="I27" i="12"/>
  <c r="I58" i="12"/>
  <c r="I50" i="12"/>
  <c r="K50" i="12" s="1"/>
  <c r="I42" i="12"/>
  <c r="K42" i="12" s="1"/>
  <c r="I34" i="12"/>
  <c r="I26" i="12"/>
  <c r="J14" i="12"/>
  <c r="K10" i="12"/>
  <c r="K12" i="12"/>
  <c r="E9" i="7"/>
  <c r="F6" i="7" s="1"/>
  <c r="G9" i="8"/>
  <c r="G8" i="8"/>
  <c r="G7" i="8"/>
  <c r="G6" i="8"/>
  <c r="G5" i="8"/>
  <c r="G4" i="8"/>
  <c r="G3" i="8"/>
  <c r="G11" i="8" s="1"/>
  <c r="G10" i="8"/>
  <c r="I8" i="12" l="1"/>
  <c r="J7" i="12"/>
  <c r="I2" i="12"/>
  <c r="I6" i="12"/>
  <c r="J6" i="12"/>
  <c r="I3" i="12"/>
  <c r="J8" i="12"/>
  <c r="J3" i="12"/>
  <c r="I7" i="12"/>
  <c r="J2" i="12"/>
  <c r="I4" i="12"/>
  <c r="K4" i="12" s="1"/>
  <c r="I66" i="12"/>
  <c r="J66" i="12"/>
  <c r="K15" i="12"/>
  <c r="K34" i="12"/>
  <c r="K46" i="12"/>
  <c r="K44" i="12"/>
  <c r="K82" i="12"/>
  <c r="K72" i="12"/>
  <c r="K88" i="12"/>
  <c r="I65" i="12"/>
  <c r="K65" i="12" s="1"/>
  <c r="K58" i="12"/>
  <c r="K48" i="12"/>
  <c r="K53" i="12"/>
  <c r="K68" i="12"/>
  <c r="K78" i="12"/>
  <c r="K92" i="12"/>
  <c r="K83" i="12"/>
  <c r="K69" i="12"/>
  <c r="K76" i="12"/>
  <c r="K77" i="12"/>
  <c r="K75" i="12"/>
  <c r="K71" i="12"/>
  <c r="K81" i="12"/>
  <c r="K73" i="12"/>
  <c r="E10" i="14"/>
  <c r="E6" i="14"/>
  <c r="E5" i="14"/>
  <c r="E15" i="14"/>
  <c r="E3" i="14"/>
  <c r="E14" i="14"/>
  <c r="E11" i="14"/>
  <c r="E7" i="14"/>
  <c r="E4" i="14"/>
  <c r="E12" i="14"/>
  <c r="E9" i="14"/>
  <c r="E8" i="14"/>
  <c r="E20" i="14"/>
  <c r="E16" i="14"/>
  <c r="E18" i="14"/>
  <c r="E13" i="14"/>
  <c r="E17" i="14"/>
  <c r="K30" i="12"/>
  <c r="K37" i="12"/>
  <c r="K43" i="12"/>
  <c r="K38" i="12"/>
  <c r="K26" i="12"/>
  <c r="K51" i="12"/>
  <c r="K61" i="12"/>
  <c r="K39" i="12"/>
  <c r="K47" i="12"/>
  <c r="K28" i="12"/>
  <c r="K27" i="12"/>
  <c r="K14" i="12"/>
  <c r="K11" i="12"/>
  <c r="K13" i="12"/>
  <c r="F3" i="7"/>
  <c r="F2" i="7"/>
  <c r="F7" i="7"/>
  <c r="F8" i="7"/>
  <c r="F4" i="7"/>
  <c r="F5" i="7"/>
  <c r="K2" i="12" l="1"/>
  <c r="K3" i="12"/>
  <c r="K66" i="12"/>
  <c r="E21" i="14"/>
  <c r="K7" i="12"/>
  <c r="K5" i="12"/>
  <c r="K8" i="12"/>
  <c r="K6" i="12"/>
  <c r="F9" i="7"/>
</calcChain>
</file>

<file path=xl/sharedStrings.xml><?xml version="1.0" encoding="utf-8"?>
<sst xmlns="http://schemas.openxmlformats.org/spreadsheetml/2006/main" count="331" uniqueCount="177">
  <si>
    <t>Bosque abierto alto</t>
  </si>
  <si>
    <t>Bosque abierto bajo</t>
  </si>
  <si>
    <t>Bosque de galeria arbolado</t>
  </si>
  <si>
    <t>Bosque de galeria mixto</t>
  </si>
  <si>
    <t>Bosque de galería y ripario</t>
  </si>
  <si>
    <t>Bosque denso alto</t>
  </si>
  <si>
    <t>Guadua asociada a cuerpos de agua</t>
  </si>
  <si>
    <t>Mosaico de cultivos y espacios naturales</t>
  </si>
  <si>
    <t>Mosaico de pastos cultivos y espacios naturales</t>
  </si>
  <si>
    <t>Mosaico de pastos y cultivos</t>
  </si>
  <si>
    <t>Mosaico de pastos y espacios naturales</t>
  </si>
  <si>
    <t>Pastos arbolados</t>
  </si>
  <si>
    <t>Pastos degradados</t>
  </si>
  <si>
    <t>Pastos enmalezados</t>
  </si>
  <si>
    <t>Pastos limpios</t>
  </si>
  <si>
    <t>Red vial</t>
  </si>
  <si>
    <t>Rios</t>
  </si>
  <si>
    <t>Tejido urbano continuo</t>
  </si>
  <si>
    <t>Tejido urbano discontinuo</t>
  </si>
  <si>
    <t>Tierras desnudas y degradadas</t>
  </si>
  <si>
    <t>Vegetación secundaria alta</t>
  </si>
  <si>
    <t>Vegetación secundaria baja</t>
  </si>
  <si>
    <t>ID</t>
  </si>
  <si>
    <t>Tipo de cobertura</t>
  </si>
  <si>
    <t>Área (ha)</t>
  </si>
  <si>
    <t>% Área</t>
  </si>
  <si>
    <t>Total</t>
  </si>
  <si>
    <t>Intervalos</t>
  </si>
  <si>
    <t>&lt; -5</t>
  </si>
  <si>
    <t>- 5 - (-0.001)</t>
  </si>
  <si>
    <t>-0.001 - (0.001)</t>
  </si>
  <si>
    <t>0.001 - 5</t>
  </si>
  <si>
    <t>&gt; 5</t>
  </si>
  <si>
    <t>Número de píxeles</t>
  </si>
  <si>
    <t>0 - 25</t>
  </si>
  <si>
    <t>25 - 50</t>
  </si>
  <si>
    <t>50 - 75</t>
  </si>
  <si>
    <t>75 - 100</t>
  </si>
  <si>
    <t>&gt; 100</t>
  </si>
  <si>
    <t>Intervalo (m)</t>
  </si>
  <si>
    <t>Intervalo (msnm)</t>
  </si>
  <si>
    <t xml:space="preserve">% Área </t>
  </si>
  <si>
    <t>Q-al</t>
  </si>
  <si>
    <t>Q-ca</t>
  </si>
  <si>
    <t>Rmaap</t>
  </si>
  <si>
    <t>Rmlm</t>
  </si>
  <si>
    <t>Rracbb</t>
  </si>
  <si>
    <t>Rrca</t>
  </si>
  <si>
    <t>Rrcfgy</t>
  </si>
  <si>
    <t>Stalli</t>
  </si>
  <si>
    <t>Stat</t>
  </si>
  <si>
    <t>Stco</t>
  </si>
  <si>
    <t>Stct</t>
  </si>
  <si>
    <t>Stftac</t>
  </si>
  <si>
    <t>Descripción</t>
  </si>
  <si>
    <t>Ac</t>
  </si>
  <si>
    <t>Cantera</t>
  </si>
  <si>
    <t>Dc</t>
  </si>
  <si>
    <t>Cima</t>
  </si>
  <si>
    <t>Dcd</t>
  </si>
  <si>
    <t>Cuenca denudada</t>
  </si>
  <si>
    <t>Dco</t>
  </si>
  <si>
    <t>Coluvión</t>
  </si>
  <si>
    <t>Dct</t>
  </si>
  <si>
    <t>Cono de tálus</t>
  </si>
  <si>
    <t>Dld</t>
  </si>
  <si>
    <t>Loma denudada</t>
  </si>
  <si>
    <t>Dlde</t>
  </si>
  <si>
    <t>Lomo denudado</t>
  </si>
  <si>
    <t>Dli</t>
  </si>
  <si>
    <t>Ladera inclinada</t>
  </si>
  <si>
    <t>Dlo</t>
  </si>
  <si>
    <t>Ladera ondulada</t>
  </si>
  <si>
    <t>Faftca</t>
  </si>
  <si>
    <t>Abanico fluviotorrencial coalescente antiguo</t>
  </si>
  <si>
    <t>Fea</t>
  </si>
  <si>
    <t>Escarpe de abanico</t>
  </si>
  <si>
    <t>Fpi</t>
  </si>
  <si>
    <t>Plano o llanura de inundación</t>
  </si>
  <si>
    <t>Ftab</t>
  </si>
  <si>
    <t>Terraza de acumulación baja</t>
  </si>
  <si>
    <t>Depósitos aluviales y de llanuras aluviales</t>
  </si>
  <si>
    <t>Abanicos aluviales y depósitos coluviales</t>
  </si>
  <si>
    <t>Se</t>
  </si>
  <si>
    <t>Espinazo</t>
  </si>
  <si>
    <t>Slcp</t>
  </si>
  <si>
    <t>Ladera contrapendiente</t>
  </si>
  <si>
    <t>Sle</t>
  </si>
  <si>
    <t>Ladera estructural</t>
  </si>
  <si>
    <t>Sles</t>
  </si>
  <si>
    <t>Ladera escalonada</t>
  </si>
  <si>
    <t>Slesc</t>
  </si>
  <si>
    <t>Ladera escarpada</t>
  </si>
  <si>
    <t>Slfe</t>
  </si>
  <si>
    <t>Escarpe de línea de falla</t>
  </si>
  <si>
    <t>UGM</t>
  </si>
  <si>
    <t>Plano</t>
  </si>
  <si>
    <t>Ligeramente plano</t>
  </si>
  <si>
    <t>Ligeramente inclinado</t>
  </si>
  <si>
    <t>Fuertemente ondulado</t>
  </si>
  <si>
    <t>Fuertemente quebrado</t>
  </si>
  <si>
    <t>Escarpado</t>
  </si>
  <si>
    <t>Muy escarpado</t>
  </si>
  <si>
    <t>UCS</t>
  </si>
  <si>
    <t>UCS_F</t>
  </si>
  <si>
    <t>MPH</t>
  </si>
  <si>
    <t>MPHef1</t>
  </si>
  <si>
    <t>Arcillolitas con inclusiones de esquistos</t>
  </si>
  <si>
    <t>40, 35, 25</t>
  </si>
  <si>
    <t>MUJ</t>
  </si>
  <si>
    <t>MUJef1</t>
  </si>
  <si>
    <t>Esquistos, filitas y conglomerados brechados</t>
  </si>
  <si>
    <t>45, 30, 25</t>
  </si>
  <si>
    <t>MUO</t>
  </si>
  <si>
    <t>MUOef1</t>
  </si>
  <si>
    <t>Areniscas y arcillolitas intercaladas</t>
  </si>
  <si>
    <t>40, 30, 25</t>
  </si>
  <si>
    <t>PVC</t>
  </si>
  <si>
    <t>PVCap</t>
  </si>
  <si>
    <t>Sedimentos mixtos aluviales que recubren depósitos de cantos y gravas bastante alterados</t>
  </si>
  <si>
    <t>75, 25</t>
  </si>
  <si>
    <t>RVH</t>
  </si>
  <si>
    <t>RVHay</t>
  </si>
  <si>
    <t>Depósitos mixtos aluviales</t>
  </si>
  <si>
    <t>45, 35</t>
  </si>
  <si>
    <t>RVO</t>
  </si>
  <si>
    <t>RVOax</t>
  </si>
  <si>
    <t>Cantos, gravas y arenas aluviales</t>
  </si>
  <si>
    <t xml:space="preserve"> </t>
  </si>
  <si>
    <t>ZU</t>
  </si>
  <si>
    <t>Zona urbana</t>
  </si>
  <si>
    <t>Litología</t>
  </si>
  <si>
    <t>Porcentaje</t>
  </si>
  <si>
    <t>Intervalo (mm)</t>
  </si>
  <si>
    <t>4348 - 4400</t>
  </si>
  <si>
    <t>4400 - 4500</t>
  </si>
  <si>
    <t>4500 - 4600</t>
  </si>
  <si>
    <t>4600 - 4700</t>
  </si>
  <si>
    <t>4700 - 4800</t>
  </si>
  <si>
    <t>4800 - 4900</t>
  </si>
  <si>
    <t>4900 - 5000</t>
  </si>
  <si>
    <t>&gt; 5000</t>
  </si>
  <si>
    <t>6 - 12</t>
  </si>
  <si>
    <t>12 - 18</t>
  </si>
  <si>
    <t>18 - 24</t>
  </si>
  <si>
    <t>24 - 30</t>
  </si>
  <si>
    <t>30 - 36</t>
  </si>
  <si>
    <t>&gt; 36</t>
  </si>
  <si>
    <t>0 - 6</t>
  </si>
  <si>
    <t>Intervalo (°)</t>
  </si>
  <si>
    <t>Categoría</t>
  </si>
  <si>
    <t>Factor</t>
  </si>
  <si>
    <t>Wi+</t>
  </si>
  <si>
    <t>Wi-</t>
  </si>
  <si>
    <t>Wf</t>
  </si>
  <si>
    <t>Npx1</t>
  </si>
  <si>
    <t>Npx2</t>
  </si>
  <si>
    <t>Npx3</t>
  </si>
  <si>
    <t>Npx4</t>
  </si>
  <si>
    <t>Nsclass</t>
  </si>
  <si>
    <t>Pendiente</t>
  </si>
  <si>
    <t>437 - 500</t>
  </si>
  <si>
    <t>500 - 600</t>
  </si>
  <si>
    <t>600 - 700</t>
  </si>
  <si>
    <t>700 - 800</t>
  </si>
  <si>
    <t>800 - 900</t>
  </si>
  <si>
    <t>&gt; 900</t>
  </si>
  <si>
    <t>Relieve</t>
  </si>
  <si>
    <t>Reclass</t>
  </si>
  <si>
    <t>Curvatura</t>
  </si>
  <si>
    <t>Geología</t>
  </si>
  <si>
    <t>Geomorfología</t>
  </si>
  <si>
    <t>Suelos</t>
  </si>
  <si>
    <t>Distancia a drenajes</t>
  </si>
  <si>
    <t>Cobertura vegetal</t>
  </si>
  <si>
    <t>Precipitación</t>
  </si>
  <si>
    <t>Area (m²)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</si>
</sst>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5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u/>
      <sz val="12"/>
      <color theme="10"/>
      <name val="Times New Roman"/>
      <family val="2"/>
    </font>
    <font>
      <b/>
      <sz val="12"/>
      <name val="Times New Roman"/>
      <family val="2"/>
    </font>
    <font>
      <sz val="12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9" fontId="0" fillId="0" borderId="0" xfId="1" applyFont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center" vertical="center"/>
    </xf>
    <xf numFmtId="10" fontId="0" fillId="0" borderId="0" xfId="1" applyNumberFormat="1" applyFont="1"/>
    <xf numFmtId="2" fontId="0" fillId="0" borderId="0" xfId="0" applyNumberFormat="1" applyAlignment="1">
      <alignment horizontal="center" vertical="center"/>
    </xf>
    <xf numFmtId="9" fontId="1" fillId="0" borderId="0" xfId="1" applyFont="1" applyAlignment="1">
      <alignment horizontal="center" vertical="center"/>
    </xf>
    <xf numFmtId="2" fontId="0" fillId="0" borderId="0" xfId="0" applyNumberFormat="1"/>
    <xf numFmtId="10" fontId="0" fillId="0" borderId="0" xfId="1" applyNumberFormat="1" applyFont="1" applyAlignment="1">
      <alignment horizontal="center"/>
    </xf>
    <xf numFmtId="9" fontId="0" fillId="0" borderId="0" xfId="1" applyFon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1" applyNumberFormat="1" applyFont="1" applyAlignment="1">
      <alignment horizontal="center" vertical="center"/>
    </xf>
    <xf numFmtId="2" fontId="0" fillId="0" borderId="0" xfId="1" applyNumberFormat="1" applyFont="1" applyAlignment="1">
      <alignment horizontal="center"/>
    </xf>
    <xf numFmtId="0" fontId="2" fillId="0" borderId="0" xfId="2"/>
    <xf numFmtId="10" fontId="1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16" fontId="0" fillId="0" borderId="0" xfId="0" quotePrefix="1" applyNumberFormat="1" applyAlignment="1">
      <alignment horizont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0" fillId="0" borderId="0" xfId="0" applyNumberForma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9" fontId="0" fillId="0" borderId="0" xfId="1" applyFont="1"/>
    <xf numFmtId="10" fontId="0" fillId="4" borderId="0" xfId="1" applyNumberFormat="1" applyFont="1" applyFill="1" applyAlignment="1">
      <alignment horizontal="center" vertical="center"/>
    </xf>
    <xf numFmtId="10" fontId="0" fillId="0" borderId="0" xfId="1" applyNumberFormat="1" applyFont="1" applyFill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1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14" formatCode="0.00%"/>
      <alignment horizontal="center" vertical="bottom" textRotation="0" wrapText="0" indent="0" justifyLastLine="0" shrinkToFit="0" readingOrder="0"/>
    </dxf>
    <dxf>
      <numFmt numFmtId="14" formatCode="0.00%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14" formatCode="0.00%"/>
      <alignment horizontal="center" vertical="bottom" textRotation="0" wrapText="0" indent="0" justifyLastLine="0" shrinkToFit="0" readingOrder="0"/>
    </dxf>
    <dxf>
      <numFmt numFmtId="14" formatCode="0.00%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2" formatCode="0.00"/>
      <fill>
        <patternFill patternType="solid">
          <fgColor theme="0" tint="-0.14999847407452621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3" formatCode="0%"/>
      <alignment horizontal="center" vertical="bottom" textRotation="0" wrapText="0" indent="0" justifyLastLine="0" shrinkToFit="0" readingOrder="0"/>
    </dxf>
    <dxf>
      <numFmt numFmtId="14" formatCode="0.00%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3" formatCode="0%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2"/>
        <scheme val="none"/>
      </font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BADF88D-3D58-4D02-A744-57CE1FBAB4FC}" name="Tabla10" displayName="Tabla10" ref="A1:C31" totalsRowCount="1" headerRowDxfId="115" dataDxfId="114">
  <autoFilter ref="A1:C30" xr:uid="{7BADF88D-3D58-4D02-A744-57CE1FBAB4FC}"/>
  <tableColumns count="3">
    <tableColumn id="1" xr3:uid="{18E33734-488B-405F-BEAD-05EF5251839A}" name="ID" totalsRowLabel="Total" dataDxfId="113" totalsRowDxfId="112"/>
    <tableColumn id="2" xr3:uid="{5046629B-E2D0-4379-993D-311DD55E4616}" name="Area (m²)" totalsRowFunction="sum" dataDxfId="111" totalsRowDxfId="110"/>
    <tableColumn id="3" xr3:uid="{649850B3-70D9-406D-ACB4-1587D196868B}" name="% Área" totalsRowFunction="sum" dataDxfId="109" totalsRowDxfId="108" dataCellStyle="Porcentaje" totalsRowCellStyle="Porcentaje">
      <calculatedColumnFormula>Tabla10[[#This Row],[Area (m²)]]/Tabla10[[#Totals],[Area (m²)]]</calculatedColumnFormula>
    </tableColumn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D06C140-D391-4872-8471-27367AC011A4}" name="Tabla8" displayName="Tabla8" ref="A1:G11" totalsRowCount="1" headerRowDxfId="26">
  <autoFilter ref="A1:G10" xr:uid="{4D06C140-D391-4872-8471-27367AC011A4}"/>
  <tableColumns count="7">
    <tableColumn id="1" xr3:uid="{0EE93086-5AD7-4361-85A8-CD054E84F4FF}" name="ID" totalsRowLabel="Total" dataDxfId="25" totalsRowDxfId="24"/>
    <tableColumn id="2" xr3:uid="{FD96C874-25E2-4688-A4AB-3317229334E2}" name="UCS" dataDxfId="23" totalsRowDxfId="22"/>
    <tableColumn id="3" xr3:uid="{1003E0A5-97DE-4999-8BEC-D7557C252255}" name="UCS_F" dataDxfId="21" totalsRowDxfId="20"/>
    <tableColumn id="7" xr3:uid="{6AE70F28-6E45-4006-AEA0-18A6BD7EBB3B}" name="Litología" dataDxfId="19"/>
    <tableColumn id="12" xr3:uid="{C1AB8A11-8518-4CE1-8367-1075B6B0AF1D}" name="Porcentaje" dataDxfId="18" totalsRowDxfId="17"/>
    <tableColumn id="4" xr3:uid="{044575A6-CAF8-4131-AC7A-787886C5CE97}" name="Área (ha)" totalsRowFunction="sum" dataDxfId="16" totalsRowDxfId="15"/>
    <tableColumn id="13" xr3:uid="{D1224F07-1D02-4253-86E9-6D4A21FBB02E}" name="% Área" totalsRowFunction="sum" dataDxfId="14" totalsRowDxfId="13" dataCellStyle="Porcentaje">
      <calculatedColumnFormula>Tabla8[[#This Row],[Área (ha)]]/Tabla8[[#Totals],[Área (ha)]]</calculatedColumnFormula>
    </tableColumn>
  </tableColumns>
  <tableStyleInfo name="TableStyleMedium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92B9EDE-59E8-4A66-8F02-FE144EED7224}" name="Tabla9" displayName="Tabla9" ref="A1:E10" totalsRowCount="1" headerRowDxfId="12" dataDxfId="11" totalsRowDxfId="10">
  <autoFilter ref="A1:E9" xr:uid="{792B9EDE-59E8-4A66-8F02-FE144EED7224}"/>
  <tableColumns count="5">
    <tableColumn id="1" xr3:uid="{F3762209-643C-47C4-835E-F5DD0A5E0971}" name="ID" totalsRowLabel="Total" dataDxfId="9" totalsRowDxfId="8"/>
    <tableColumn id="2" xr3:uid="{7704DF54-E5EC-40E5-925F-DE396C6A4836}" name="Intervalo (mm)" dataDxfId="7" totalsRowDxfId="6"/>
    <tableColumn id="3" xr3:uid="{EC12F387-9C57-4F76-B30B-E024B37360DF}" name="Número de píxeles" totalsRowFunction="sum" dataDxfId="5" totalsRowDxfId="4"/>
    <tableColumn id="4" xr3:uid="{0A5E517C-14CD-4025-A4AA-72009909C8E8}" name="Área (ha)" totalsRowFunction="sum" dataDxfId="3" totalsRowDxfId="2">
      <calculatedColumnFormula>(C2*(12.5*12.5))/10000</calculatedColumnFormula>
    </tableColumn>
    <tableColumn id="5" xr3:uid="{35F6B11F-EB21-4221-BD1C-B91FF0F6F633}" name="% Área" totalsRowFunction="sum" dataDxfId="1" totalsRowDxfId="0" dataCellStyle="Porcentaje" totalsRowCellStyle="Porcentaje">
      <calculatedColumnFormula>Tabla9[[#This Row],[Área (ha)]]/Tabla9[[#Totals],[Área (ha)]]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3A5ACB-2978-4816-A62A-7B630BC74D3A}" name="Tabla136" displayName="Tabla136" ref="E1:F24" totalsRowCount="1" headerRowDxfId="107" dataDxfId="106">
  <autoFilter ref="E1:F23" xr:uid="{4B3A5ACB-2978-4816-A62A-7B630BC74D3A}"/>
  <tableColumns count="2">
    <tableColumn id="1" xr3:uid="{673CA177-4F4C-48AD-AD35-A9B8654A4C1E}" name="ID" totalsRowLabel="Total" dataDxfId="105" totalsRowDxfId="104"/>
    <tableColumn id="2" xr3:uid="{45C82D70-A2D1-4589-8DB1-1C1B2EFCC949}" name="Número de píxeles" totalsRowFunction="sum" dataDxfId="103" totalsRowDxfId="102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BB9B12-F2BD-4D1A-8976-210448E67574}" name="Tabla1" displayName="Tabla1" ref="A1:D24" totalsRowCount="1" headerRowDxfId="101" dataDxfId="100">
  <autoFilter ref="A1:D23" xr:uid="{9DBB9B12-F2BD-4D1A-8976-210448E67574}"/>
  <tableColumns count="4">
    <tableColumn id="1" xr3:uid="{59656483-CB3B-4C26-B2CC-8FD926BF3CD0}" name="ID" totalsRowLabel="Total" dataDxfId="99" totalsRowDxfId="98"/>
    <tableColumn id="2" xr3:uid="{12E3AEF4-2300-4BFA-B618-7532A0A9D251}" name="Tipo de cobertura" dataDxfId="97" totalsRowDxfId="96"/>
    <tableColumn id="3" xr3:uid="{60C6B1A7-9DDA-486F-87D7-76F81FD03AEC}" name="Área (ha)" totalsRowFunction="sum" dataDxfId="95" totalsRowDxfId="94"/>
    <tableColumn id="4" xr3:uid="{01C44A4D-B0A7-4319-A93A-BABD1124D30A}" name="% Área" totalsRowFunction="sum" dataDxfId="93" totalsRowDxfId="92" dataCellStyle="Porcentaje" totalsRowCellStyle="Porcentaje">
      <calculatedColumnFormula>Tabla1[[#This Row],[Área (ha)]]/Tabla1[[#Totals],[Área (ha)]]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B74CDFF-2B31-4B7E-8EBB-7D8E6F67A8AB}" name="Tabla115" displayName="Tabla115" ref="A1:E21" totalsRowCount="1" headerRowDxfId="91" dataDxfId="90">
  <autoFilter ref="A1:E20" xr:uid="{7B74CDFF-2B31-4B7E-8EBB-7D8E6F67A8AB}"/>
  <tableColumns count="5">
    <tableColumn id="1" xr3:uid="{975BD33E-AD0B-403A-89FE-D2454559BDC9}" name="ID" totalsRowLabel="Total" dataDxfId="89" totalsRowDxfId="88"/>
    <tableColumn id="2" xr3:uid="{FDED29C7-C514-40F2-B155-FC3BF25FEBBE}" name="Tipo de cobertura" dataDxfId="87" totalsRowDxfId="86"/>
    <tableColumn id="5" xr3:uid="{C0A997DB-7257-48ED-B188-E8A75E14B179}" name="Número de píxeles" dataDxfId="85" totalsRowDxfId="84"/>
    <tableColumn id="3" xr3:uid="{627FCCFA-9B21-4851-B40A-E1E44B6909B6}" name="Área (ha)" totalsRowFunction="sum" dataDxfId="83" totalsRowDxfId="82">
      <calculatedColumnFormula>(C2*(12.5*12.5))/10000</calculatedColumnFormula>
    </tableColumn>
    <tableColumn id="4" xr3:uid="{AA523485-98B6-4B80-98BC-AD4E6CD4A582}" name="% Área" totalsRowFunction="sum" dataDxfId="81" totalsRowDxfId="80" dataCellStyle="Porcentaje">
      <calculatedColumnFormula>Tabla115[[#This Row],[Área (ha)]]/Tabla115[[#Totals],[Área (ha)]]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D6AC55-D76F-4428-AA0F-F52D84536FC9}" name="Tabla2" displayName="Tabla2" ref="A1:E7" totalsRowCount="1" headerRowDxfId="79" dataDxfId="78">
  <autoFilter ref="A1:E6" xr:uid="{13D6AC55-D76F-4428-AA0F-F52D84536FC9}"/>
  <tableColumns count="5">
    <tableColumn id="1" xr3:uid="{E4286433-20C7-44C3-BBED-655AF04803F7}" name="ID" totalsRowLabel="Total" dataDxfId="77" totalsRowDxfId="76"/>
    <tableColumn id="2" xr3:uid="{9FA5491D-CA35-4EA7-9FAA-FE9C5FB9BD3E}" name="Intervalos" dataDxfId="75" totalsRowDxfId="74"/>
    <tableColumn id="3" xr3:uid="{2B46F80C-1E96-4A8C-892C-F51332BBB0F6}" name="Número de píxeles" totalsRowFunction="sum" dataDxfId="73" totalsRowDxfId="72"/>
    <tableColumn id="4" xr3:uid="{B8288468-F21A-49A7-97CF-03DCC45EBB65}" name="Área (ha)" totalsRowFunction="sum" dataDxfId="71" totalsRowDxfId="70">
      <calculatedColumnFormula>(C2*(12.5*12.5))/10000</calculatedColumnFormula>
    </tableColumn>
    <tableColumn id="5" xr3:uid="{306DB0EA-FDE7-44C4-B105-0DF35CA39C30}" name="% Área" totalsRowFunction="sum" dataDxfId="69" totalsRowDxfId="68" dataCellStyle="Porcentaje" totalsRowCellStyle="Porcentaje">
      <calculatedColumnFormula>Tabla2[[#This Row],[Área (ha)]]/Tabla2[[#Totals],[Área (ha)]]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B7754AD-D36D-4DD1-BE71-BCB28857071F}" name="Tabla3" displayName="Tabla3" ref="A1:D7" totalsRowCount="1" headerRowDxfId="67" dataDxfId="66">
  <autoFilter ref="A1:D6" xr:uid="{9B7754AD-D36D-4DD1-BE71-BCB28857071F}"/>
  <tableColumns count="4">
    <tableColumn id="1" xr3:uid="{65A1E2BB-67F3-4E29-822F-0EEE91D3AD14}" name="ID" totalsRowLabel="Total" dataDxfId="65" totalsRowDxfId="64"/>
    <tableColumn id="2" xr3:uid="{1D71E33C-4A51-40AA-95B8-C6D3A6352365}" name="Intervalo (m)" dataDxfId="63" totalsRowDxfId="62"/>
    <tableColumn id="3" xr3:uid="{BADBD6CE-2A9C-4CE5-A3AC-070F769BF63B}" name="Área (ha)" totalsRowFunction="sum" dataDxfId="61" totalsRowDxfId="60"/>
    <tableColumn id="4" xr3:uid="{36C2D9CB-E242-46DE-A407-30146D5A5654}" name="% Área" totalsRowFunction="sum" dataDxfId="59" totalsRowDxfId="58" dataCellStyle="Porcentaje" totalsRowCellStyle="Porcentaje">
      <calculatedColumnFormula>Tabla3[[#This Row],[Área (ha)]]/Tabla3[[#Totals],[Área (ha)]]</calculatedColumnFormula>
    </tableColumn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C9EEAE4-D619-49F6-B1CC-E410AA732FA0}" name="Tabla4" displayName="Tabla4" ref="A1:E8" totalsRowCount="1" headerRowDxfId="57" dataDxfId="56">
  <autoFilter ref="A1:E7" xr:uid="{9C9EEAE4-D619-49F6-B1CC-E410AA732FA0}"/>
  <tableColumns count="5">
    <tableColumn id="1" xr3:uid="{A8F1DB5E-2713-4414-B1F2-7473730EC9A2}" name="ID" totalsRowLabel="Total" dataDxfId="55" totalsRowDxfId="54"/>
    <tableColumn id="2" xr3:uid="{BA19EEA1-5806-48F5-8A52-8824D89E4934}" name="Intervalo (msnm)" dataDxfId="53" totalsRowDxfId="52"/>
    <tableColumn id="3" xr3:uid="{1454EA6E-FF82-463E-AFF5-D05B0B1FA638}" name="Número de píxeles" totalsRowFunction="sum" dataDxfId="51" totalsRowDxfId="50"/>
    <tableColumn id="4" xr3:uid="{5738D7D3-FDDE-45EB-985A-03648B120789}" name="Área (ha)" totalsRowFunction="sum" dataDxfId="49" totalsRowDxfId="48">
      <calculatedColumnFormula>(C2*(12.5*12.5))/10000</calculatedColumnFormula>
    </tableColumn>
    <tableColumn id="5" xr3:uid="{5ABF62DA-E9B3-42EB-9FE6-9010C26FDD28}" name="% Área " totalsRowFunction="sum" dataDxfId="47" totalsRowDxfId="46" dataCellStyle="Porcentaje" totalsRowCellStyle="Porcentaje">
      <calculatedColumnFormula>Tabla4[[#This Row],[Área (ha)]]/Tabla4[[#Totals],[Área (ha)]]</calculatedColumnFormula>
    </tableColumn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95FA58F-B36D-4381-B3A2-EA5E35E0EE82}" name="Tabla6" displayName="Tabla6" ref="A1:E23" totalsRowCount="1">
  <autoFilter ref="A1:E22" xr:uid="{C95FA58F-B36D-4381-B3A2-EA5E35E0EE82}"/>
  <tableColumns count="5">
    <tableColumn id="1" xr3:uid="{DFBBFB15-4FBD-4743-978C-18E81AB4561F}" name="ID" totalsRowLabel="Total" dataDxfId="45" totalsRowDxfId="44"/>
    <tableColumn id="2" xr3:uid="{59210377-1886-4825-A5B3-3DB3C4E0BE00}" name="UGM" dataDxfId="43" totalsRowDxfId="42"/>
    <tableColumn id="3" xr3:uid="{BFEB1456-9ED1-4FD4-94A0-C124F0A84581}" name="Descripción"/>
    <tableColumn id="4" xr3:uid="{C7664BA8-8144-481B-AD33-0E62BAAB8DDC}" name="Área (ha)" totalsRowFunction="sum" dataDxfId="41" totalsRowDxfId="40"/>
    <tableColumn id="5" xr3:uid="{C15B515B-388C-4F7A-9CFB-F1746311D485}" name="% Área" totalsRowFunction="sum" dataDxfId="39" totalsRowDxfId="38" dataCellStyle="Porcentaje" totalsRowCellStyle="Porcentaje">
      <calculatedColumnFormula>Tabla6[[#This Row],[Área (ha)]]/Tabla6[[#Totals],[Área (ha)]]</calculatedColumnFormula>
    </tableColumn>
  </tableColumns>
  <tableStyleInfo name="TableStyleMedium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7733101-7D8C-46FF-BA9A-21BED6FC0276}" name="Tabla7" displayName="Tabla7" ref="A1:F9" totalsRowCount="1" headerRowDxfId="37">
  <autoFilter ref="A1:F8" xr:uid="{B7733101-7D8C-46FF-BA9A-21BED6FC0276}"/>
  <tableColumns count="6">
    <tableColumn id="1" xr3:uid="{B8A3F0DB-E2B8-411A-84F6-8170CDBDCE2B}" name="ID" totalsRowLabel="Total" dataDxfId="36" totalsRowDxfId="35"/>
    <tableColumn id="2" xr3:uid="{53660BD0-37A6-4B82-BBD3-4C599BB333D0}" name="Intervalo (°)" dataDxfId="34" totalsRowDxfId="33"/>
    <tableColumn id="3" xr3:uid="{CC117420-CC74-4F40-B245-849A177F641E}" name="Descripción"/>
    <tableColumn id="4" xr3:uid="{ACDA51A1-DB95-4DB6-9622-A507D5208BEB}" name="Número de píxeles" totalsRowFunction="sum" dataDxfId="32" totalsRowDxfId="31"/>
    <tableColumn id="5" xr3:uid="{D3645915-42DF-4ECB-876D-CF0146980E8B}" name="Área (ha)" totalsRowFunction="sum" dataDxfId="30" totalsRowDxfId="29" dataCellStyle="Porcentaje">
      <calculatedColumnFormula>(D2*(12.5*12.5))/10000</calculatedColumnFormula>
    </tableColumn>
    <tableColumn id="6" xr3:uid="{4C92585B-EE85-4836-9A04-B81A03377C8C}" name="% Área" totalsRowFunction="sum" dataDxfId="28" totalsRowDxfId="27" dataCellStyle="Porcentaje">
      <calculatedColumnFormula>Tabla7[[#This Row],[Área (ha)]]/Tabla7[[#Totals],[Área (ha)]]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AD02F-408A-4166-9E0F-F23AEB69DBB8}">
  <dimension ref="A1:F31"/>
  <sheetViews>
    <sheetView topLeftCell="B1" workbookViewId="0">
      <selection activeCell="I10" sqref="I10"/>
    </sheetView>
  </sheetViews>
  <sheetFormatPr baseColWidth="10" defaultRowHeight="15.75" x14ac:dyDescent="0.25"/>
  <cols>
    <col min="2" max="2" width="15.875" customWidth="1"/>
    <col min="3" max="3" width="14.625" style="56" customWidth="1"/>
    <col min="5" max="5" width="7.125" bestFit="1" customWidth="1"/>
    <col min="6" max="6" width="20.75" bestFit="1" customWidth="1"/>
  </cols>
  <sheetData>
    <row r="1" spans="1:6" x14ac:dyDescent="0.25">
      <c r="A1" s="2" t="s">
        <v>22</v>
      </c>
      <c r="B1" s="2" t="s">
        <v>176</v>
      </c>
      <c r="C1" s="4" t="s">
        <v>25</v>
      </c>
      <c r="E1" s="2" t="s">
        <v>22</v>
      </c>
      <c r="F1" s="2" t="s">
        <v>33</v>
      </c>
    </row>
    <row r="2" spans="1:6" x14ac:dyDescent="0.25">
      <c r="A2" s="2">
        <v>1</v>
      </c>
      <c r="B2" s="9">
        <v>17.650773999999998</v>
      </c>
      <c r="C2" s="5">
        <f>Tabla10[[#This Row],[Area (m²)]]/Tabla10[[#Totals],[Area (m²)]]</f>
        <v>2.1867877391400204E-3</v>
      </c>
      <c r="E2" s="2">
        <v>1</v>
      </c>
      <c r="F2" s="2">
        <v>6</v>
      </c>
    </row>
    <row r="3" spans="1:6" x14ac:dyDescent="0.25">
      <c r="A3" s="2">
        <v>2</v>
      </c>
      <c r="B3" s="9">
        <v>1014.764574</v>
      </c>
      <c r="C3" s="57">
        <f>Tabla10[[#This Row],[Area (m²)]]/Tabla10[[#Totals],[Area (m²)]]</f>
        <v>0.12572110030624414</v>
      </c>
      <c r="E3" s="2">
        <v>2</v>
      </c>
      <c r="F3" s="2">
        <v>1</v>
      </c>
    </row>
    <row r="4" spans="1:6" x14ac:dyDescent="0.25">
      <c r="A4" s="2">
        <v>3</v>
      </c>
      <c r="B4" s="9">
        <v>95.847836999999998</v>
      </c>
      <c r="C4" s="5">
        <f>Tabla10[[#This Row],[Area (m²)]]/Tabla10[[#Totals],[Area (m²)]]</f>
        <v>1.1874769614901375E-2</v>
      </c>
      <c r="E4" s="2">
        <v>3</v>
      </c>
      <c r="F4" s="2">
        <v>1</v>
      </c>
    </row>
    <row r="5" spans="1:6" x14ac:dyDescent="0.25">
      <c r="A5" s="2">
        <v>4</v>
      </c>
      <c r="B5" s="9">
        <v>155.37805499999999</v>
      </c>
      <c r="C5" s="5">
        <f>Tabla10[[#This Row],[Area (m²)]]/Tabla10[[#Totals],[Area (m²)]]</f>
        <v>1.9250080795631043E-2</v>
      </c>
      <c r="E5" s="2">
        <v>4</v>
      </c>
      <c r="F5" s="2">
        <v>3</v>
      </c>
    </row>
    <row r="6" spans="1:6" x14ac:dyDescent="0.25">
      <c r="A6" s="2">
        <v>5</v>
      </c>
      <c r="B6" s="9">
        <v>350.80715300000003</v>
      </c>
      <c r="C6" s="58">
        <f>Tabla10[[#This Row],[Area (m²)]]/Tabla10[[#Totals],[Area (m²)]]</f>
        <v>4.3462160978494049E-2</v>
      </c>
      <c r="E6" s="2">
        <v>5</v>
      </c>
      <c r="F6" s="2">
        <v>3</v>
      </c>
    </row>
    <row r="7" spans="1:6" x14ac:dyDescent="0.25">
      <c r="A7" s="2">
        <v>6</v>
      </c>
      <c r="B7" s="9">
        <v>474.82453800000002</v>
      </c>
      <c r="C7" s="57">
        <f>Tabla10[[#This Row],[Area (m²)]]/Tabla10[[#Totals],[Area (m²)]]</f>
        <v>5.882690911691605E-2</v>
      </c>
      <c r="E7" s="2">
        <v>6</v>
      </c>
      <c r="F7" s="2">
        <v>4</v>
      </c>
    </row>
    <row r="8" spans="1:6" x14ac:dyDescent="0.25">
      <c r="A8" s="2">
        <v>7</v>
      </c>
      <c r="B8" s="9">
        <v>8.992191</v>
      </c>
      <c r="C8" s="5">
        <f>Tabla10[[#This Row],[Area (m²)]]/Tabla10[[#Totals],[Area (m²)]]</f>
        <v>1.1140595322791647E-3</v>
      </c>
      <c r="E8" s="2">
        <v>7</v>
      </c>
      <c r="F8" s="2">
        <v>1</v>
      </c>
    </row>
    <row r="9" spans="1:6" x14ac:dyDescent="0.25">
      <c r="A9" s="2">
        <v>8</v>
      </c>
      <c r="B9" s="9">
        <v>313.62318800000003</v>
      </c>
      <c r="C9" s="5">
        <f>Tabla10[[#This Row],[Area (m²)]]/Tabla10[[#Totals],[Area (m²)]]</f>
        <v>3.8855369301561825E-2</v>
      </c>
      <c r="E9" s="2">
        <v>8</v>
      </c>
      <c r="F9" s="2">
        <v>1</v>
      </c>
    </row>
    <row r="10" spans="1:6" x14ac:dyDescent="0.25">
      <c r="A10" s="2">
        <v>9</v>
      </c>
      <c r="B10" s="9">
        <v>118.167799</v>
      </c>
      <c r="C10" s="5">
        <f>Tabla10[[#This Row],[Area (m²)]]/Tabla10[[#Totals],[Area (m²)]]</f>
        <v>1.4640031877036235E-2</v>
      </c>
      <c r="E10" s="2">
        <v>9</v>
      </c>
      <c r="F10" s="2">
        <v>1</v>
      </c>
    </row>
    <row r="11" spans="1:6" x14ac:dyDescent="0.25">
      <c r="A11" s="2">
        <v>10</v>
      </c>
      <c r="B11" s="9">
        <v>56.164122999999996</v>
      </c>
      <c r="C11" s="5">
        <f>Tabla10[[#This Row],[Area (m²)]]/Tabla10[[#Totals],[Area (m²)]]</f>
        <v>6.9582793114880978E-3</v>
      </c>
      <c r="E11" s="2">
        <v>10</v>
      </c>
      <c r="F11" s="2">
        <v>1</v>
      </c>
    </row>
    <row r="12" spans="1:6" x14ac:dyDescent="0.25">
      <c r="A12" s="2">
        <v>11</v>
      </c>
      <c r="B12" s="9">
        <v>32.906371999999998</v>
      </c>
      <c r="C12" s="5">
        <f>Tabla10[[#This Row],[Area (m²)]]/Tabla10[[#Totals],[Area (m²)]]</f>
        <v>4.0768325983427389E-3</v>
      </c>
      <c r="E12" s="2">
        <v>11</v>
      </c>
      <c r="F12" s="2">
        <v>4</v>
      </c>
    </row>
    <row r="13" spans="1:6" x14ac:dyDescent="0.25">
      <c r="A13" s="2">
        <v>12</v>
      </c>
      <c r="B13" s="9">
        <v>175.61728500000001</v>
      </c>
      <c r="C13" s="5">
        <f>Tabla10[[#This Row],[Area (m²)]]/Tabla10[[#Totals],[Area (m²)]]</f>
        <v>2.1757557239079638E-2</v>
      </c>
      <c r="E13" s="2">
        <v>12</v>
      </c>
      <c r="F13" s="2">
        <v>3</v>
      </c>
    </row>
    <row r="14" spans="1:6" x14ac:dyDescent="0.25">
      <c r="A14" s="2">
        <v>13</v>
      </c>
      <c r="B14" s="9">
        <v>34.797158000000003</v>
      </c>
      <c r="C14" s="5">
        <f>Tabla10[[#This Row],[Area (m²)]]/Tabla10[[#Totals],[Area (m²)]]</f>
        <v>4.3110856482167911E-3</v>
      </c>
      <c r="E14" s="2">
        <v>13</v>
      </c>
      <c r="F14" s="2">
        <v>3</v>
      </c>
    </row>
    <row r="15" spans="1:6" x14ac:dyDescent="0.25">
      <c r="A15" s="2">
        <v>14</v>
      </c>
      <c r="B15" s="9">
        <v>67.697267999999994</v>
      </c>
      <c r="C15" s="5">
        <f>Tabla10[[#This Row],[Area (m²)]]/Tabla10[[#Totals],[Area (m²)]]</f>
        <v>8.387142435548495E-3</v>
      </c>
      <c r="E15" s="2">
        <v>14</v>
      </c>
      <c r="F15" s="2">
        <v>2</v>
      </c>
    </row>
    <row r="16" spans="1:6" x14ac:dyDescent="0.25">
      <c r="A16" s="2">
        <v>15</v>
      </c>
      <c r="B16" s="9">
        <v>91.467725999999999</v>
      </c>
      <c r="C16" s="5">
        <f>Tabla10[[#This Row],[Area (m²)]]/Tabla10[[#Totals],[Area (m²)]]</f>
        <v>1.1332109387600729E-2</v>
      </c>
      <c r="E16" s="2">
        <v>15</v>
      </c>
      <c r="F16" s="2">
        <v>1</v>
      </c>
    </row>
    <row r="17" spans="1:6" x14ac:dyDescent="0.25">
      <c r="A17" s="2">
        <v>16</v>
      </c>
      <c r="B17" s="9">
        <v>25.891131000000001</v>
      </c>
      <c r="C17" s="5">
        <f>Tabla10[[#This Row],[Area (m²)]]/Tabla10[[#Totals],[Area (m²)]]</f>
        <v>3.2077011366905554E-3</v>
      </c>
      <c r="E17" s="2">
        <v>16</v>
      </c>
      <c r="F17" s="2">
        <v>2</v>
      </c>
    </row>
    <row r="18" spans="1:6" x14ac:dyDescent="0.25">
      <c r="A18" s="2">
        <v>17</v>
      </c>
      <c r="B18" s="9">
        <v>637.35690999999997</v>
      </c>
      <c r="C18" s="57">
        <f>Tabla10[[#This Row],[Area (m²)]]/Tabla10[[#Totals],[Area (m²)]]</f>
        <v>7.8963351762600859E-2</v>
      </c>
      <c r="E18" s="2">
        <v>17</v>
      </c>
      <c r="F18" s="2">
        <v>2</v>
      </c>
    </row>
    <row r="19" spans="1:6" x14ac:dyDescent="0.25">
      <c r="A19" s="2">
        <v>18</v>
      </c>
      <c r="B19" s="9">
        <v>500.47889800000002</v>
      </c>
      <c r="C19" s="57">
        <f>Tabla10[[#This Row],[Area (m²)]]/Tabla10[[#Totals],[Area (m²)]]</f>
        <v>6.2005276247076128E-2</v>
      </c>
      <c r="E19" s="2">
        <v>18</v>
      </c>
      <c r="F19" s="2">
        <v>4</v>
      </c>
    </row>
    <row r="20" spans="1:6" x14ac:dyDescent="0.25">
      <c r="A20" s="2">
        <v>19</v>
      </c>
      <c r="B20" s="9">
        <v>661.41920900000002</v>
      </c>
      <c r="C20" s="57">
        <f>Tabla10[[#This Row],[Area (m²)]]/Tabla10[[#Totals],[Area (m²)]]</f>
        <v>8.1944475447529419E-2</v>
      </c>
      <c r="E20" s="2">
        <v>19</v>
      </c>
      <c r="F20" s="2">
        <v>1</v>
      </c>
    </row>
    <row r="21" spans="1:6" x14ac:dyDescent="0.25">
      <c r="A21" s="2">
        <v>20</v>
      </c>
      <c r="B21" s="9">
        <v>310.49382600000001</v>
      </c>
      <c r="C21" s="5">
        <f>Tabla10[[#This Row],[Area (m²)]]/Tabla10[[#Totals],[Area (m²)]]</f>
        <v>3.846766673095893E-2</v>
      </c>
      <c r="E21" s="2">
        <v>20</v>
      </c>
      <c r="F21" s="2">
        <v>1</v>
      </c>
    </row>
    <row r="22" spans="1:6" x14ac:dyDescent="0.25">
      <c r="A22" s="2">
        <v>21</v>
      </c>
      <c r="B22" s="9">
        <v>198.13127700000001</v>
      </c>
      <c r="C22" s="5">
        <f>Tabla10[[#This Row],[Area (m²)]]/Tabla10[[#Totals],[Area (m²)]]</f>
        <v>2.454685824450277E-2</v>
      </c>
      <c r="E22" s="2">
        <v>21</v>
      </c>
      <c r="F22" s="2">
        <v>1</v>
      </c>
    </row>
    <row r="23" spans="1:6" x14ac:dyDescent="0.25">
      <c r="A23" s="2">
        <v>22</v>
      </c>
      <c r="B23" s="9">
        <v>431.40269499999999</v>
      </c>
      <c r="C23" s="5">
        <f>Tabla10[[#This Row],[Area (m²)]]/Tabla10[[#Totals],[Area (m²)]]</f>
        <v>5.3447294949103184E-2</v>
      </c>
      <c r="E23" s="2">
        <v>22</v>
      </c>
      <c r="F23" s="2">
        <v>3</v>
      </c>
    </row>
    <row r="24" spans="1:6" x14ac:dyDescent="0.25">
      <c r="A24" s="2">
        <v>23</v>
      </c>
      <c r="B24" s="9">
        <v>607.41161699999998</v>
      </c>
      <c r="C24" s="57">
        <f>Tabla10[[#This Row],[Area (m²)]]/Tabla10[[#Totals],[Area (m²)]]</f>
        <v>7.5253372836047522E-2</v>
      </c>
      <c r="E24" s="2" t="s">
        <v>26</v>
      </c>
      <c r="F24" s="2">
        <f>SUBTOTAL(109,Tabla136[Número de píxeles])</f>
        <v>49</v>
      </c>
    </row>
    <row r="25" spans="1:6" x14ac:dyDescent="0.25">
      <c r="A25" s="2">
        <v>24</v>
      </c>
      <c r="B25" s="9">
        <v>566.50266699999997</v>
      </c>
      <c r="C25" s="57">
        <f>Tabla10[[#This Row],[Area (m²)]]/Tabla10[[#Totals],[Area (m²)]]</f>
        <v>7.0185085729709176E-2</v>
      </c>
    </row>
    <row r="26" spans="1:6" x14ac:dyDescent="0.25">
      <c r="A26" s="2">
        <v>25</v>
      </c>
      <c r="B26" s="9">
        <v>226.13048000000001</v>
      </c>
      <c r="C26" s="5">
        <f>Tabla10[[#This Row],[Area (m²)]]/Tabla10[[#Totals],[Area (m²)]]</f>
        <v>2.8015732404134096E-2</v>
      </c>
    </row>
    <row r="27" spans="1:6" x14ac:dyDescent="0.25">
      <c r="A27" s="2">
        <v>26</v>
      </c>
      <c r="B27" s="9">
        <v>65.378715</v>
      </c>
      <c r="C27" s="5">
        <f>Tabla10[[#This Row],[Area (m²)]]/Tabla10[[#Totals],[Area (m²)]]</f>
        <v>8.0998925238479486E-3</v>
      </c>
    </row>
    <row r="28" spans="1:6" x14ac:dyDescent="0.25">
      <c r="A28" s="2">
        <v>27</v>
      </c>
      <c r="B28" s="9">
        <v>67.379446999999999</v>
      </c>
      <c r="C28" s="5">
        <f>Tabla10[[#This Row],[Area (m²)]]/Tabla10[[#Totals],[Area (m²)]]</f>
        <v>8.3477669913871663E-3</v>
      </c>
    </row>
    <row r="29" spans="1:6" x14ac:dyDescent="0.25">
      <c r="A29" s="2">
        <v>28</v>
      </c>
      <c r="B29" s="9">
        <v>70.844676000000007</v>
      </c>
      <c r="C29" s="5">
        <f>Tabla10[[#This Row],[Area (m²)]]/Tabla10[[#Totals],[Area (m²)]]</f>
        <v>8.7770807591863835E-3</v>
      </c>
    </row>
    <row r="30" spans="1:6" x14ac:dyDescent="0.25">
      <c r="A30" s="2">
        <v>29</v>
      </c>
      <c r="B30" s="9">
        <v>694.02580599999999</v>
      </c>
      <c r="C30" s="57">
        <f>Tabla10[[#This Row],[Area (m²)]]/Tabla10[[#Totals],[Area (m²)]]</f>
        <v>8.598416835474583E-2</v>
      </c>
    </row>
    <row r="31" spans="1:6" x14ac:dyDescent="0.25">
      <c r="A31" s="2" t="s">
        <v>26</v>
      </c>
      <c r="B31" s="9">
        <f>SUBTOTAL(109,Tabla10[Area (m²)])</f>
        <v>8071.5533949999972</v>
      </c>
      <c r="C31" s="10">
        <f>SUBTOTAL(109,Tabla10[% Área])</f>
        <v>1.0000000000000002</v>
      </c>
    </row>
  </sheetData>
  <sheetProtection algorithmName="SHA-512" hashValue="35thV5iWUxmB1/vEBcVqVl1xYcdVmeWm+U3znxElIRe0fIDHLvYNQMHkJBXT6JFoveBAEu2/6Q6UDhnciJOvbQ==" saltValue="23TklMVXkO4va2Fo48Gp5A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A1C81-380C-4F16-B80B-FE9FB3E8595D}">
  <dimension ref="A1:E10"/>
  <sheetViews>
    <sheetView workbookViewId="0">
      <selection activeCell="E6" sqref="E6"/>
    </sheetView>
  </sheetViews>
  <sheetFormatPr baseColWidth="10" defaultRowHeight="15.75" x14ac:dyDescent="0.25"/>
  <cols>
    <col min="2" max="2" width="15.125" customWidth="1"/>
    <col min="3" max="3" width="21.375" customWidth="1"/>
    <col min="4" max="4" width="14.375" customWidth="1"/>
    <col min="5" max="5" width="14.375" style="8" customWidth="1"/>
  </cols>
  <sheetData>
    <row r="1" spans="1:5" x14ac:dyDescent="0.25">
      <c r="A1" s="2" t="s">
        <v>22</v>
      </c>
      <c r="B1" s="2" t="s">
        <v>133</v>
      </c>
      <c r="C1" s="2" t="s">
        <v>33</v>
      </c>
      <c r="D1" s="2" t="s">
        <v>24</v>
      </c>
      <c r="E1" s="5" t="s">
        <v>25</v>
      </c>
    </row>
    <row r="2" spans="1:5" x14ac:dyDescent="0.25">
      <c r="A2" s="2">
        <v>1</v>
      </c>
      <c r="B2" s="2" t="s">
        <v>134</v>
      </c>
      <c r="C2" s="2">
        <v>2959</v>
      </c>
      <c r="D2" s="9">
        <f>(C2*(12.5*12.5))/10000</f>
        <v>46.234375</v>
      </c>
      <c r="E2" s="5">
        <f>Tabla9[[#This Row],[Área (ha)]]/Tabla9[[#Totals],[Área (ha)]]</f>
        <v>7.7321069272779541E-2</v>
      </c>
    </row>
    <row r="3" spans="1:5" x14ac:dyDescent="0.25">
      <c r="A3" s="2">
        <v>2</v>
      </c>
      <c r="B3" s="2" t="s">
        <v>135</v>
      </c>
      <c r="C3" s="2">
        <v>7404</v>
      </c>
      <c r="D3" s="9">
        <f t="shared" ref="D3:D9" si="0">(C3*(12.5*12.5))/10000</f>
        <v>115.6875</v>
      </c>
      <c r="E3" s="5">
        <f>Tabla9[[#This Row],[Área (ha)]]/Tabla9[[#Totals],[Área (ha)]]</f>
        <v>0.19347252345240273</v>
      </c>
    </row>
    <row r="4" spans="1:5" x14ac:dyDescent="0.25">
      <c r="A4" s="2">
        <v>3</v>
      </c>
      <c r="B4" s="2" t="s">
        <v>136</v>
      </c>
      <c r="C4" s="2">
        <v>2355</v>
      </c>
      <c r="D4" s="9">
        <f t="shared" si="0"/>
        <v>36.796875</v>
      </c>
      <c r="E4" s="5">
        <f>Tabla9[[#This Row],[Área (ha)]]/Tabla9[[#Totals],[Área (ha)]]</f>
        <v>6.1538059525987093E-2</v>
      </c>
    </row>
    <row r="5" spans="1:5" x14ac:dyDescent="0.25">
      <c r="A5" s="2">
        <v>4</v>
      </c>
      <c r="B5" s="2" t="s">
        <v>137</v>
      </c>
      <c r="C5" s="2">
        <v>3603</v>
      </c>
      <c r="D5" s="9">
        <f t="shared" si="0"/>
        <v>56.296875</v>
      </c>
      <c r="E5" s="5">
        <f>Tabla9[[#This Row],[Área (ha)]]/Tabla9[[#Totals],[Área (ha)]]</f>
        <v>9.4149311453134391E-2</v>
      </c>
    </row>
    <row r="6" spans="1:5" x14ac:dyDescent="0.25">
      <c r="A6" s="2">
        <v>5</v>
      </c>
      <c r="B6" s="2" t="s">
        <v>138</v>
      </c>
      <c r="C6" s="2">
        <v>2882</v>
      </c>
      <c r="D6" s="9">
        <f t="shared" si="0"/>
        <v>45.03125</v>
      </c>
      <c r="E6" s="5">
        <f>Tabla9[[#This Row],[Área (ha)]]/Tabla9[[#Totals],[Área (ha)]]</f>
        <v>7.5308996838171882E-2</v>
      </c>
    </row>
    <row r="7" spans="1:5" x14ac:dyDescent="0.25">
      <c r="A7" s="2">
        <v>6</v>
      </c>
      <c r="B7" s="2" t="s">
        <v>139</v>
      </c>
      <c r="C7" s="2">
        <v>2779</v>
      </c>
      <c r="D7" s="9">
        <f t="shared" si="0"/>
        <v>43.421875</v>
      </c>
      <c r="E7" s="5">
        <f>Tabla9[[#This Row],[Área (ha)]]/Tabla9[[#Totals],[Área (ha)]]</f>
        <v>7.2617523321748673E-2</v>
      </c>
    </row>
    <row r="8" spans="1:5" x14ac:dyDescent="0.25">
      <c r="A8" s="2">
        <v>7</v>
      </c>
      <c r="B8" s="2" t="s">
        <v>140</v>
      </c>
      <c r="C8" s="2">
        <v>2881</v>
      </c>
      <c r="D8" s="9">
        <f t="shared" si="0"/>
        <v>45.015625</v>
      </c>
      <c r="E8" s="5">
        <f>Tabla9[[#This Row],[Área (ha)]]/Tabla9[[#Totals],[Área (ha)]]</f>
        <v>7.5282866027332834E-2</v>
      </c>
    </row>
    <row r="9" spans="1:5" x14ac:dyDescent="0.25">
      <c r="A9" s="2">
        <v>8</v>
      </c>
      <c r="B9" s="2" t="s">
        <v>141</v>
      </c>
      <c r="C9" s="2">
        <v>13406</v>
      </c>
      <c r="D9" s="9">
        <f t="shared" si="0"/>
        <v>209.46875</v>
      </c>
      <c r="E9" s="5">
        <f>Tabla9[[#This Row],[Área (ha)]]/Tabla9[[#Totals],[Área (ha)]]</f>
        <v>0.35030965010844284</v>
      </c>
    </row>
    <row r="10" spans="1:5" x14ac:dyDescent="0.25">
      <c r="A10" s="2" t="s">
        <v>26</v>
      </c>
      <c r="B10" s="2"/>
      <c r="C10" s="2">
        <f>SUBTOTAL(109,Tabla9[Número de píxeles])</f>
        <v>38269</v>
      </c>
      <c r="D10" s="9">
        <f>SUBTOTAL(109,Tabla9[Área (ha)])</f>
        <v>597.953125</v>
      </c>
      <c r="E10" s="10">
        <f>SUBTOTAL(109,Tabla9[% Área])</f>
        <v>0.99999999999999989</v>
      </c>
    </row>
  </sheetData>
  <sheetProtection algorithmName="SHA-512" hashValue="SnBPGErJvAiMo5E6vX/LZDCLYWs9iNZQ60yKFkHi+JiPFx/rtyq2agQguOSFYWdi1Ncqa8imlyIRxzDz6l8N5A==" saltValue="rY+S6+2WHYBo/zsSxxMFNw==" spinCount="100000" sheet="1" objects="1" scenarios="1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EDA34-C373-4052-836B-85DFE825D992}">
  <dimension ref="A1:K93"/>
  <sheetViews>
    <sheetView tabSelected="1" topLeftCell="A10" zoomScale="85" zoomScaleNormal="85" workbookViewId="0">
      <selection activeCell="N2" sqref="N2"/>
    </sheetView>
  </sheetViews>
  <sheetFormatPr baseColWidth="10" defaultColWidth="11.125" defaultRowHeight="15.75" x14ac:dyDescent="0.25"/>
  <cols>
    <col min="1" max="1" width="14.625" style="33" customWidth="1"/>
    <col min="2" max="2" width="15.5" style="2" customWidth="1"/>
    <col min="3" max="16384" width="11.125" style="2"/>
  </cols>
  <sheetData>
    <row r="1" spans="1:11" ht="16.5" thickBot="1" x14ac:dyDescent="0.3">
      <c r="A1" s="35" t="s">
        <v>151</v>
      </c>
      <c r="B1" s="24" t="s">
        <v>150</v>
      </c>
      <c r="C1" s="24" t="s">
        <v>168</v>
      </c>
      <c r="D1" s="24" t="s">
        <v>159</v>
      </c>
      <c r="E1" s="24" t="s">
        <v>155</v>
      </c>
      <c r="F1" s="24" t="s">
        <v>156</v>
      </c>
      <c r="G1" s="24" t="s">
        <v>157</v>
      </c>
      <c r="H1" s="24" t="s">
        <v>158</v>
      </c>
      <c r="I1" s="24" t="s">
        <v>152</v>
      </c>
      <c r="J1" s="24" t="s">
        <v>153</v>
      </c>
      <c r="K1" s="24" t="s">
        <v>154</v>
      </c>
    </row>
    <row r="2" spans="1:11" x14ac:dyDescent="0.25">
      <c r="A2" s="65" t="s">
        <v>160</v>
      </c>
      <c r="B2" s="25" t="s">
        <v>148</v>
      </c>
      <c r="C2" s="25">
        <v>1</v>
      </c>
      <c r="D2" s="25">
        <v>6091</v>
      </c>
      <c r="E2" s="25">
        <v>4</v>
      </c>
      <c r="F2" s="25">
        <f>SUM($E$2:$E$8)-E2</f>
        <v>45</v>
      </c>
      <c r="G2" s="25">
        <f t="shared" ref="G2:G9" si="0">D2-E2</f>
        <v>6087</v>
      </c>
      <c r="H2" s="25">
        <f>SUM($D$2:$D$8)-SUM($E$2:$E$8)-D2+E2</f>
        <v>32148</v>
      </c>
      <c r="I2" s="26">
        <f>IFERROR(LN((E2/(E2+F2))/(G2/(G2+H2))),0)</f>
        <v>-0.66792996000633498</v>
      </c>
      <c r="J2" s="26">
        <f>IFERROR(LN((F2/(E2+F2))/(H2/(G2+H2))),0)</f>
        <v>8.8243277805409623E-2</v>
      </c>
      <c r="K2" s="27">
        <f>I2-J2</f>
        <v>-0.75617323781174461</v>
      </c>
    </row>
    <row r="3" spans="1:11" x14ac:dyDescent="0.25">
      <c r="A3" s="66"/>
      <c r="B3" s="22" t="s">
        <v>142</v>
      </c>
      <c r="C3" s="22">
        <v>2</v>
      </c>
      <c r="D3" s="22">
        <v>5408</v>
      </c>
      <c r="E3" s="22">
        <v>8</v>
      </c>
      <c r="F3" s="22">
        <f t="shared" ref="F3:F8" si="1">SUM($E$2:$E$8)-E3</f>
        <v>41</v>
      </c>
      <c r="G3" s="22">
        <f t="shared" si="0"/>
        <v>5400</v>
      </c>
      <c r="H3" s="22">
        <f t="shared" ref="H3:H8" si="2">SUM($D$2:$D$8)-SUM($E$2:$E$8)-D3+E3</f>
        <v>32835</v>
      </c>
      <c r="I3" s="23">
        <f t="shared" ref="I3:I61" si="3">IFERROR(LN((E3/(E3+F3))/(G3/(G3+H3))),0)</f>
        <v>0.14497361649516882</v>
      </c>
      <c r="J3" s="23">
        <f t="shared" ref="J3:J68" si="4">IFERROR(LN((F3/(E3+F3))/(H3/(G3+H3))),0)</f>
        <v>-2.599192455306629E-2</v>
      </c>
      <c r="K3" s="28">
        <f>I3-J3</f>
        <v>0.17096554104823511</v>
      </c>
    </row>
    <row r="4" spans="1:11" x14ac:dyDescent="0.25">
      <c r="A4" s="66"/>
      <c r="B4" s="22" t="s">
        <v>143</v>
      </c>
      <c r="C4" s="22">
        <v>3</v>
      </c>
      <c r="D4" s="22">
        <v>6593</v>
      </c>
      <c r="E4" s="22">
        <v>9</v>
      </c>
      <c r="F4" s="22">
        <f t="shared" si="1"/>
        <v>40</v>
      </c>
      <c r="G4" s="22">
        <f t="shared" si="0"/>
        <v>6584</v>
      </c>
      <c r="H4" s="22">
        <f t="shared" si="2"/>
        <v>31651</v>
      </c>
      <c r="I4" s="23">
        <f t="shared" si="3"/>
        <v>6.4513142347012567E-2</v>
      </c>
      <c r="J4" s="23">
        <f t="shared" si="4"/>
        <v>-1.3959261168176591E-2</v>
      </c>
      <c r="K4" s="28">
        <f t="shared" ref="K4:K8" si="5">I4-J4</f>
        <v>7.8472403515189165E-2</v>
      </c>
    </row>
    <row r="5" spans="1:11" x14ac:dyDescent="0.25">
      <c r="A5" s="66"/>
      <c r="B5" s="22" t="s">
        <v>144</v>
      </c>
      <c r="C5" s="22">
        <v>4</v>
      </c>
      <c r="D5" s="22">
        <v>8190</v>
      </c>
      <c r="E5" s="22">
        <v>5</v>
      </c>
      <c r="F5" s="22">
        <f t="shared" si="1"/>
        <v>44</v>
      </c>
      <c r="G5" s="22">
        <f t="shared" si="0"/>
        <v>8185</v>
      </c>
      <c r="H5" s="22">
        <f t="shared" si="2"/>
        <v>30050</v>
      </c>
      <c r="I5" s="23">
        <f t="shared" si="3"/>
        <v>-0.74093427000343592</v>
      </c>
      <c r="J5" s="23">
        <f t="shared" si="4"/>
        <v>0.13325800132260635</v>
      </c>
      <c r="K5" s="28">
        <f t="shared" si="5"/>
        <v>-0.87419227132604227</v>
      </c>
    </row>
    <row r="6" spans="1:11" x14ac:dyDescent="0.25">
      <c r="A6" s="66"/>
      <c r="B6" s="22" t="s">
        <v>145</v>
      </c>
      <c r="C6" s="22">
        <v>5</v>
      </c>
      <c r="D6" s="22">
        <v>6786</v>
      </c>
      <c r="E6" s="22">
        <v>8</v>
      </c>
      <c r="F6" s="22">
        <f t="shared" si="1"/>
        <v>41</v>
      </c>
      <c r="G6" s="22">
        <f t="shared" si="0"/>
        <v>6778</v>
      </c>
      <c r="H6" s="22">
        <f t="shared" si="2"/>
        <v>31457</v>
      </c>
      <c r="I6" s="23">
        <f t="shared" si="3"/>
        <v>-8.2309503119461988E-2</v>
      </c>
      <c r="J6" s="23">
        <f t="shared" si="4"/>
        <v>1.6881561192982404E-2</v>
      </c>
      <c r="K6" s="28">
        <f t="shared" si="5"/>
        <v>-9.9191064312444399E-2</v>
      </c>
    </row>
    <row r="7" spans="1:11" x14ac:dyDescent="0.25">
      <c r="A7" s="66"/>
      <c r="B7" s="22" t="s">
        <v>146</v>
      </c>
      <c r="C7" s="22">
        <v>6</v>
      </c>
      <c r="D7" s="22">
        <v>3799</v>
      </c>
      <c r="E7" s="22">
        <v>10</v>
      </c>
      <c r="F7" s="22">
        <f t="shared" si="1"/>
        <v>39</v>
      </c>
      <c r="G7" s="22">
        <f t="shared" si="0"/>
        <v>3789</v>
      </c>
      <c r="H7" s="22">
        <f t="shared" si="2"/>
        <v>34446</v>
      </c>
      <c r="I7" s="23">
        <f t="shared" si="3"/>
        <v>0.72241398934314371</v>
      </c>
      <c r="J7" s="23">
        <f t="shared" si="4"/>
        <v>-0.12390020589834654</v>
      </c>
      <c r="K7" s="28">
        <f t="shared" si="5"/>
        <v>0.84631419524149021</v>
      </c>
    </row>
    <row r="8" spans="1:11" ht="16.5" thickBot="1" x14ac:dyDescent="0.3">
      <c r="A8" s="67"/>
      <c r="B8" s="29" t="s">
        <v>147</v>
      </c>
      <c r="C8" s="29">
        <v>7</v>
      </c>
      <c r="D8" s="29">
        <v>1417</v>
      </c>
      <c r="E8" s="29">
        <v>5</v>
      </c>
      <c r="F8" s="29">
        <f t="shared" si="1"/>
        <v>44</v>
      </c>
      <c r="G8" s="29">
        <f t="shared" si="0"/>
        <v>1412</v>
      </c>
      <c r="H8" s="29">
        <f t="shared" si="2"/>
        <v>36823</v>
      </c>
      <c r="I8" s="30">
        <f t="shared" si="3"/>
        <v>1.016361801748612</v>
      </c>
      <c r="J8" s="30">
        <f t="shared" si="4"/>
        <v>-7.0001987639904284E-2</v>
      </c>
      <c r="K8" s="31">
        <f t="shared" si="5"/>
        <v>1.0863637893885163</v>
      </c>
    </row>
    <row r="9" spans="1:11" x14ac:dyDescent="0.25">
      <c r="A9" s="68" t="s">
        <v>167</v>
      </c>
      <c r="B9" s="41" t="s">
        <v>161</v>
      </c>
      <c r="C9" s="41">
        <v>1</v>
      </c>
      <c r="D9" s="41">
        <v>3574</v>
      </c>
      <c r="E9" s="41">
        <v>0</v>
      </c>
      <c r="F9" s="41">
        <f>SUM($E$9:$E$14)-E9</f>
        <v>49</v>
      </c>
      <c r="G9" s="41">
        <f t="shared" si="0"/>
        <v>3574</v>
      </c>
      <c r="H9" s="41">
        <f>SUM($D$9:$D$14)-SUM($E$9:$E$14)-D9+E9</f>
        <v>34600</v>
      </c>
      <c r="I9" s="42">
        <f t="shared" si="3"/>
        <v>0</v>
      </c>
      <c r="J9" s="42">
        <f t="shared" si="4"/>
        <v>9.8300973544022036E-2</v>
      </c>
      <c r="K9" s="43">
        <f>I9-J9</f>
        <v>-9.8300973544022036E-2</v>
      </c>
    </row>
    <row r="10" spans="1:11" x14ac:dyDescent="0.25">
      <c r="A10" s="69"/>
      <c r="B10" s="44" t="s">
        <v>162</v>
      </c>
      <c r="C10" s="44">
        <v>2</v>
      </c>
      <c r="D10" s="44">
        <v>3831</v>
      </c>
      <c r="E10" s="44">
        <v>17</v>
      </c>
      <c r="F10" s="44">
        <f t="shared" ref="F10:F13" si="6">SUM($E$9:$E$14)-E10</f>
        <v>32</v>
      </c>
      <c r="G10" s="44">
        <f t="shared" ref="G10:G61" si="7">D10-E10</f>
        <v>3814</v>
      </c>
      <c r="H10" s="44">
        <f t="shared" ref="H10:H14" si="8">SUM($D$9:$D$14)-SUM($E$9:$E$14)-D10+E10</f>
        <v>34360</v>
      </c>
      <c r="I10" s="45">
        <f t="shared" si="3"/>
        <v>1.2448691943750627</v>
      </c>
      <c r="J10" s="45">
        <f t="shared" si="4"/>
        <v>-0.32082283681925416</v>
      </c>
      <c r="K10" s="46">
        <f t="shared" ref="K10:K73" si="9">I10-J10</f>
        <v>1.5656920311943168</v>
      </c>
    </row>
    <row r="11" spans="1:11" x14ac:dyDescent="0.25">
      <c r="A11" s="69"/>
      <c r="B11" s="44" t="s">
        <v>163</v>
      </c>
      <c r="C11" s="44">
        <v>3</v>
      </c>
      <c r="D11" s="44">
        <v>4130</v>
      </c>
      <c r="E11" s="44">
        <v>20</v>
      </c>
      <c r="F11" s="44">
        <f t="shared" si="6"/>
        <v>29</v>
      </c>
      <c r="G11" s="44">
        <f t="shared" si="7"/>
        <v>4110</v>
      </c>
      <c r="H11" s="44">
        <f t="shared" si="8"/>
        <v>34064</v>
      </c>
      <c r="I11" s="45">
        <f t="shared" si="3"/>
        <v>1.3326436025429218</v>
      </c>
      <c r="J11" s="45">
        <f t="shared" si="4"/>
        <v>-0.41061092066757576</v>
      </c>
      <c r="K11" s="46">
        <f t="shared" si="9"/>
        <v>1.7432545232104975</v>
      </c>
    </row>
    <row r="12" spans="1:11" x14ac:dyDescent="0.25">
      <c r="A12" s="69"/>
      <c r="B12" s="44" t="s">
        <v>164</v>
      </c>
      <c r="C12" s="44">
        <v>4</v>
      </c>
      <c r="D12" s="44">
        <v>3445</v>
      </c>
      <c r="E12" s="44">
        <v>1</v>
      </c>
      <c r="F12" s="44">
        <f t="shared" si="6"/>
        <v>48</v>
      </c>
      <c r="G12" s="44">
        <f t="shared" si="7"/>
        <v>3444</v>
      </c>
      <c r="H12" s="44">
        <f t="shared" si="8"/>
        <v>34730</v>
      </c>
      <c r="I12" s="45">
        <f t="shared" si="3"/>
        <v>-1.4862992290684105</v>
      </c>
      <c r="J12" s="45">
        <f t="shared" si="4"/>
        <v>7.3931501648982212E-2</v>
      </c>
      <c r="K12" s="46">
        <f t="shared" si="9"/>
        <v>-1.5602307307173926</v>
      </c>
    </row>
    <row r="13" spans="1:11" x14ac:dyDescent="0.25">
      <c r="A13" s="69"/>
      <c r="B13" s="44" t="s">
        <v>165</v>
      </c>
      <c r="C13" s="44">
        <v>5</v>
      </c>
      <c r="D13" s="44">
        <v>5038</v>
      </c>
      <c r="E13" s="44">
        <v>7</v>
      </c>
      <c r="F13" s="44">
        <f t="shared" si="6"/>
        <v>42</v>
      </c>
      <c r="G13" s="44">
        <f t="shared" si="7"/>
        <v>5031</v>
      </c>
      <c r="H13" s="44">
        <f t="shared" si="8"/>
        <v>33143</v>
      </c>
      <c r="I13" s="45">
        <f t="shared" si="3"/>
        <v>8.0625735043205748E-2</v>
      </c>
      <c r="J13" s="45">
        <f t="shared" si="4"/>
        <v>-1.2827557166092509E-2</v>
      </c>
      <c r="K13" s="46">
        <f t="shared" si="9"/>
        <v>9.3453292209298253E-2</v>
      </c>
    </row>
    <row r="14" spans="1:11" ht="16.5" thickBot="1" x14ac:dyDescent="0.3">
      <c r="A14" s="70"/>
      <c r="B14" s="47" t="s">
        <v>166</v>
      </c>
      <c r="C14" s="47">
        <v>6</v>
      </c>
      <c r="D14" s="47">
        <v>18205</v>
      </c>
      <c r="E14" s="47">
        <v>4</v>
      </c>
      <c r="F14" s="47">
        <f>SUM($E$9:$E$14)-E14</f>
        <v>45</v>
      </c>
      <c r="G14" s="47">
        <f t="shared" si="7"/>
        <v>18201</v>
      </c>
      <c r="H14" s="47">
        <f t="shared" si="8"/>
        <v>19973</v>
      </c>
      <c r="I14" s="48">
        <f t="shared" si="3"/>
        <v>-1.7648478190113059</v>
      </c>
      <c r="J14" s="48">
        <f t="shared" si="4"/>
        <v>0.56261548578435905</v>
      </c>
      <c r="K14" s="49">
        <f t="shared" si="9"/>
        <v>-2.327463304795665</v>
      </c>
    </row>
    <row r="15" spans="1:11" x14ac:dyDescent="0.25">
      <c r="A15" s="65" t="s">
        <v>169</v>
      </c>
      <c r="B15" s="25" t="s">
        <v>28</v>
      </c>
      <c r="C15" s="25">
        <v>1</v>
      </c>
      <c r="D15" s="25">
        <v>50</v>
      </c>
      <c r="E15" s="25">
        <v>1</v>
      </c>
      <c r="F15" s="25">
        <f>SUM($E$15:$E$19)-E15</f>
        <v>48</v>
      </c>
      <c r="G15" s="25">
        <f>D15-E15</f>
        <v>49</v>
      </c>
      <c r="H15" s="25">
        <f>SUM($D$15:$D$19)-SUM($E$15:$E$19)-D15+E15</f>
        <v>38125</v>
      </c>
      <c r="I15" s="26">
        <f t="shared" si="3"/>
        <v>2.7662693383685841</v>
      </c>
      <c r="J15" s="26">
        <f t="shared" si="4"/>
        <v>-1.9334866522610843E-2</v>
      </c>
      <c r="K15" s="27">
        <f t="shared" si="9"/>
        <v>2.7856042048911949</v>
      </c>
    </row>
    <row r="16" spans="1:11" x14ac:dyDescent="0.25">
      <c r="A16" s="66"/>
      <c r="B16" s="22" t="s">
        <v>29</v>
      </c>
      <c r="C16" s="22">
        <v>2</v>
      </c>
      <c r="D16" s="22">
        <v>15220</v>
      </c>
      <c r="E16" s="22">
        <v>29</v>
      </c>
      <c r="F16" s="22">
        <f t="shared" ref="F16:F19" si="10">SUM($E$15:$E$19)-E16</f>
        <v>20</v>
      </c>
      <c r="G16" s="22">
        <f t="shared" si="7"/>
        <v>15191</v>
      </c>
      <c r="H16" s="22">
        <f t="shared" ref="H16:H19" si="11">SUM($D$15:$D$19)-SUM($E$15:$E$19)-D16+E16</f>
        <v>22983</v>
      </c>
      <c r="I16" s="23">
        <f t="shared" si="3"/>
        <v>0.39692704025802239</v>
      </c>
      <c r="J16" s="23">
        <f t="shared" si="4"/>
        <v>-0.38868818115172871</v>
      </c>
      <c r="K16" s="28">
        <f t="shared" si="9"/>
        <v>0.78561522140975115</v>
      </c>
    </row>
    <row r="17" spans="1:11" x14ac:dyDescent="0.25">
      <c r="A17" s="66"/>
      <c r="B17" s="22" t="s">
        <v>30</v>
      </c>
      <c r="C17" s="22">
        <v>3</v>
      </c>
      <c r="D17" s="22">
        <v>7851</v>
      </c>
      <c r="E17" s="22">
        <v>9</v>
      </c>
      <c r="F17" s="22">
        <f t="shared" si="10"/>
        <v>40</v>
      </c>
      <c r="G17" s="22">
        <f t="shared" si="7"/>
        <v>7842</v>
      </c>
      <c r="H17" s="22">
        <f t="shared" si="11"/>
        <v>30332</v>
      </c>
      <c r="I17" s="23">
        <f t="shared" si="3"/>
        <v>-0.1119349690368464</v>
      </c>
      <c r="J17" s="23">
        <f t="shared" si="4"/>
        <v>2.7010550772321156E-2</v>
      </c>
      <c r="K17" s="28">
        <f t="shared" si="9"/>
        <v>-0.13894551980916756</v>
      </c>
    </row>
    <row r="18" spans="1:11" x14ac:dyDescent="0.25">
      <c r="A18" s="66"/>
      <c r="B18" s="22" t="s">
        <v>31</v>
      </c>
      <c r="C18" s="22">
        <v>4</v>
      </c>
      <c r="D18" s="22">
        <v>15038</v>
      </c>
      <c r="E18" s="22">
        <v>10</v>
      </c>
      <c r="F18" s="22">
        <f t="shared" si="10"/>
        <v>39</v>
      </c>
      <c r="G18" s="22">
        <f t="shared" si="7"/>
        <v>15028</v>
      </c>
      <c r="H18" s="22">
        <f t="shared" si="11"/>
        <v>23146</v>
      </c>
      <c r="I18" s="23">
        <f t="shared" si="3"/>
        <v>-0.65699567722060281</v>
      </c>
      <c r="J18" s="23">
        <f t="shared" si="4"/>
        <v>0.27207402420083437</v>
      </c>
      <c r="K18" s="28">
        <f t="shared" si="9"/>
        <v>-0.92906970142143719</v>
      </c>
    </row>
    <row r="19" spans="1:11" ht="16.5" thickBot="1" x14ac:dyDescent="0.3">
      <c r="A19" s="67"/>
      <c r="B19" s="29" t="s">
        <v>32</v>
      </c>
      <c r="C19" s="29">
        <v>5</v>
      </c>
      <c r="D19" s="29">
        <v>64</v>
      </c>
      <c r="E19" s="29">
        <v>0</v>
      </c>
      <c r="F19" s="29">
        <f t="shared" si="10"/>
        <v>49</v>
      </c>
      <c r="G19" s="29">
        <f t="shared" si="7"/>
        <v>64</v>
      </c>
      <c r="H19" s="29">
        <f t="shared" si="11"/>
        <v>38110</v>
      </c>
      <c r="I19" s="30">
        <f t="shared" si="3"/>
        <v>0</v>
      </c>
      <c r="J19" s="30">
        <f t="shared" si="4"/>
        <v>1.6779407219316637E-3</v>
      </c>
      <c r="K19" s="31">
        <f t="shared" si="9"/>
        <v>-1.6779407219316637E-3</v>
      </c>
    </row>
    <row r="20" spans="1:11" x14ac:dyDescent="0.25">
      <c r="A20" s="68" t="s">
        <v>170</v>
      </c>
      <c r="B20" s="41" t="s">
        <v>42</v>
      </c>
      <c r="C20" s="41">
        <v>1</v>
      </c>
      <c r="D20" s="41">
        <v>2742</v>
      </c>
      <c r="E20" s="41">
        <v>0</v>
      </c>
      <c r="F20" s="41">
        <f>SUM($E$20:$E$31)-E20</f>
        <v>49</v>
      </c>
      <c r="G20" s="41">
        <f>D20-E20</f>
        <v>2742</v>
      </c>
      <c r="H20" s="41">
        <f>SUM($D$20:$D$31)-SUM($E$20:$E$31)-D20+E20</f>
        <v>35478</v>
      </c>
      <c r="I20" s="42">
        <f t="shared" si="3"/>
        <v>0</v>
      </c>
      <c r="J20" s="42">
        <f t="shared" si="4"/>
        <v>7.4446152745379177E-2</v>
      </c>
      <c r="K20" s="43">
        <f t="shared" si="9"/>
        <v>-7.4446152745379177E-2</v>
      </c>
    </row>
    <row r="21" spans="1:11" x14ac:dyDescent="0.25">
      <c r="A21" s="69"/>
      <c r="B21" s="44" t="s">
        <v>43</v>
      </c>
      <c r="C21" s="44">
        <v>2</v>
      </c>
      <c r="D21" s="44">
        <v>882</v>
      </c>
      <c r="E21" s="44">
        <v>0</v>
      </c>
      <c r="F21" s="44">
        <f t="shared" ref="F21:F31" si="12">SUM($E$20:$E$31)-E21</f>
        <v>49</v>
      </c>
      <c r="G21" s="44">
        <f t="shared" si="7"/>
        <v>882</v>
      </c>
      <c r="H21" s="44">
        <f t="shared" ref="H21:H31" si="13">SUM($D$20:$D$31)-SUM($E$20:$E$31)-D21+E21</f>
        <v>37338</v>
      </c>
      <c r="I21" s="45">
        <f t="shared" si="3"/>
        <v>0</v>
      </c>
      <c r="J21" s="45">
        <f t="shared" si="4"/>
        <v>2.3347363996991107E-2</v>
      </c>
      <c r="K21" s="46">
        <f t="shared" si="9"/>
        <v>-2.3347363996991107E-2</v>
      </c>
    </row>
    <row r="22" spans="1:11" x14ac:dyDescent="0.25">
      <c r="A22" s="69"/>
      <c r="B22" s="44" t="s">
        <v>44</v>
      </c>
      <c r="C22" s="44">
        <v>3</v>
      </c>
      <c r="D22" s="44">
        <v>2315</v>
      </c>
      <c r="E22" s="50">
        <v>6</v>
      </c>
      <c r="F22" s="44">
        <f t="shared" si="12"/>
        <v>43</v>
      </c>
      <c r="G22" s="44">
        <f t="shared" si="7"/>
        <v>2309</v>
      </c>
      <c r="H22" s="44">
        <f t="shared" si="13"/>
        <v>35911</v>
      </c>
      <c r="I22" s="45">
        <f t="shared" si="3"/>
        <v>0.70648357955719709</v>
      </c>
      <c r="J22" s="45">
        <f t="shared" si="4"/>
        <v>-6.8304898851465651E-2</v>
      </c>
      <c r="K22" s="46">
        <f t="shared" si="9"/>
        <v>0.77478847840866272</v>
      </c>
    </row>
    <row r="23" spans="1:11" x14ac:dyDescent="0.25">
      <c r="A23" s="69"/>
      <c r="B23" s="50" t="s">
        <v>45</v>
      </c>
      <c r="C23" s="50">
        <v>4</v>
      </c>
      <c r="D23" s="50">
        <v>1506</v>
      </c>
      <c r="E23" s="50">
        <v>6</v>
      </c>
      <c r="F23" s="44">
        <f t="shared" si="12"/>
        <v>43</v>
      </c>
      <c r="G23" s="44">
        <f t="shared" si="7"/>
        <v>1500</v>
      </c>
      <c r="H23" s="44">
        <f t="shared" si="13"/>
        <v>36720</v>
      </c>
      <c r="I23" s="45">
        <f t="shared" si="3"/>
        <v>1.1378330018213911</v>
      </c>
      <c r="J23" s="45">
        <f t="shared" si="4"/>
        <v>-9.0582809357226957E-2</v>
      </c>
      <c r="K23" s="46">
        <f t="shared" si="9"/>
        <v>1.2284158111786181</v>
      </c>
    </row>
    <row r="24" spans="1:11" x14ac:dyDescent="0.25">
      <c r="A24" s="69"/>
      <c r="B24" s="50" t="s">
        <v>46</v>
      </c>
      <c r="C24" s="50">
        <v>5</v>
      </c>
      <c r="D24" s="50">
        <v>6158</v>
      </c>
      <c r="E24" s="50">
        <v>0</v>
      </c>
      <c r="F24" s="44">
        <f t="shared" si="12"/>
        <v>49</v>
      </c>
      <c r="G24" s="44">
        <f t="shared" si="7"/>
        <v>6158</v>
      </c>
      <c r="H24" s="44">
        <f t="shared" si="13"/>
        <v>32062</v>
      </c>
      <c r="I24" s="45">
        <f t="shared" si="3"/>
        <v>0</v>
      </c>
      <c r="J24" s="45">
        <f t="shared" si="4"/>
        <v>0.17568741054464526</v>
      </c>
      <c r="K24" s="46">
        <f t="shared" si="9"/>
        <v>-0.17568741054464526</v>
      </c>
    </row>
    <row r="25" spans="1:11" x14ac:dyDescent="0.25">
      <c r="A25" s="69"/>
      <c r="B25" s="50" t="s">
        <v>47</v>
      </c>
      <c r="C25" s="50">
        <v>6</v>
      </c>
      <c r="D25" s="50">
        <v>2675</v>
      </c>
      <c r="E25" s="50">
        <v>0</v>
      </c>
      <c r="F25" s="44">
        <f t="shared" si="12"/>
        <v>49</v>
      </c>
      <c r="G25" s="44">
        <f t="shared" si="7"/>
        <v>2675</v>
      </c>
      <c r="H25" s="44">
        <f t="shared" si="13"/>
        <v>35545</v>
      </c>
      <c r="I25" s="45">
        <f t="shared" si="3"/>
        <v>0</v>
      </c>
      <c r="J25" s="45">
        <f t="shared" si="4"/>
        <v>7.2559439430680647E-2</v>
      </c>
      <c r="K25" s="46">
        <f t="shared" si="9"/>
        <v>-7.2559439430680647E-2</v>
      </c>
    </row>
    <row r="26" spans="1:11" x14ac:dyDescent="0.25">
      <c r="A26" s="69"/>
      <c r="B26" s="50" t="s">
        <v>48</v>
      </c>
      <c r="C26" s="50">
        <v>7</v>
      </c>
      <c r="D26" s="50">
        <v>12071</v>
      </c>
      <c r="E26" s="50">
        <v>4</v>
      </c>
      <c r="F26" s="44">
        <f t="shared" si="12"/>
        <v>45</v>
      </c>
      <c r="G26" s="44">
        <f t="shared" si="7"/>
        <v>12067</v>
      </c>
      <c r="H26" s="44">
        <f t="shared" si="13"/>
        <v>26153</v>
      </c>
      <c r="I26" s="45">
        <f t="shared" si="3"/>
        <v>-1.3526414522700727</v>
      </c>
      <c r="J26" s="45">
        <f t="shared" si="4"/>
        <v>0.29423722378769396</v>
      </c>
      <c r="K26" s="46">
        <f t="shared" si="9"/>
        <v>-1.6468786760577667</v>
      </c>
    </row>
    <row r="27" spans="1:11" x14ac:dyDescent="0.25">
      <c r="A27" s="69"/>
      <c r="B27" s="50" t="s">
        <v>49</v>
      </c>
      <c r="C27" s="50">
        <v>8</v>
      </c>
      <c r="D27" s="50">
        <v>888</v>
      </c>
      <c r="E27" s="50">
        <v>15</v>
      </c>
      <c r="F27" s="44">
        <f t="shared" si="12"/>
        <v>34</v>
      </c>
      <c r="G27" s="44">
        <f t="shared" si="7"/>
        <v>873</v>
      </c>
      <c r="H27" s="44">
        <f t="shared" si="13"/>
        <v>37347</v>
      </c>
      <c r="I27" s="45">
        <f t="shared" si="3"/>
        <v>2.5954085649462453</v>
      </c>
      <c r="J27" s="45">
        <f t="shared" si="4"/>
        <v>-0.34235342175009692</v>
      </c>
      <c r="K27" s="46">
        <f t="shared" si="9"/>
        <v>2.937761986696342</v>
      </c>
    </row>
    <row r="28" spans="1:11" x14ac:dyDescent="0.25">
      <c r="A28" s="69"/>
      <c r="B28" s="50" t="s">
        <v>50</v>
      </c>
      <c r="C28" s="50">
        <v>9</v>
      </c>
      <c r="D28" s="50">
        <v>593</v>
      </c>
      <c r="E28" s="50">
        <v>0</v>
      </c>
      <c r="F28" s="44">
        <f t="shared" si="12"/>
        <v>49</v>
      </c>
      <c r="G28" s="44">
        <f t="shared" si="7"/>
        <v>593</v>
      </c>
      <c r="H28" s="44">
        <f t="shared" si="13"/>
        <v>37627</v>
      </c>
      <c r="I28" s="45">
        <f t="shared" si="3"/>
        <v>0</v>
      </c>
      <c r="J28" s="45">
        <f t="shared" si="4"/>
        <v>1.5637061009645736E-2</v>
      </c>
      <c r="K28" s="46">
        <f t="shared" si="9"/>
        <v>-1.5637061009645736E-2</v>
      </c>
    </row>
    <row r="29" spans="1:11" x14ac:dyDescent="0.25">
      <c r="A29" s="69"/>
      <c r="B29" s="50" t="s">
        <v>51</v>
      </c>
      <c r="C29" s="50">
        <v>10</v>
      </c>
      <c r="D29" s="50">
        <v>1998</v>
      </c>
      <c r="E29" s="50">
        <v>0</v>
      </c>
      <c r="F29" s="44">
        <f t="shared" si="12"/>
        <v>49</v>
      </c>
      <c r="G29" s="44">
        <f t="shared" si="7"/>
        <v>1998</v>
      </c>
      <c r="H29" s="44">
        <f t="shared" si="13"/>
        <v>36222</v>
      </c>
      <c r="I29" s="45">
        <f t="shared" si="3"/>
        <v>0</v>
      </c>
      <c r="J29" s="45">
        <f t="shared" si="4"/>
        <v>5.3692269769782842E-2</v>
      </c>
      <c r="K29" s="46">
        <f t="shared" si="9"/>
        <v>-5.3692269769782842E-2</v>
      </c>
    </row>
    <row r="30" spans="1:11" x14ac:dyDescent="0.25">
      <c r="A30" s="69"/>
      <c r="B30" s="50" t="s">
        <v>52</v>
      </c>
      <c r="C30" s="50">
        <v>11</v>
      </c>
      <c r="D30" s="50">
        <v>11</v>
      </c>
      <c r="E30" s="50">
        <v>0</v>
      </c>
      <c r="F30" s="44">
        <f t="shared" si="12"/>
        <v>49</v>
      </c>
      <c r="G30" s="44">
        <f t="shared" si="7"/>
        <v>11</v>
      </c>
      <c r="H30" s="44">
        <f t="shared" si="13"/>
        <v>38209</v>
      </c>
      <c r="I30" s="45">
        <f t="shared" si="3"/>
        <v>0</v>
      </c>
      <c r="J30" s="45">
        <f t="shared" si="4"/>
        <v>2.878488551716111E-4</v>
      </c>
      <c r="K30" s="46">
        <f t="shared" si="9"/>
        <v>-2.878488551716111E-4</v>
      </c>
    </row>
    <row r="31" spans="1:11" ht="16.5" thickBot="1" x14ac:dyDescent="0.3">
      <c r="A31" s="70"/>
      <c r="B31" s="51" t="s">
        <v>53</v>
      </c>
      <c r="C31" s="51">
        <v>12</v>
      </c>
      <c r="D31" s="51">
        <v>6430</v>
      </c>
      <c r="E31" s="51">
        <v>18</v>
      </c>
      <c r="F31" s="47">
        <f t="shared" si="12"/>
        <v>31</v>
      </c>
      <c r="G31" s="47">
        <f t="shared" si="7"/>
        <v>6412</v>
      </c>
      <c r="H31" s="47">
        <f t="shared" si="13"/>
        <v>31808</v>
      </c>
      <c r="I31" s="48">
        <f t="shared" si="3"/>
        <v>0.78373916385035869</v>
      </c>
      <c r="J31" s="48">
        <f t="shared" si="4"/>
        <v>-0.27419198528751693</v>
      </c>
      <c r="K31" s="49">
        <f t="shared" si="9"/>
        <v>1.0579311491378756</v>
      </c>
    </row>
    <row r="32" spans="1:11" x14ac:dyDescent="0.25">
      <c r="A32" s="59" t="s">
        <v>171</v>
      </c>
      <c r="B32" s="37" t="s">
        <v>55</v>
      </c>
      <c r="C32" s="37">
        <v>1</v>
      </c>
      <c r="D32" s="37">
        <v>174</v>
      </c>
      <c r="E32" s="37">
        <v>0</v>
      </c>
      <c r="F32" s="25">
        <f>SUM($E$32:$E$52)-E32</f>
        <v>49</v>
      </c>
      <c r="G32" s="25">
        <f t="shared" si="7"/>
        <v>174</v>
      </c>
      <c r="H32" s="25">
        <f>SUM($D$32:$D$52)-SUM($E$32:$E$52)-D32+E32</f>
        <v>38046</v>
      </c>
      <c r="I32" s="26">
        <f t="shared" si="3"/>
        <v>0</v>
      </c>
      <c r="J32" s="26">
        <f t="shared" si="4"/>
        <v>4.5629848661772818E-3</v>
      </c>
      <c r="K32" s="27">
        <f t="shared" si="9"/>
        <v>-4.5629848661772818E-3</v>
      </c>
    </row>
    <row r="33" spans="1:11" x14ac:dyDescent="0.25">
      <c r="A33" s="60"/>
      <c r="B33" s="32" t="s">
        <v>57</v>
      </c>
      <c r="C33" s="32">
        <v>2</v>
      </c>
      <c r="D33" s="32">
        <v>1811</v>
      </c>
      <c r="E33" s="32">
        <v>0</v>
      </c>
      <c r="F33" s="22">
        <f t="shared" ref="F33:F52" si="14">SUM($E$32:$E$52)-E33</f>
        <v>49</v>
      </c>
      <c r="G33" s="22">
        <f t="shared" si="7"/>
        <v>1811</v>
      </c>
      <c r="H33" s="22">
        <f t="shared" ref="H33:H51" si="15">SUM($D$32:$D$52)-SUM($E$32:$E$52)-D33+E33</f>
        <v>36409</v>
      </c>
      <c r="I33" s="23">
        <f t="shared" si="3"/>
        <v>0</v>
      </c>
      <c r="J33" s="23">
        <f t="shared" si="4"/>
        <v>4.8542941984102167E-2</v>
      </c>
      <c r="K33" s="28">
        <f t="shared" si="9"/>
        <v>-4.8542941984102167E-2</v>
      </c>
    </row>
    <row r="34" spans="1:11" x14ac:dyDescent="0.25">
      <c r="A34" s="60"/>
      <c r="B34" s="32" t="s">
        <v>59</v>
      </c>
      <c r="C34" s="32">
        <v>3</v>
      </c>
      <c r="D34" s="32">
        <v>5</v>
      </c>
      <c r="E34" s="32">
        <v>0</v>
      </c>
      <c r="F34" s="22">
        <f t="shared" si="14"/>
        <v>49</v>
      </c>
      <c r="G34" s="22">
        <f t="shared" si="7"/>
        <v>5</v>
      </c>
      <c r="H34" s="22">
        <f t="shared" si="15"/>
        <v>38215</v>
      </c>
      <c r="I34" s="23">
        <f t="shared" si="3"/>
        <v>0</v>
      </c>
      <c r="J34" s="23">
        <f t="shared" si="4"/>
        <v>1.308301172796492E-4</v>
      </c>
      <c r="K34" s="28">
        <f t="shared" si="9"/>
        <v>-1.308301172796492E-4</v>
      </c>
    </row>
    <row r="35" spans="1:11" x14ac:dyDescent="0.25">
      <c r="A35" s="60"/>
      <c r="B35" s="32" t="s">
        <v>61</v>
      </c>
      <c r="C35" s="32">
        <v>4</v>
      </c>
      <c r="D35" s="32">
        <v>1998</v>
      </c>
      <c r="E35" s="32">
        <v>0</v>
      </c>
      <c r="F35" s="22">
        <f t="shared" si="14"/>
        <v>49</v>
      </c>
      <c r="G35" s="22">
        <f t="shared" si="7"/>
        <v>1998</v>
      </c>
      <c r="H35" s="22">
        <f t="shared" si="15"/>
        <v>36222</v>
      </c>
      <c r="I35" s="23">
        <f t="shared" si="3"/>
        <v>0</v>
      </c>
      <c r="J35" s="23">
        <f t="shared" si="4"/>
        <v>5.3692269769782842E-2</v>
      </c>
      <c r="K35" s="28">
        <f t="shared" si="9"/>
        <v>-5.3692269769782842E-2</v>
      </c>
    </row>
    <row r="36" spans="1:11" x14ac:dyDescent="0.25">
      <c r="A36" s="60"/>
      <c r="B36" s="32" t="s">
        <v>63</v>
      </c>
      <c r="C36" s="32">
        <v>5</v>
      </c>
      <c r="D36" s="32">
        <v>11</v>
      </c>
      <c r="E36" s="32">
        <v>0</v>
      </c>
      <c r="F36" s="22">
        <f t="shared" si="14"/>
        <v>49</v>
      </c>
      <c r="G36" s="22">
        <f t="shared" si="7"/>
        <v>11</v>
      </c>
      <c r="H36" s="22">
        <f t="shared" si="15"/>
        <v>38209</v>
      </c>
      <c r="I36" s="23">
        <f t="shared" si="3"/>
        <v>0</v>
      </c>
      <c r="J36" s="23">
        <f t="shared" si="4"/>
        <v>2.878488551716111E-4</v>
      </c>
      <c r="K36" s="28">
        <f t="shared" si="9"/>
        <v>-2.878488551716111E-4</v>
      </c>
    </row>
    <row r="37" spans="1:11" x14ac:dyDescent="0.25">
      <c r="A37" s="60"/>
      <c r="B37" s="32" t="s">
        <v>65</v>
      </c>
      <c r="C37" s="32">
        <v>6</v>
      </c>
      <c r="D37" s="32">
        <v>833</v>
      </c>
      <c r="E37" s="32">
        <v>6</v>
      </c>
      <c r="F37" s="22">
        <f t="shared" si="14"/>
        <v>43</v>
      </c>
      <c r="G37" s="22">
        <f t="shared" si="7"/>
        <v>827</v>
      </c>
      <c r="H37" s="22">
        <f t="shared" si="15"/>
        <v>37393</v>
      </c>
      <c r="I37" s="23">
        <f t="shared" si="3"/>
        <v>1.7332486938880012</v>
      </c>
      <c r="J37" s="23">
        <f t="shared" si="4"/>
        <v>-0.10874476473232286</v>
      </c>
      <c r="K37" s="28">
        <f t="shared" si="9"/>
        <v>1.8419934586203239</v>
      </c>
    </row>
    <row r="38" spans="1:11" x14ac:dyDescent="0.25">
      <c r="A38" s="60"/>
      <c r="B38" s="32" t="s">
        <v>67</v>
      </c>
      <c r="C38" s="32">
        <v>7</v>
      </c>
      <c r="D38" s="32">
        <v>7794</v>
      </c>
      <c r="E38" s="32">
        <v>6</v>
      </c>
      <c r="F38" s="22">
        <f t="shared" si="14"/>
        <v>43</v>
      </c>
      <c r="G38" s="22">
        <f t="shared" si="7"/>
        <v>7788</v>
      </c>
      <c r="H38" s="22">
        <f t="shared" si="15"/>
        <v>30432</v>
      </c>
      <c r="I38" s="23">
        <f t="shared" si="3"/>
        <v>-0.50928597758039795</v>
      </c>
      <c r="J38" s="23">
        <f t="shared" si="4"/>
        <v>9.7244070032082922E-2</v>
      </c>
      <c r="K38" s="28">
        <f t="shared" si="9"/>
        <v>-0.60653004761248086</v>
      </c>
    </row>
    <row r="39" spans="1:11" x14ac:dyDescent="0.25">
      <c r="A39" s="60"/>
      <c r="B39" s="32" t="s">
        <v>69</v>
      </c>
      <c r="C39" s="32">
        <v>8</v>
      </c>
      <c r="D39" s="32">
        <v>33</v>
      </c>
      <c r="E39" s="32">
        <v>0</v>
      </c>
      <c r="F39" s="22">
        <f t="shared" si="14"/>
        <v>49</v>
      </c>
      <c r="G39" s="22">
        <f t="shared" si="7"/>
        <v>33</v>
      </c>
      <c r="H39" s="22">
        <f t="shared" si="15"/>
        <v>38187</v>
      </c>
      <c r="I39" s="23">
        <f t="shared" si="3"/>
        <v>0</v>
      </c>
      <c r="J39" s="23">
        <f t="shared" si="4"/>
        <v>8.6379525571992678E-4</v>
      </c>
      <c r="K39" s="28">
        <f t="shared" si="9"/>
        <v>-8.6379525571992678E-4</v>
      </c>
    </row>
    <row r="40" spans="1:11" x14ac:dyDescent="0.25">
      <c r="A40" s="60"/>
      <c r="B40" s="32" t="s">
        <v>71</v>
      </c>
      <c r="C40" s="32">
        <v>9</v>
      </c>
      <c r="D40" s="32">
        <v>2161</v>
      </c>
      <c r="E40" s="32">
        <v>0</v>
      </c>
      <c r="F40" s="22">
        <f t="shared" si="14"/>
        <v>49</v>
      </c>
      <c r="G40" s="22">
        <f t="shared" si="7"/>
        <v>2161</v>
      </c>
      <c r="H40" s="22">
        <f t="shared" si="15"/>
        <v>36059</v>
      </c>
      <c r="I40" s="23">
        <f t="shared" si="3"/>
        <v>0</v>
      </c>
      <c r="J40" s="23">
        <f t="shared" si="4"/>
        <v>5.8202452979996183E-2</v>
      </c>
      <c r="K40" s="28">
        <f t="shared" si="9"/>
        <v>-5.8202452979996183E-2</v>
      </c>
    </row>
    <row r="41" spans="1:11" x14ac:dyDescent="0.25">
      <c r="A41" s="60"/>
      <c r="B41" s="32" t="s">
        <v>73</v>
      </c>
      <c r="C41" s="32">
        <v>10</v>
      </c>
      <c r="D41" s="32">
        <v>4959</v>
      </c>
      <c r="E41" s="32">
        <v>6</v>
      </c>
      <c r="F41" s="22">
        <f t="shared" si="14"/>
        <v>43</v>
      </c>
      <c r="G41" s="22">
        <f t="shared" si="7"/>
        <v>4953</v>
      </c>
      <c r="H41" s="22">
        <f t="shared" si="15"/>
        <v>33267</v>
      </c>
      <c r="I41" s="23">
        <f t="shared" si="3"/>
        <v>-5.6695343676545294E-2</v>
      </c>
      <c r="J41" s="23">
        <f t="shared" si="4"/>
        <v>8.1728417558741655E-3</v>
      </c>
      <c r="K41" s="28">
        <f t="shared" si="9"/>
        <v>-6.4868185432419456E-2</v>
      </c>
    </row>
    <row r="42" spans="1:11" x14ac:dyDescent="0.25">
      <c r="A42" s="60"/>
      <c r="B42" s="32" t="s">
        <v>75</v>
      </c>
      <c r="C42" s="32">
        <v>11</v>
      </c>
      <c r="D42" s="32">
        <v>1471</v>
      </c>
      <c r="E42" s="32">
        <v>12</v>
      </c>
      <c r="F42" s="22">
        <f t="shared" si="14"/>
        <v>37</v>
      </c>
      <c r="G42" s="22">
        <f t="shared" si="7"/>
        <v>1459</v>
      </c>
      <c r="H42" s="22">
        <f t="shared" si="15"/>
        <v>36761</v>
      </c>
      <c r="I42" s="23">
        <f t="shared" si="3"/>
        <v>1.8586940209488521</v>
      </c>
      <c r="J42" s="23">
        <f t="shared" si="4"/>
        <v>-0.24198094725379921</v>
      </c>
      <c r="K42" s="28">
        <f t="shared" si="9"/>
        <v>2.1006749682026511</v>
      </c>
    </row>
    <row r="43" spans="1:11" x14ac:dyDescent="0.25">
      <c r="A43" s="60"/>
      <c r="B43" s="32" t="s">
        <v>77</v>
      </c>
      <c r="C43" s="32">
        <v>12</v>
      </c>
      <c r="D43" s="32">
        <v>888</v>
      </c>
      <c r="E43" s="32">
        <v>15</v>
      </c>
      <c r="F43" s="22">
        <f t="shared" si="14"/>
        <v>34</v>
      </c>
      <c r="G43" s="22">
        <f t="shared" si="7"/>
        <v>873</v>
      </c>
      <c r="H43" s="22">
        <f t="shared" si="15"/>
        <v>37347</v>
      </c>
      <c r="I43" s="23">
        <f t="shared" si="3"/>
        <v>2.5954085649462453</v>
      </c>
      <c r="J43" s="23">
        <f t="shared" si="4"/>
        <v>-0.34235342175009692</v>
      </c>
      <c r="K43" s="28">
        <f t="shared" si="9"/>
        <v>2.937761986696342</v>
      </c>
    </row>
    <row r="44" spans="1:11" x14ac:dyDescent="0.25">
      <c r="A44" s="60"/>
      <c r="B44" s="32" t="s">
        <v>79</v>
      </c>
      <c r="C44" s="32">
        <v>13</v>
      </c>
      <c r="D44" s="32">
        <v>593</v>
      </c>
      <c r="E44" s="32">
        <v>0</v>
      </c>
      <c r="F44" s="22">
        <f t="shared" si="14"/>
        <v>49</v>
      </c>
      <c r="G44" s="22">
        <f t="shared" si="7"/>
        <v>593</v>
      </c>
      <c r="H44" s="22">
        <f t="shared" si="15"/>
        <v>37627</v>
      </c>
      <c r="I44" s="23">
        <f t="shared" si="3"/>
        <v>0</v>
      </c>
      <c r="J44" s="23">
        <f t="shared" si="4"/>
        <v>1.5637061009645736E-2</v>
      </c>
      <c r="K44" s="28">
        <f t="shared" si="9"/>
        <v>-1.5637061009645736E-2</v>
      </c>
    </row>
    <row r="45" spans="1:11" x14ac:dyDescent="0.25">
      <c r="A45" s="60"/>
      <c r="B45" s="32" t="s">
        <v>42</v>
      </c>
      <c r="C45" s="32">
        <v>14</v>
      </c>
      <c r="D45" s="32">
        <v>2742</v>
      </c>
      <c r="E45" s="32">
        <v>0</v>
      </c>
      <c r="F45" s="22">
        <f t="shared" si="14"/>
        <v>49</v>
      </c>
      <c r="G45" s="22">
        <f t="shared" si="7"/>
        <v>2742</v>
      </c>
      <c r="H45" s="22">
        <f t="shared" si="15"/>
        <v>35478</v>
      </c>
      <c r="I45" s="23">
        <f t="shared" si="3"/>
        <v>0</v>
      </c>
      <c r="J45" s="23">
        <f t="shared" si="4"/>
        <v>7.4446152745379177E-2</v>
      </c>
      <c r="K45" s="28">
        <f t="shared" si="9"/>
        <v>-7.4446152745379177E-2</v>
      </c>
    </row>
    <row r="46" spans="1:11" x14ac:dyDescent="0.25">
      <c r="A46" s="60"/>
      <c r="B46" s="32" t="s">
        <v>43</v>
      </c>
      <c r="C46" s="32">
        <v>15</v>
      </c>
      <c r="D46" s="32">
        <v>882</v>
      </c>
      <c r="E46" s="32">
        <v>0</v>
      </c>
      <c r="F46" s="22">
        <f t="shared" si="14"/>
        <v>49</v>
      </c>
      <c r="G46" s="22">
        <f t="shared" si="7"/>
        <v>882</v>
      </c>
      <c r="H46" s="22">
        <f t="shared" si="15"/>
        <v>37338</v>
      </c>
      <c r="I46" s="23">
        <f t="shared" si="3"/>
        <v>0</v>
      </c>
      <c r="J46" s="23">
        <f t="shared" si="4"/>
        <v>2.3347363996991107E-2</v>
      </c>
      <c r="K46" s="28">
        <f t="shared" si="9"/>
        <v>-2.3347363996991107E-2</v>
      </c>
    </row>
    <row r="47" spans="1:11" x14ac:dyDescent="0.25">
      <c r="A47" s="60"/>
      <c r="B47" s="32" t="s">
        <v>83</v>
      </c>
      <c r="C47" s="32">
        <v>16</v>
      </c>
      <c r="D47" s="32">
        <v>2419</v>
      </c>
      <c r="E47" s="32">
        <v>4</v>
      </c>
      <c r="F47" s="22">
        <f t="shared" si="14"/>
        <v>45</v>
      </c>
      <c r="G47" s="22">
        <f t="shared" si="7"/>
        <v>2415</v>
      </c>
      <c r="H47" s="22">
        <f t="shared" si="15"/>
        <v>35805</v>
      </c>
      <c r="I47" s="23">
        <f t="shared" si="3"/>
        <v>0.25613371471685498</v>
      </c>
      <c r="J47" s="23">
        <f t="shared" si="4"/>
        <v>-1.9886417987082915E-2</v>
      </c>
      <c r="K47" s="28">
        <f t="shared" si="9"/>
        <v>0.27602013270393788</v>
      </c>
    </row>
    <row r="48" spans="1:11" x14ac:dyDescent="0.25">
      <c r="A48" s="60"/>
      <c r="B48" s="32" t="s">
        <v>85</v>
      </c>
      <c r="C48" s="32">
        <v>17</v>
      </c>
      <c r="D48" s="32">
        <v>1288</v>
      </c>
      <c r="E48" s="32">
        <v>0</v>
      </c>
      <c r="F48" s="22">
        <f t="shared" si="14"/>
        <v>49</v>
      </c>
      <c r="G48" s="22">
        <f t="shared" si="7"/>
        <v>1288</v>
      </c>
      <c r="H48" s="22">
        <f t="shared" si="15"/>
        <v>36932</v>
      </c>
      <c r="I48" s="23">
        <f t="shared" si="3"/>
        <v>0</v>
      </c>
      <c r="J48" s="23">
        <f t="shared" si="4"/>
        <v>3.4280554901745544E-2</v>
      </c>
      <c r="K48" s="28">
        <f t="shared" si="9"/>
        <v>-3.4280554901745544E-2</v>
      </c>
    </row>
    <row r="49" spans="1:11" x14ac:dyDescent="0.25">
      <c r="A49" s="60"/>
      <c r="B49" s="32" t="s">
        <v>87</v>
      </c>
      <c r="C49" s="32">
        <v>18</v>
      </c>
      <c r="D49" s="32">
        <v>1109</v>
      </c>
      <c r="E49" s="32">
        <v>0</v>
      </c>
      <c r="F49" s="22">
        <f t="shared" si="14"/>
        <v>49</v>
      </c>
      <c r="G49" s="22">
        <f t="shared" si="7"/>
        <v>1109</v>
      </c>
      <c r="H49" s="22">
        <f t="shared" si="15"/>
        <v>37111</v>
      </c>
      <c r="I49" s="23">
        <f t="shared" si="3"/>
        <v>0</v>
      </c>
      <c r="J49" s="23">
        <f t="shared" si="4"/>
        <v>2.9445517188103985E-2</v>
      </c>
      <c r="K49" s="28">
        <f t="shared" si="9"/>
        <v>-2.9445517188103985E-2</v>
      </c>
    </row>
    <row r="50" spans="1:11" x14ac:dyDescent="0.25">
      <c r="A50" s="60"/>
      <c r="B50" s="32" t="s">
        <v>89</v>
      </c>
      <c r="C50" s="32">
        <v>19</v>
      </c>
      <c r="D50" s="32">
        <v>1800</v>
      </c>
      <c r="E50" s="32">
        <v>0</v>
      </c>
      <c r="F50" s="22">
        <f t="shared" si="14"/>
        <v>49</v>
      </c>
      <c r="G50" s="22">
        <f t="shared" si="7"/>
        <v>1800</v>
      </c>
      <c r="H50" s="22">
        <f t="shared" si="15"/>
        <v>36420</v>
      </c>
      <c r="I50" s="23">
        <f t="shared" si="3"/>
        <v>0</v>
      </c>
      <c r="J50" s="23">
        <f t="shared" si="4"/>
        <v>4.8240864512665127E-2</v>
      </c>
      <c r="K50" s="28">
        <f t="shared" si="9"/>
        <v>-4.8240864512665127E-2</v>
      </c>
    </row>
    <row r="51" spans="1:11" x14ac:dyDescent="0.25">
      <c r="A51" s="60"/>
      <c r="B51" s="32" t="s">
        <v>91</v>
      </c>
      <c r="C51" s="32">
        <v>20</v>
      </c>
      <c r="D51" s="32">
        <v>4839</v>
      </c>
      <c r="E51" s="32">
        <v>0</v>
      </c>
      <c r="F51" s="22">
        <f t="shared" si="14"/>
        <v>49</v>
      </c>
      <c r="G51" s="22">
        <f t="shared" si="7"/>
        <v>4839</v>
      </c>
      <c r="H51" s="22">
        <f t="shared" si="15"/>
        <v>33381</v>
      </c>
      <c r="I51" s="23">
        <f t="shared" si="3"/>
        <v>0</v>
      </c>
      <c r="J51" s="23">
        <f t="shared" si="4"/>
        <v>0.1353720629684538</v>
      </c>
      <c r="K51" s="28">
        <f t="shared" si="9"/>
        <v>-0.1353720629684538</v>
      </c>
    </row>
    <row r="52" spans="1:11" ht="16.5" thickBot="1" x14ac:dyDescent="0.3">
      <c r="A52" s="61"/>
      <c r="B52" s="36" t="s">
        <v>93</v>
      </c>
      <c r="C52" s="36">
        <v>21</v>
      </c>
      <c r="D52" s="36">
        <v>459</v>
      </c>
      <c r="E52" s="36">
        <v>0</v>
      </c>
      <c r="F52" s="29">
        <f t="shared" si="14"/>
        <v>49</v>
      </c>
      <c r="G52" s="29">
        <f t="shared" si="7"/>
        <v>459</v>
      </c>
      <c r="H52" s="29">
        <f>SUM($D$32:$D$52)-SUM($E$32:$E$52)-D52+E52</f>
        <v>37761</v>
      </c>
      <c r="I52" s="30">
        <f t="shared" si="3"/>
        <v>0</v>
      </c>
      <c r="J52" s="30">
        <f t="shared" si="4"/>
        <v>1.2082114834649403E-2</v>
      </c>
      <c r="K52" s="31">
        <f t="shared" si="9"/>
        <v>-1.2082114834649403E-2</v>
      </c>
    </row>
    <row r="53" spans="1:11" x14ac:dyDescent="0.25">
      <c r="A53" s="62" t="s">
        <v>172</v>
      </c>
      <c r="B53" s="52" t="s">
        <v>106</v>
      </c>
      <c r="C53" s="52">
        <v>1</v>
      </c>
      <c r="D53" s="52">
        <v>7120</v>
      </c>
      <c r="E53" s="52">
        <v>0</v>
      </c>
      <c r="F53" s="41">
        <f>SUM($E$53:$E$61)-E53</f>
        <v>49</v>
      </c>
      <c r="G53" s="41">
        <f t="shared" si="7"/>
        <v>7120</v>
      </c>
      <c r="H53" s="41">
        <f>SUM($D$53:$D$61)-SUM($E$53:$E$61)-D53+E53</f>
        <v>31100</v>
      </c>
      <c r="I53" s="42">
        <f t="shared" si="3"/>
        <v>0</v>
      </c>
      <c r="J53" s="42">
        <f t="shared" si="4"/>
        <v>0.20615111962693861</v>
      </c>
      <c r="K53" s="43">
        <f t="shared" si="9"/>
        <v>-0.20615111962693861</v>
      </c>
    </row>
    <row r="54" spans="1:11" x14ac:dyDescent="0.25">
      <c r="A54" s="63"/>
      <c r="B54" s="50" t="s">
        <v>110</v>
      </c>
      <c r="C54" s="50">
        <v>2</v>
      </c>
      <c r="D54" s="50">
        <v>15961</v>
      </c>
      <c r="E54" s="50">
        <v>12</v>
      </c>
      <c r="F54" s="44">
        <f t="shared" ref="F54:F61" si="16">SUM($E$53:$E$61)-E54</f>
        <v>37</v>
      </c>
      <c r="G54" s="44">
        <f t="shared" si="7"/>
        <v>15949</v>
      </c>
      <c r="H54" s="44">
        <f t="shared" ref="H54:H61" si="17">SUM($D$53:$D$61)-SUM($E$53:$E$61)-D54+E54</f>
        <v>22271</v>
      </c>
      <c r="I54" s="45">
        <f t="shared" si="3"/>
        <v>-0.53295084085111644</v>
      </c>
      <c r="J54" s="45">
        <f t="shared" si="4"/>
        <v>0.25917116962701225</v>
      </c>
      <c r="K54" s="46">
        <f t="shared" si="9"/>
        <v>-0.79212201047812869</v>
      </c>
    </row>
    <row r="55" spans="1:11" x14ac:dyDescent="0.25">
      <c r="A55" s="63"/>
      <c r="B55" s="50" t="s">
        <v>114</v>
      </c>
      <c r="C55" s="50">
        <v>3</v>
      </c>
      <c r="D55" s="50">
        <v>60</v>
      </c>
      <c r="E55" s="50">
        <v>0</v>
      </c>
      <c r="F55" s="44">
        <f t="shared" si="16"/>
        <v>49</v>
      </c>
      <c r="G55" s="44">
        <f t="shared" si="7"/>
        <v>60</v>
      </c>
      <c r="H55" s="44">
        <f t="shared" si="17"/>
        <v>38160</v>
      </c>
      <c r="I55" s="45">
        <f t="shared" si="3"/>
        <v>0</v>
      </c>
      <c r="J55" s="45">
        <f t="shared" si="4"/>
        <v>1.5710922320411461E-3</v>
      </c>
      <c r="K55" s="46">
        <f t="shared" si="9"/>
        <v>-1.5710922320411461E-3</v>
      </c>
    </row>
    <row r="56" spans="1:11" x14ac:dyDescent="0.25">
      <c r="A56" s="63"/>
      <c r="B56" s="50" t="s">
        <v>114</v>
      </c>
      <c r="C56" s="50">
        <v>4</v>
      </c>
      <c r="D56" s="50">
        <v>1738</v>
      </c>
      <c r="E56" s="50">
        <v>4</v>
      </c>
      <c r="F56" s="44">
        <f t="shared" si="16"/>
        <v>45</v>
      </c>
      <c r="G56" s="44">
        <f t="shared" si="7"/>
        <v>1734</v>
      </c>
      <c r="H56" s="44">
        <f t="shared" si="17"/>
        <v>36486</v>
      </c>
      <c r="I56" s="45">
        <f t="shared" si="3"/>
        <v>0.58740212346304088</v>
      </c>
      <c r="J56" s="45">
        <f t="shared" si="4"/>
        <v>-3.8727494894207536E-2</v>
      </c>
      <c r="K56" s="46">
        <f t="shared" si="9"/>
        <v>0.62612961835724845</v>
      </c>
    </row>
    <row r="57" spans="1:11" x14ac:dyDescent="0.25">
      <c r="A57" s="63"/>
      <c r="B57" s="50" t="s">
        <v>114</v>
      </c>
      <c r="C57" s="50">
        <v>5</v>
      </c>
      <c r="D57" s="50">
        <v>1559</v>
      </c>
      <c r="E57" s="50">
        <v>1</v>
      </c>
      <c r="F57" s="44">
        <f t="shared" si="16"/>
        <v>48</v>
      </c>
      <c r="G57" s="44">
        <f t="shared" si="7"/>
        <v>1558</v>
      </c>
      <c r="H57" s="44">
        <f t="shared" si="17"/>
        <v>36662</v>
      </c>
      <c r="I57" s="45">
        <f t="shared" si="3"/>
        <v>-0.69186430674705646</v>
      </c>
      <c r="J57" s="45">
        <f t="shared" si="4"/>
        <v>2.0998855312218373E-2</v>
      </c>
      <c r="K57" s="46">
        <f t="shared" si="9"/>
        <v>-0.7128631620592748</v>
      </c>
    </row>
    <row r="58" spans="1:11" x14ac:dyDescent="0.25">
      <c r="A58" s="63"/>
      <c r="B58" s="50" t="s">
        <v>118</v>
      </c>
      <c r="C58" s="50">
        <v>6</v>
      </c>
      <c r="D58" s="50">
        <v>4786</v>
      </c>
      <c r="E58" s="50">
        <v>16</v>
      </c>
      <c r="F58" s="44">
        <f t="shared" si="16"/>
        <v>33</v>
      </c>
      <c r="G58" s="44">
        <f t="shared" si="7"/>
        <v>4770</v>
      </c>
      <c r="H58" s="44">
        <f t="shared" si="17"/>
        <v>33450</v>
      </c>
      <c r="I58" s="45">
        <f t="shared" si="3"/>
        <v>0.96178105804103176</v>
      </c>
      <c r="J58" s="45">
        <f t="shared" si="4"/>
        <v>-0.26200558440625693</v>
      </c>
      <c r="K58" s="46">
        <f t="shared" si="9"/>
        <v>1.2237866424472887</v>
      </c>
    </row>
    <row r="59" spans="1:11" x14ac:dyDescent="0.25">
      <c r="A59" s="63"/>
      <c r="B59" s="50" t="s">
        <v>122</v>
      </c>
      <c r="C59" s="50">
        <v>7</v>
      </c>
      <c r="D59" s="50">
        <v>222</v>
      </c>
      <c r="E59" s="50">
        <v>0</v>
      </c>
      <c r="F59" s="44">
        <f t="shared" si="16"/>
        <v>49</v>
      </c>
      <c r="G59" s="44">
        <f t="shared" si="7"/>
        <v>222</v>
      </c>
      <c r="H59" s="44">
        <f t="shared" si="17"/>
        <v>37998</v>
      </c>
      <c r="I59" s="45">
        <f t="shared" si="3"/>
        <v>0</v>
      </c>
      <c r="J59" s="45">
        <f t="shared" si="4"/>
        <v>5.8254120497788281E-3</v>
      </c>
      <c r="K59" s="46">
        <f t="shared" si="9"/>
        <v>-5.8254120497788281E-3</v>
      </c>
    </row>
    <row r="60" spans="1:11" x14ac:dyDescent="0.25">
      <c r="A60" s="63"/>
      <c r="B60" s="50" t="s">
        <v>126</v>
      </c>
      <c r="C60" s="50">
        <v>8</v>
      </c>
      <c r="D60" s="50">
        <v>332</v>
      </c>
      <c r="E60" s="50">
        <v>0</v>
      </c>
      <c r="F60" s="44">
        <f t="shared" si="16"/>
        <v>49</v>
      </c>
      <c r="G60" s="44">
        <f t="shared" si="7"/>
        <v>332</v>
      </c>
      <c r="H60" s="44">
        <f t="shared" si="17"/>
        <v>37888</v>
      </c>
      <c r="I60" s="45">
        <f t="shared" si="3"/>
        <v>0</v>
      </c>
      <c r="J60" s="45">
        <f t="shared" si="4"/>
        <v>8.7244995505864325E-3</v>
      </c>
      <c r="K60" s="46">
        <f t="shared" si="9"/>
        <v>-8.7244995505864325E-3</v>
      </c>
    </row>
    <row r="61" spans="1:11" ht="16.5" thickBot="1" x14ac:dyDescent="0.3">
      <c r="A61" s="64"/>
      <c r="B61" s="51" t="s">
        <v>129</v>
      </c>
      <c r="C61" s="51">
        <v>9</v>
      </c>
      <c r="D61" s="51">
        <v>6491</v>
      </c>
      <c r="E61" s="51">
        <v>16</v>
      </c>
      <c r="F61" s="47">
        <f t="shared" si="16"/>
        <v>33</v>
      </c>
      <c r="G61" s="47">
        <f t="shared" si="7"/>
        <v>6475</v>
      </c>
      <c r="H61" s="47">
        <f t="shared" si="17"/>
        <v>31745</v>
      </c>
      <c r="I61" s="48">
        <f t="shared" si="3"/>
        <v>0.65617875535568004</v>
      </c>
      <c r="J61" s="48">
        <f t="shared" si="4"/>
        <v>-0.20968903045443277</v>
      </c>
      <c r="K61" s="49">
        <f t="shared" si="9"/>
        <v>0.86586778581011281</v>
      </c>
    </row>
    <row r="62" spans="1:11" x14ac:dyDescent="0.25">
      <c r="A62" s="59" t="s">
        <v>173</v>
      </c>
      <c r="B62" s="37" t="s">
        <v>34</v>
      </c>
      <c r="C62" s="37">
        <v>1</v>
      </c>
      <c r="D62" s="37">
        <v>4799</v>
      </c>
      <c r="E62" s="37">
        <v>30</v>
      </c>
      <c r="F62" s="37">
        <f>SUM($E$62:$E$66)-E62</f>
        <v>19</v>
      </c>
      <c r="G62" s="37">
        <f>D62-E62</f>
        <v>4769</v>
      </c>
      <c r="H62" s="37">
        <f>SUM($D$62:$D$66)-SUM($E$62:$E$66)-D62+E62</f>
        <v>33451</v>
      </c>
      <c r="I62" s="37">
        <f>IFERROR(LN((E62/(E62+F62))/(G62/(G62+H62))),0)</f>
        <v>1.5905993830475686</v>
      </c>
      <c r="J62" s="37">
        <f t="shared" si="4"/>
        <v>-0.8141040616256574</v>
      </c>
      <c r="K62" s="38">
        <f t="shared" si="9"/>
        <v>2.4047034446732258</v>
      </c>
    </row>
    <row r="63" spans="1:11" x14ac:dyDescent="0.25">
      <c r="A63" s="60"/>
      <c r="B63" s="32" t="s">
        <v>35</v>
      </c>
      <c r="C63" s="32">
        <v>2</v>
      </c>
      <c r="D63" s="32">
        <v>4718</v>
      </c>
      <c r="E63" s="32">
        <v>9</v>
      </c>
      <c r="F63" s="32">
        <f t="shared" ref="F63:F66" si="18">SUM($E$62:$E$66)-E63</f>
        <v>40</v>
      </c>
      <c r="G63" s="32">
        <f t="shared" ref="G63:G93" si="19">D63-E63</f>
        <v>4709</v>
      </c>
      <c r="H63" s="32">
        <f t="shared" ref="H63:H66" si="20">SUM($D$62:$D$66)-SUM($E$62:$E$66)-D63+E63</f>
        <v>33511</v>
      </c>
      <c r="I63" s="32">
        <f t="shared" ref="I63:I85" si="21">IFERROR(LN((E63/(E63+F63))/(G63/(G63+H63))),0)</f>
        <v>0.3992876467763023</v>
      </c>
      <c r="J63" s="32">
        <f t="shared" si="4"/>
        <v>-7.1455648326780766E-2</v>
      </c>
      <c r="K63" s="39">
        <f t="shared" si="9"/>
        <v>0.47074329510308305</v>
      </c>
    </row>
    <row r="64" spans="1:11" x14ac:dyDescent="0.25">
      <c r="A64" s="60"/>
      <c r="B64" s="32" t="s">
        <v>36</v>
      </c>
      <c r="C64" s="32">
        <v>3</v>
      </c>
      <c r="D64" s="32">
        <v>4572</v>
      </c>
      <c r="E64" s="32">
        <v>3</v>
      </c>
      <c r="F64" s="32">
        <f t="shared" si="18"/>
        <v>46</v>
      </c>
      <c r="G64" s="32">
        <f t="shared" si="19"/>
        <v>4569</v>
      </c>
      <c r="H64" s="32">
        <f t="shared" si="20"/>
        <v>33651</v>
      </c>
      <c r="I64" s="32">
        <f t="shared" si="21"/>
        <v>-0.66914343321152436</v>
      </c>
      <c r="J64" s="32">
        <f t="shared" si="4"/>
        <v>6.4137263859399329E-2</v>
      </c>
      <c r="K64" s="39">
        <f t="shared" si="9"/>
        <v>-0.73328069707092369</v>
      </c>
    </row>
    <row r="65" spans="1:11" x14ac:dyDescent="0.25">
      <c r="A65" s="60"/>
      <c r="B65" s="32" t="s">
        <v>37</v>
      </c>
      <c r="C65" s="32">
        <v>4</v>
      </c>
      <c r="D65" s="32">
        <f>1422+2897</f>
        <v>4319</v>
      </c>
      <c r="E65" s="32">
        <v>0</v>
      </c>
      <c r="F65" s="32">
        <f t="shared" si="18"/>
        <v>49</v>
      </c>
      <c r="G65" s="32">
        <f t="shared" si="19"/>
        <v>4319</v>
      </c>
      <c r="H65" s="32">
        <f t="shared" si="20"/>
        <v>33901</v>
      </c>
      <c r="I65" s="23">
        <f t="shared" si="21"/>
        <v>0</v>
      </c>
      <c r="J65" s="32">
        <f t="shared" si="4"/>
        <v>0.11991442633572155</v>
      </c>
      <c r="K65" s="39">
        <f t="shared" si="9"/>
        <v>-0.11991442633572155</v>
      </c>
    </row>
    <row r="66" spans="1:11" ht="16.5" thickBot="1" x14ac:dyDescent="0.3">
      <c r="A66" s="61"/>
      <c r="B66" s="36" t="s">
        <v>38</v>
      </c>
      <c r="C66" s="36">
        <v>5</v>
      </c>
      <c r="D66" s="36">
        <v>19861</v>
      </c>
      <c r="E66" s="36">
        <v>7</v>
      </c>
      <c r="F66" s="36">
        <f t="shared" si="18"/>
        <v>42</v>
      </c>
      <c r="G66" s="36">
        <f t="shared" si="19"/>
        <v>19854</v>
      </c>
      <c r="H66" s="36">
        <f t="shared" si="20"/>
        <v>18366</v>
      </c>
      <c r="I66" s="36">
        <f t="shared" si="21"/>
        <v>-1.2909567084107165</v>
      </c>
      <c r="J66" s="36">
        <f t="shared" si="4"/>
        <v>0.57870712979353811</v>
      </c>
      <c r="K66" s="40">
        <f t="shared" si="9"/>
        <v>-1.8696638382042545</v>
      </c>
    </row>
    <row r="67" spans="1:11" x14ac:dyDescent="0.25">
      <c r="A67" s="62" t="s">
        <v>174</v>
      </c>
      <c r="B67" s="53" t="s">
        <v>0</v>
      </c>
      <c r="C67" s="52">
        <v>1</v>
      </c>
      <c r="D67" s="52">
        <v>3371</v>
      </c>
      <c r="E67" s="52">
        <v>0</v>
      </c>
      <c r="F67" s="52">
        <f>SUM($E$67:$E$85)-E67</f>
        <v>49</v>
      </c>
      <c r="G67" s="52">
        <f t="shared" si="19"/>
        <v>3371</v>
      </c>
      <c r="H67" s="52">
        <f>SUM($D$67:$D$85)-SUM($E$67:$E$85)-D67+E67</f>
        <v>35162</v>
      </c>
      <c r="I67" s="42">
        <f t="shared" si="21"/>
        <v>0</v>
      </c>
      <c r="J67" s="42">
        <f t="shared" si="4"/>
        <v>9.1549062993122585E-2</v>
      </c>
      <c r="K67" s="43">
        <f>I67-J67</f>
        <v>-9.1549062993122585E-2</v>
      </c>
    </row>
    <row r="68" spans="1:11" x14ac:dyDescent="0.25">
      <c r="A68" s="63"/>
      <c r="B68" s="54" t="s">
        <v>1</v>
      </c>
      <c r="C68" s="50">
        <v>2</v>
      </c>
      <c r="D68" s="50">
        <v>674</v>
      </c>
      <c r="E68" s="50">
        <v>0</v>
      </c>
      <c r="F68" s="50">
        <f t="shared" ref="F68:F85" si="22">SUM($E$67:$E$85)-E68</f>
        <v>49</v>
      </c>
      <c r="G68" s="50">
        <f t="shared" si="19"/>
        <v>674</v>
      </c>
      <c r="H68" s="50">
        <f t="shared" ref="H68:H85" si="23">SUM($D$67:$D$85)-SUM($E$67:$E$85)-D68+E68</f>
        <v>37859</v>
      </c>
      <c r="I68" s="45">
        <f t="shared" si="21"/>
        <v>0</v>
      </c>
      <c r="J68" s="45">
        <f t="shared" si="4"/>
        <v>1.7646284682273645E-2</v>
      </c>
      <c r="K68" s="46">
        <f t="shared" si="9"/>
        <v>-1.7646284682273645E-2</v>
      </c>
    </row>
    <row r="69" spans="1:11" x14ac:dyDescent="0.25">
      <c r="A69" s="63"/>
      <c r="B69" s="54" t="s">
        <v>2</v>
      </c>
      <c r="C69" s="50">
        <v>3</v>
      </c>
      <c r="D69" s="50">
        <v>3848</v>
      </c>
      <c r="E69" s="50">
        <v>9</v>
      </c>
      <c r="F69" s="50">
        <f t="shared" si="22"/>
        <v>40</v>
      </c>
      <c r="G69" s="50">
        <f t="shared" si="19"/>
        <v>3839</v>
      </c>
      <c r="H69" s="50">
        <f t="shared" si="23"/>
        <v>34694</v>
      </c>
      <c r="I69" s="45">
        <f t="shared" si="21"/>
        <v>0.61170738022065241</v>
      </c>
      <c r="J69" s="45">
        <f t="shared" ref="J69:J85" si="24">IFERROR(LN((F69/(E69+F69))/(H69/(G69+H69))),0)</f>
        <v>-9.7992588322187116E-2</v>
      </c>
      <c r="K69" s="46">
        <f t="shared" si="9"/>
        <v>0.70969996854283957</v>
      </c>
    </row>
    <row r="70" spans="1:11" x14ac:dyDescent="0.25">
      <c r="A70" s="63"/>
      <c r="B70" s="54" t="s">
        <v>3</v>
      </c>
      <c r="C70" s="50">
        <v>4</v>
      </c>
      <c r="D70" s="50">
        <v>4425</v>
      </c>
      <c r="E70" s="50">
        <v>4</v>
      </c>
      <c r="F70" s="50">
        <f t="shared" si="22"/>
        <v>45</v>
      </c>
      <c r="G70" s="50">
        <f t="shared" si="19"/>
        <v>4421</v>
      </c>
      <c r="H70" s="50">
        <f t="shared" si="23"/>
        <v>34112</v>
      </c>
      <c r="I70" s="45">
        <f t="shared" si="21"/>
        <v>-0.34037683482112185</v>
      </c>
      <c r="J70" s="45">
        <f t="shared" si="24"/>
        <v>3.670798013003413E-2</v>
      </c>
      <c r="K70" s="46">
        <f t="shared" si="9"/>
        <v>-0.37708481495115598</v>
      </c>
    </row>
    <row r="71" spans="1:11" x14ac:dyDescent="0.25">
      <c r="A71" s="63"/>
      <c r="B71" s="54" t="s">
        <v>5</v>
      </c>
      <c r="C71" s="50">
        <v>5</v>
      </c>
      <c r="D71" s="50">
        <v>5395</v>
      </c>
      <c r="E71" s="50">
        <v>9</v>
      </c>
      <c r="F71" s="50">
        <f t="shared" si="22"/>
        <v>40</v>
      </c>
      <c r="G71" s="50">
        <f t="shared" si="19"/>
        <v>5386</v>
      </c>
      <c r="H71" s="50">
        <f t="shared" si="23"/>
        <v>33147</v>
      </c>
      <c r="I71" s="45">
        <f t="shared" si="21"/>
        <v>0.27311630184990604</v>
      </c>
      <c r="J71" s="45">
        <f t="shared" si="24"/>
        <v>-5.2378041782117531E-2</v>
      </c>
      <c r="K71" s="46">
        <f t="shared" si="9"/>
        <v>0.32549434363202356</v>
      </c>
    </row>
    <row r="72" spans="1:11" x14ac:dyDescent="0.25">
      <c r="A72" s="63"/>
      <c r="B72" s="54" t="s">
        <v>8</v>
      </c>
      <c r="C72" s="50">
        <v>6</v>
      </c>
      <c r="D72" s="50">
        <v>61</v>
      </c>
      <c r="E72" s="50">
        <v>0</v>
      </c>
      <c r="F72" s="50">
        <f t="shared" si="22"/>
        <v>49</v>
      </c>
      <c r="G72" s="50">
        <f t="shared" si="19"/>
        <v>61</v>
      </c>
      <c r="H72" s="50">
        <f t="shared" si="23"/>
        <v>38472</v>
      </c>
      <c r="I72" s="45">
        <f t="shared" si="21"/>
        <v>0</v>
      </c>
      <c r="J72" s="45">
        <f t="shared" si="24"/>
        <v>1.5843130383588649E-3</v>
      </c>
      <c r="K72" s="46">
        <f t="shared" si="9"/>
        <v>-1.5843130383588649E-3</v>
      </c>
    </row>
    <row r="73" spans="1:11" x14ac:dyDescent="0.25">
      <c r="A73" s="63"/>
      <c r="B73" s="54" t="s">
        <v>9</v>
      </c>
      <c r="C73" s="50">
        <v>7</v>
      </c>
      <c r="D73" s="50">
        <v>0</v>
      </c>
      <c r="E73" s="50">
        <v>0</v>
      </c>
      <c r="F73" s="50">
        <f t="shared" si="22"/>
        <v>49</v>
      </c>
      <c r="G73" s="50">
        <f t="shared" si="19"/>
        <v>0</v>
      </c>
      <c r="H73" s="50">
        <f t="shared" si="23"/>
        <v>38533</v>
      </c>
      <c r="I73" s="45">
        <f t="shared" si="21"/>
        <v>0</v>
      </c>
      <c r="J73" s="45">
        <f t="shared" si="24"/>
        <v>0</v>
      </c>
      <c r="K73" s="46">
        <f t="shared" si="9"/>
        <v>0</v>
      </c>
    </row>
    <row r="74" spans="1:11" x14ac:dyDescent="0.25">
      <c r="A74" s="63"/>
      <c r="B74" s="54" t="s">
        <v>10</v>
      </c>
      <c r="C74" s="50">
        <v>8</v>
      </c>
      <c r="D74" s="50">
        <v>1999</v>
      </c>
      <c r="E74" s="50">
        <v>0</v>
      </c>
      <c r="F74" s="50">
        <f t="shared" si="22"/>
        <v>49</v>
      </c>
      <c r="G74" s="50">
        <f t="shared" si="19"/>
        <v>1999</v>
      </c>
      <c r="H74" s="50">
        <f t="shared" si="23"/>
        <v>36534</v>
      </c>
      <c r="I74" s="45">
        <f t="shared" si="21"/>
        <v>0</v>
      </c>
      <c r="J74" s="45">
        <f t="shared" si="24"/>
        <v>5.3271683159228388E-2</v>
      </c>
      <c r="K74" s="46">
        <f t="shared" ref="K74:K85" si="25">I74-J74</f>
        <v>-5.3271683159228388E-2</v>
      </c>
    </row>
    <row r="75" spans="1:11" x14ac:dyDescent="0.25">
      <c r="A75" s="63"/>
      <c r="B75" s="54" t="s">
        <v>11</v>
      </c>
      <c r="C75" s="50">
        <v>9</v>
      </c>
      <c r="D75" s="50">
        <v>2079</v>
      </c>
      <c r="E75" s="50">
        <v>1</v>
      </c>
      <c r="F75" s="50">
        <f t="shared" si="22"/>
        <v>48</v>
      </c>
      <c r="G75" s="50">
        <f t="shared" si="19"/>
        <v>2078</v>
      </c>
      <c r="H75" s="50">
        <f t="shared" si="23"/>
        <v>36455</v>
      </c>
      <c r="I75" s="45">
        <f t="shared" si="21"/>
        <v>-0.97171117377394201</v>
      </c>
      <c r="J75" s="45">
        <f t="shared" si="24"/>
        <v>3.4817106552590918E-2</v>
      </c>
      <c r="K75" s="46">
        <f t="shared" si="25"/>
        <v>-1.006528280326533</v>
      </c>
    </row>
    <row r="76" spans="1:11" x14ac:dyDescent="0.25">
      <c r="A76" s="63"/>
      <c r="B76" s="54" t="s">
        <v>12</v>
      </c>
      <c r="C76" s="50">
        <v>10</v>
      </c>
      <c r="D76" s="50">
        <v>364</v>
      </c>
      <c r="E76" s="50">
        <v>0</v>
      </c>
      <c r="F76" s="50">
        <f t="shared" si="22"/>
        <v>49</v>
      </c>
      <c r="G76" s="50">
        <f t="shared" si="19"/>
        <v>364</v>
      </c>
      <c r="H76" s="50">
        <f t="shared" si="23"/>
        <v>38169</v>
      </c>
      <c r="I76" s="45">
        <f t="shared" si="21"/>
        <v>0</v>
      </c>
      <c r="J76" s="45">
        <f t="shared" si="24"/>
        <v>9.4913491850471977E-3</v>
      </c>
      <c r="K76" s="46">
        <f t="shared" si="25"/>
        <v>-9.4913491850471977E-3</v>
      </c>
    </row>
    <row r="77" spans="1:11" x14ac:dyDescent="0.25">
      <c r="A77" s="63"/>
      <c r="B77" s="54" t="s">
        <v>13</v>
      </c>
      <c r="C77" s="50">
        <v>11</v>
      </c>
      <c r="D77" s="50">
        <v>1419</v>
      </c>
      <c r="E77" s="50">
        <v>1</v>
      </c>
      <c r="F77" s="50">
        <f t="shared" si="22"/>
        <v>48</v>
      </c>
      <c r="G77" s="50">
        <f t="shared" si="19"/>
        <v>1418</v>
      </c>
      <c r="H77" s="50">
        <f t="shared" si="23"/>
        <v>37115</v>
      </c>
      <c r="I77" s="45">
        <f t="shared" si="21"/>
        <v>-0.589552709206842</v>
      </c>
      <c r="J77" s="45">
        <f t="shared" si="24"/>
        <v>1.6874529241474239E-2</v>
      </c>
      <c r="K77" s="46">
        <f t="shared" si="25"/>
        <v>-0.60642723844831625</v>
      </c>
    </row>
    <row r="78" spans="1:11" x14ac:dyDescent="0.25">
      <c r="A78" s="63"/>
      <c r="B78" s="54" t="s">
        <v>14</v>
      </c>
      <c r="C78" s="50">
        <v>12</v>
      </c>
      <c r="D78" s="50">
        <v>899</v>
      </c>
      <c r="E78" s="50">
        <v>0</v>
      </c>
      <c r="F78" s="50">
        <f t="shared" si="22"/>
        <v>49</v>
      </c>
      <c r="G78" s="50">
        <f t="shared" si="19"/>
        <v>899</v>
      </c>
      <c r="H78" s="50">
        <f t="shared" si="23"/>
        <v>37634</v>
      </c>
      <c r="I78" s="45">
        <f t="shared" si="21"/>
        <v>0</v>
      </c>
      <c r="J78" s="45">
        <f t="shared" si="24"/>
        <v>2.3607119891267684E-2</v>
      </c>
      <c r="K78" s="46">
        <f t="shared" si="25"/>
        <v>-2.3607119891267684E-2</v>
      </c>
    </row>
    <row r="79" spans="1:11" x14ac:dyDescent="0.25">
      <c r="A79" s="63"/>
      <c r="B79" s="54" t="s">
        <v>15</v>
      </c>
      <c r="C79" s="50">
        <v>13</v>
      </c>
      <c r="D79" s="50">
        <v>345</v>
      </c>
      <c r="E79" s="50">
        <v>0</v>
      </c>
      <c r="F79" s="50">
        <f t="shared" si="22"/>
        <v>49</v>
      </c>
      <c r="G79" s="50">
        <f t="shared" si="19"/>
        <v>345</v>
      </c>
      <c r="H79" s="50">
        <f t="shared" si="23"/>
        <v>38188</v>
      </c>
      <c r="I79" s="45">
        <f t="shared" si="21"/>
        <v>0</v>
      </c>
      <c r="J79" s="45">
        <f t="shared" si="24"/>
        <v>8.9936868779333951E-3</v>
      </c>
      <c r="K79" s="46">
        <f t="shared" si="25"/>
        <v>-8.9936868779333951E-3</v>
      </c>
    </row>
    <row r="80" spans="1:11" x14ac:dyDescent="0.25">
      <c r="A80" s="63"/>
      <c r="B80" s="54" t="s">
        <v>16</v>
      </c>
      <c r="C80" s="50">
        <v>14</v>
      </c>
      <c r="D80" s="50">
        <v>632</v>
      </c>
      <c r="E80" s="50">
        <v>18</v>
      </c>
      <c r="F80" s="50">
        <f t="shared" si="22"/>
        <v>31</v>
      </c>
      <c r="G80" s="50">
        <f t="shared" si="19"/>
        <v>614</v>
      </c>
      <c r="H80" s="50">
        <f t="shared" si="23"/>
        <v>37919</v>
      </c>
      <c r="I80" s="45">
        <f t="shared" si="21"/>
        <v>3.1378268276342531</v>
      </c>
      <c r="J80" s="45">
        <f t="shared" si="24"/>
        <v>-0.44177038234283517</v>
      </c>
      <c r="K80" s="46">
        <f t="shared" si="25"/>
        <v>3.5795972099770883</v>
      </c>
    </row>
    <row r="81" spans="1:11" x14ac:dyDescent="0.25">
      <c r="A81" s="63"/>
      <c r="B81" s="54" t="s">
        <v>17</v>
      </c>
      <c r="C81" s="50">
        <v>15</v>
      </c>
      <c r="D81" s="50">
        <v>6869</v>
      </c>
      <c r="E81" s="50">
        <v>2</v>
      </c>
      <c r="F81" s="50">
        <f t="shared" si="22"/>
        <v>47</v>
      </c>
      <c r="G81" s="50">
        <f t="shared" si="19"/>
        <v>6867</v>
      </c>
      <c r="H81" s="50">
        <f t="shared" si="23"/>
        <v>31666</v>
      </c>
      <c r="I81" s="45">
        <f t="shared" si="21"/>
        <v>-1.4738854301755004</v>
      </c>
      <c r="J81" s="45">
        <f t="shared" si="24"/>
        <v>0.15459877053390977</v>
      </c>
      <c r="K81" s="46">
        <f t="shared" si="25"/>
        <v>-1.6284842007094102</v>
      </c>
    </row>
    <row r="82" spans="1:11" x14ac:dyDescent="0.25">
      <c r="A82" s="63"/>
      <c r="B82" s="54" t="s">
        <v>18</v>
      </c>
      <c r="C82" s="50">
        <v>16</v>
      </c>
      <c r="D82" s="50">
        <v>1455</v>
      </c>
      <c r="E82" s="50">
        <v>0</v>
      </c>
      <c r="F82" s="50">
        <f t="shared" si="22"/>
        <v>49</v>
      </c>
      <c r="G82" s="50">
        <f t="shared" si="19"/>
        <v>1455</v>
      </c>
      <c r="H82" s="50">
        <f t="shared" si="23"/>
        <v>37078</v>
      </c>
      <c r="I82" s="45">
        <f t="shared" si="21"/>
        <v>0</v>
      </c>
      <c r="J82" s="45">
        <f t="shared" si="24"/>
        <v>3.8491215203319676E-2</v>
      </c>
      <c r="K82" s="46">
        <f t="shared" si="25"/>
        <v>-3.8491215203319676E-2</v>
      </c>
    </row>
    <row r="83" spans="1:11" x14ac:dyDescent="0.25">
      <c r="A83" s="63"/>
      <c r="B83" s="54" t="s">
        <v>19</v>
      </c>
      <c r="C83" s="50">
        <v>17</v>
      </c>
      <c r="D83" s="50">
        <v>420</v>
      </c>
      <c r="E83" s="50">
        <v>5</v>
      </c>
      <c r="F83" s="50">
        <f t="shared" si="22"/>
        <v>44</v>
      </c>
      <c r="G83" s="50">
        <f t="shared" si="19"/>
        <v>415</v>
      </c>
      <c r="H83" s="50">
        <f t="shared" si="23"/>
        <v>38118</v>
      </c>
      <c r="I83" s="45">
        <f t="shared" si="21"/>
        <v>2.2486093900886326</v>
      </c>
      <c r="J83" s="45">
        <f t="shared" si="24"/>
        <v>-9.6802258691096293E-2</v>
      </c>
      <c r="K83" s="46">
        <f t="shared" si="25"/>
        <v>2.345411648779729</v>
      </c>
    </row>
    <row r="84" spans="1:11" x14ac:dyDescent="0.25">
      <c r="A84" s="63"/>
      <c r="B84" s="54" t="s">
        <v>20</v>
      </c>
      <c r="C84" s="50">
        <v>18</v>
      </c>
      <c r="D84" s="50">
        <v>2011</v>
      </c>
      <c r="E84" s="50">
        <v>0</v>
      </c>
      <c r="F84" s="50">
        <f t="shared" si="22"/>
        <v>49</v>
      </c>
      <c r="G84" s="50">
        <f t="shared" si="19"/>
        <v>2011</v>
      </c>
      <c r="H84" s="50">
        <f t="shared" si="23"/>
        <v>36522</v>
      </c>
      <c r="I84" s="45">
        <f t="shared" si="21"/>
        <v>0</v>
      </c>
      <c r="J84" s="45">
        <f t="shared" si="24"/>
        <v>5.360019827387788E-2</v>
      </c>
      <c r="K84" s="46">
        <f t="shared" si="25"/>
        <v>-5.360019827387788E-2</v>
      </c>
    </row>
    <row r="85" spans="1:11" ht="16.5" thickBot="1" x14ac:dyDescent="0.3">
      <c r="A85" s="64"/>
      <c r="B85" s="55" t="s">
        <v>21</v>
      </c>
      <c r="C85" s="51">
        <v>19</v>
      </c>
      <c r="D85" s="51">
        <v>2316</v>
      </c>
      <c r="E85" s="51">
        <v>0</v>
      </c>
      <c r="F85" s="51">
        <f t="shared" si="22"/>
        <v>49</v>
      </c>
      <c r="G85" s="51">
        <f t="shared" si="19"/>
        <v>2316</v>
      </c>
      <c r="H85" s="51">
        <f t="shared" si="23"/>
        <v>36217</v>
      </c>
      <c r="I85" s="48">
        <f t="shared" si="21"/>
        <v>0</v>
      </c>
      <c r="J85" s="48">
        <f t="shared" si="24"/>
        <v>6.1986395156123093E-2</v>
      </c>
      <c r="K85" s="49">
        <f t="shared" si="25"/>
        <v>-6.1986395156123093E-2</v>
      </c>
    </row>
    <row r="86" spans="1:11" x14ac:dyDescent="0.25">
      <c r="A86" s="59" t="s">
        <v>175</v>
      </c>
      <c r="B86" s="37" t="s">
        <v>134</v>
      </c>
      <c r="C86" s="37">
        <v>1</v>
      </c>
      <c r="D86" s="37">
        <v>2959</v>
      </c>
      <c r="E86" s="37">
        <v>0</v>
      </c>
      <c r="F86" s="37">
        <f>SUM($E$86:$E$93)-E86</f>
        <v>49</v>
      </c>
      <c r="G86" s="37">
        <f>D86-E86</f>
        <v>2959</v>
      </c>
      <c r="H86" s="37">
        <f>SUM($D$86:$D$93)-SUM($E$86:$E$93)-D86+E86</f>
        <v>35261</v>
      </c>
      <c r="I86" s="26">
        <f>IFERROR(LN((E86/(E86+F86))/(G86/(G86+H86))),0)</f>
        <v>0</v>
      </c>
      <c r="J86" s="26">
        <f>IFERROR(LN((F86/(E86+F86))/(H86/(G86+H86))),0)</f>
        <v>8.0581401495837521E-2</v>
      </c>
      <c r="K86" s="27">
        <f>I86-J86</f>
        <v>-8.0581401495837521E-2</v>
      </c>
    </row>
    <row r="87" spans="1:11" x14ac:dyDescent="0.25">
      <c r="A87" s="60"/>
      <c r="B87" s="32" t="s">
        <v>135</v>
      </c>
      <c r="C87" s="32">
        <v>2</v>
      </c>
      <c r="D87" s="32">
        <v>7404</v>
      </c>
      <c r="E87" s="32">
        <v>25</v>
      </c>
      <c r="F87" s="32">
        <f t="shared" ref="F87:F93" si="26">SUM($E$86:$E$93)-E87</f>
        <v>24</v>
      </c>
      <c r="G87" s="32">
        <f t="shared" si="19"/>
        <v>7379</v>
      </c>
      <c r="H87" s="32">
        <f>SUM($D$86:$D$93)-SUM($E$86:$E$93)-D87+E87</f>
        <v>30841</v>
      </c>
      <c r="I87" s="23">
        <f t="shared" ref="I87:I93" si="27">IFERROR(LN((E87/(E87+F87))/(G87/(G87+H87))),0)</f>
        <v>0.97177633749347159</v>
      </c>
      <c r="J87" s="23">
        <f t="shared" ref="J87:J93" si="28">IFERROR(LN((F87/(E87+F87))/(H87/(G87+H87))),0)</f>
        <v>-0.4992525025415207</v>
      </c>
      <c r="K87" s="28">
        <f>I87-J87</f>
        <v>1.4710288400349922</v>
      </c>
    </row>
    <row r="88" spans="1:11" x14ac:dyDescent="0.25">
      <c r="A88" s="60"/>
      <c r="B88" s="32" t="s">
        <v>136</v>
      </c>
      <c r="C88" s="32">
        <v>3</v>
      </c>
      <c r="D88" s="32">
        <v>2355</v>
      </c>
      <c r="E88" s="32">
        <v>12</v>
      </c>
      <c r="F88" s="32">
        <f t="shared" si="26"/>
        <v>37</v>
      </c>
      <c r="G88" s="32">
        <f t="shared" si="19"/>
        <v>2343</v>
      </c>
      <c r="H88" s="32">
        <f t="shared" ref="H88:H93" si="29">SUM($D$86:$D$93)-SUM($E$86:$E$93)-D88+E88</f>
        <v>35877</v>
      </c>
      <c r="I88" s="23">
        <f t="shared" si="27"/>
        <v>1.385013130963842</v>
      </c>
      <c r="J88" s="23">
        <f t="shared" si="28"/>
        <v>-0.21763986830905532</v>
      </c>
      <c r="K88" s="28">
        <f t="shared" ref="K88:K93" si="30">I88-J88</f>
        <v>1.6026529992728973</v>
      </c>
    </row>
    <row r="89" spans="1:11" x14ac:dyDescent="0.25">
      <c r="A89" s="60"/>
      <c r="B89" s="32" t="s">
        <v>137</v>
      </c>
      <c r="C89" s="32">
        <v>4</v>
      </c>
      <c r="D89" s="32">
        <v>3603</v>
      </c>
      <c r="E89" s="32">
        <v>0</v>
      </c>
      <c r="F89" s="32">
        <f t="shared" si="26"/>
        <v>49</v>
      </c>
      <c r="G89" s="32">
        <f t="shared" si="19"/>
        <v>3603</v>
      </c>
      <c r="H89" s="32">
        <f t="shared" si="29"/>
        <v>34617</v>
      </c>
      <c r="I89" s="23">
        <f t="shared" si="27"/>
        <v>0</v>
      </c>
      <c r="J89" s="23">
        <f t="shared" si="28"/>
        <v>9.9014047931486687E-2</v>
      </c>
      <c r="K89" s="28">
        <f t="shared" si="30"/>
        <v>-9.9014047931486687E-2</v>
      </c>
    </row>
    <row r="90" spans="1:11" ht="16.7" customHeight="1" x14ac:dyDescent="0.25">
      <c r="A90" s="60"/>
      <c r="B90" s="32" t="s">
        <v>138</v>
      </c>
      <c r="C90" s="32">
        <v>5</v>
      </c>
      <c r="D90" s="32">
        <v>2882</v>
      </c>
      <c r="E90" s="32">
        <v>7</v>
      </c>
      <c r="F90" s="32">
        <f t="shared" si="26"/>
        <v>42</v>
      </c>
      <c r="G90" s="32">
        <f t="shared" si="19"/>
        <v>2875</v>
      </c>
      <c r="H90" s="32">
        <f t="shared" si="29"/>
        <v>35345</v>
      </c>
      <c r="I90" s="23">
        <f t="shared" si="27"/>
        <v>0.64139611550749986</v>
      </c>
      <c r="J90" s="23">
        <f t="shared" si="28"/>
        <v>-7.5948680638048813E-2</v>
      </c>
      <c r="K90" s="28">
        <f t="shared" si="30"/>
        <v>0.71734479614554869</v>
      </c>
    </row>
    <row r="91" spans="1:11" x14ac:dyDescent="0.25">
      <c r="A91" s="60"/>
      <c r="B91" s="32" t="s">
        <v>139</v>
      </c>
      <c r="C91" s="32">
        <v>6</v>
      </c>
      <c r="D91" s="32">
        <v>2779</v>
      </c>
      <c r="E91" s="32">
        <v>1</v>
      </c>
      <c r="F91" s="32">
        <f t="shared" si="26"/>
        <v>48</v>
      </c>
      <c r="G91" s="32">
        <f t="shared" si="19"/>
        <v>2778</v>
      </c>
      <c r="H91" s="32">
        <f>SUM($D$86:$D$93)-SUM($E$86:$E$93)-D91+E91</f>
        <v>35442</v>
      </c>
      <c r="I91" s="23">
        <f t="shared" si="27"/>
        <v>-1.2701926036306517</v>
      </c>
      <c r="J91" s="23">
        <f t="shared" si="28"/>
        <v>5.4842094056238168E-2</v>
      </c>
      <c r="K91" s="28">
        <f t="shared" si="30"/>
        <v>-1.3250346976868899</v>
      </c>
    </row>
    <row r="92" spans="1:11" x14ac:dyDescent="0.25">
      <c r="A92" s="60"/>
      <c r="B92" s="32" t="s">
        <v>140</v>
      </c>
      <c r="C92" s="32">
        <v>7</v>
      </c>
      <c r="D92" s="32">
        <v>2881</v>
      </c>
      <c r="E92" s="32">
        <v>0</v>
      </c>
      <c r="F92" s="32">
        <f t="shared" si="26"/>
        <v>49</v>
      </c>
      <c r="G92" s="32">
        <f t="shared" si="19"/>
        <v>2881</v>
      </c>
      <c r="H92" s="32">
        <f t="shared" si="29"/>
        <v>35339</v>
      </c>
      <c r="I92" s="23">
        <f t="shared" si="27"/>
        <v>0</v>
      </c>
      <c r="J92" s="23">
        <f t="shared" si="28"/>
        <v>7.8371768868752689E-2</v>
      </c>
      <c r="K92" s="28">
        <f t="shared" si="30"/>
        <v>-7.8371768868752689E-2</v>
      </c>
    </row>
    <row r="93" spans="1:11" ht="16.5" thickBot="1" x14ac:dyDescent="0.3">
      <c r="A93" s="61"/>
      <c r="B93" s="36" t="s">
        <v>141</v>
      </c>
      <c r="C93" s="36">
        <v>8</v>
      </c>
      <c r="D93" s="36">
        <v>13406</v>
      </c>
      <c r="E93" s="36">
        <v>4</v>
      </c>
      <c r="F93" s="36">
        <f t="shared" si="26"/>
        <v>45</v>
      </c>
      <c r="G93" s="36">
        <f t="shared" si="19"/>
        <v>13402</v>
      </c>
      <c r="H93" s="36">
        <f t="shared" si="29"/>
        <v>24818</v>
      </c>
      <c r="I93" s="30">
        <f t="shared" si="27"/>
        <v>-1.457570947729588</v>
      </c>
      <c r="J93" s="30">
        <f t="shared" si="28"/>
        <v>0.3466319341193923</v>
      </c>
      <c r="K93" s="31">
        <f t="shared" si="30"/>
        <v>-1.8042028818489801</v>
      </c>
    </row>
  </sheetData>
  <sheetProtection algorithmName="SHA-512" hashValue="iWi2wuhYdRqnL3A5tj3YORN6QJaOlYYJyHLijJH2plV3iZNHcz0f+cqJFothZ4WNzLAv0Mr5cboG+WZzXKlCmw==" saltValue="oCyVDQBltsnpjKEyhjiyrQ==" spinCount="100000" sheet="1" objects="1" scenarios="1"/>
  <mergeCells count="9">
    <mergeCell ref="A62:A66"/>
    <mergeCell ref="A67:A85"/>
    <mergeCell ref="A86:A93"/>
    <mergeCell ref="A2:A8"/>
    <mergeCell ref="A9:A14"/>
    <mergeCell ref="A15:A19"/>
    <mergeCell ref="A20:A31"/>
    <mergeCell ref="A32:A52"/>
    <mergeCell ref="A53:A6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83E64-28A5-4417-885E-1A6A851A8B7C}">
  <dimension ref="A1:D24"/>
  <sheetViews>
    <sheetView topLeftCell="A3" workbookViewId="0">
      <selection activeCell="C24" sqref="C24"/>
    </sheetView>
  </sheetViews>
  <sheetFormatPr baseColWidth="10" defaultRowHeight="15.75" x14ac:dyDescent="0.25"/>
  <cols>
    <col min="2" max="2" width="40" customWidth="1"/>
    <col min="3" max="3" width="14.375" customWidth="1"/>
    <col min="4" max="4" width="14.625" customWidth="1"/>
  </cols>
  <sheetData>
    <row r="1" spans="1:4" x14ac:dyDescent="0.25">
      <c r="A1" s="2" t="s">
        <v>22</v>
      </c>
      <c r="B1" s="2" t="s">
        <v>23</v>
      </c>
      <c r="C1" s="2" t="s">
        <v>24</v>
      </c>
      <c r="D1" s="2" t="s">
        <v>25</v>
      </c>
    </row>
    <row r="2" spans="1:4" x14ac:dyDescent="0.25">
      <c r="A2" s="2">
        <v>1</v>
      </c>
      <c r="B2" s="3" t="s">
        <v>0</v>
      </c>
      <c r="C2" s="9">
        <v>42.643087999999999</v>
      </c>
      <c r="D2" s="5">
        <f>Tabla1[[#This Row],[Área (ha)]]/Tabla1[[#Totals],[Área (ha)]]</f>
        <v>7.1323988209145289E-2</v>
      </c>
    </row>
    <row r="3" spans="1:4" x14ac:dyDescent="0.25">
      <c r="A3" s="2">
        <v>2</v>
      </c>
      <c r="B3" s="3" t="s">
        <v>1</v>
      </c>
      <c r="C3" s="9">
        <v>2.7377280000000002</v>
      </c>
      <c r="D3" s="5">
        <f>Tabla1[[#This Row],[Área (ha)]]/Tabla1[[#Totals],[Área (ha)]]</f>
        <v>4.5790698739229885E-3</v>
      </c>
    </row>
    <row r="4" spans="1:4" x14ac:dyDescent="0.25">
      <c r="A4" s="2">
        <v>3</v>
      </c>
      <c r="B4" s="3" t="s">
        <v>2</v>
      </c>
      <c r="C4" s="9">
        <v>45.660752000000002</v>
      </c>
      <c r="D4" s="5">
        <f>Tabla1[[#This Row],[Área (ha)]]/Tabla1[[#Totals],[Área (ha)]]</f>
        <v>7.6371273517262805E-2</v>
      </c>
    </row>
    <row r="5" spans="1:4" x14ac:dyDescent="0.25">
      <c r="A5" s="2">
        <v>4</v>
      </c>
      <c r="B5" s="3" t="s">
        <v>3</v>
      </c>
      <c r="C5" s="9">
        <v>4.3257760000000003</v>
      </c>
      <c r="D5" s="5">
        <f>Tabla1[[#This Row],[Área (ha)]]/Tabla1[[#Totals],[Área (ha)]]</f>
        <v>7.2352076477060871E-3</v>
      </c>
    </row>
    <row r="6" spans="1:4" x14ac:dyDescent="0.25">
      <c r="A6" s="2">
        <v>5</v>
      </c>
      <c r="B6" s="3" t="s">
        <v>4</v>
      </c>
      <c r="C6" s="9">
        <v>7.9384420000000002</v>
      </c>
      <c r="D6" s="5">
        <f>Tabla1[[#This Row],[Área (ha)]]/Tabla1[[#Totals],[Área (ha)]]</f>
        <v>1.3277681569566062E-2</v>
      </c>
    </row>
    <row r="7" spans="1:4" x14ac:dyDescent="0.25">
      <c r="A7" s="2">
        <v>6</v>
      </c>
      <c r="B7" s="3" t="s">
        <v>5</v>
      </c>
      <c r="C7" s="9">
        <v>78.657438999999997</v>
      </c>
      <c r="D7" s="5">
        <f>Tabla1[[#This Row],[Área (ha)]]/Tabla1[[#Totals],[Área (ha)]]</f>
        <v>0.13156088160870441</v>
      </c>
    </row>
    <row r="8" spans="1:4" x14ac:dyDescent="0.25">
      <c r="A8" s="2">
        <v>7</v>
      </c>
      <c r="B8" s="3" t="s">
        <v>6</v>
      </c>
      <c r="C8" s="9">
        <v>8.1382390000000004</v>
      </c>
      <c r="D8" s="5">
        <f>Tabla1[[#This Row],[Área (ha)]]/Tabla1[[#Totals],[Área (ha)]]</f>
        <v>1.3611858092434731E-2</v>
      </c>
    </row>
    <row r="9" spans="1:4" x14ac:dyDescent="0.25">
      <c r="A9" s="2">
        <v>8</v>
      </c>
      <c r="B9" s="3" t="s">
        <v>7</v>
      </c>
      <c r="C9" s="9">
        <v>5.869955</v>
      </c>
      <c r="D9" s="5">
        <f>Tabla1[[#This Row],[Área (ha)]]/Tabla1[[#Totals],[Área (ha)]]</f>
        <v>9.8179709970397412E-3</v>
      </c>
    </row>
    <row r="10" spans="1:4" x14ac:dyDescent="0.25">
      <c r="A10" s="2">
        <v>9</v>
      </c>
      <c r="B10" s="3" t="s">
        <v>8</v>
      </c>
      <c r="C10" s="9">
        <v>19.227637000000001</v>
      </c>
      <c r="D10" s="5">
        <f>Tabla1[[#This Row],[Área (ha)]]/Tabla1[[#Totals],[Área (ha)]]</f>
        <v>3.2159766541244049E-2</v>
      </c>
    </row>
    <row r="11" spans="1:4" x14ac:dyDescent="0.25">
      <c r="A11" s="2">
        <v>10</v>
      </c>
      <c r="B11" s="3" t="s">
        <v>9</v>
      </c>
      <c r="C11" s="9">
        <v>12.997313</v>
      </c>
      <c r="D11" s="5">
        <f>Tabla1[[#This Row],[Área (ha)]]/Tabla1[[#Totals],[Área (ha)]]</f>
        <v>2.173904946008063E-2</v>
      </c>
    </row>
    <row r="12" spans="1:4" x14ac:dyDescent="0.25">
      <c r="A12" s="2">
        <v>11</v>
      </c>
      <c r="B12" s="3" t="s">
        <v>10</v>
      </c>
      <c r="C12" s="9">
        <v>26.455914</v>
      </c>
      <c r="D12" s="5">
        <f>Tabla1[[#This Row],[Área (ha)]]/Tabla1[[#Totals],[Área (ha)]]</f>
        <v>4.4249640133898413E-2</v>
      </c>
    </row>
    <row r="13" spans="1:4" x14ac:dyDescent="0.25">
      <c r="A13" s="2">
        <v>12</v>
      </c>
      <c r="B13" s="3" t="s">
        <v>11</v>
      </c>
      <c r="C13" s="9">
        <v>9.9320160000000008</v>
      </c>
      <c r="D13" s="5">
        <f>Tabla1[[#This Row],[Área (ha)]]/Tabla1[[#Totals],[Área (ha)]]</f>
        <v>1.6612094135327216E-2</v>
      </c>
    </row>
    <row r="14" spans="1:4" x14ac:dyDescent="0.25">
      <c r="A14" s="2">
        <v>13</v>
      </c>
      <c r="B14" s="3" t="s">
        <v>12</v>
      </c>
      <c r="C14" s="9">
        <v>3.1736279999999999</v>
      </c>
      <c r="D14" s="5">
        <f>Tabla1[[#This Row],[Área (ha)]]/Tabla1[[#Totals],[Área (ha)]]</f>
        <v>5.308147619426936E-3</v>
      </c>
    </row>
    <row r="15" spans="1:4" x14ac:dyDescent="0.25">
      <c r="A15" s="2">
        <v>14</v>
      </c>
      <c r="B15" s="3" t="s">
        <v>13</v>
      </c>
      <c r="C15" s="9">
        <v>74.941393000000005</v>
      </c>
      <c r="D15" s="5">
        <f>Tabla1[[#This Row],[Área (ha)]]/Tabla1[[#Totals],[Área (ha)]]</f>
        <v>0.12534549633715372</v>
      </c>
    </row>
    <row r="16" spans="1:4" x14ac:dyDescent="0.25">
      <c r="A16" s="2">
        <v>15</v>
      </c>
      <c r="B16" s="3" t="s">
        <v>14</v>
      </c>
      <c r="C16" s="9">
        <v>36.423535000000001</v>
      </c>
      <c r="D16" s="5">
        <f>Tabla1[[#This Row],[Área (ha)]]/Tabla1[[#Totals],[Área (ha)]]</f>
        <v>6.0921286490213625E-2</v>
      </c>
    </row>
    <row r="17" spans="1:4" x14ac:dyDescent="0.25">
      <c r="A17" s="2">
        <v>16</v>
      </c>
      <c r="B17" s="3" t="s">
        <v>15</v>
      </c>
      <c r="C17" s="9">
        <v>2.1945670000000002</v>
      </c>
      <c r="D17" s="5">
        <f>Tabla1[[#This Row],[Área (ha)]]/Tabla1[[#Totals],[Área (ha)]]</f>
        <v>3.6705894946486837E-3</v>
      </c>
    </row>
    <row r="18" spans="1:4" x14ac:dyDescent="0.25">
      <c r="A18" s="2">
        <v>17</v>
      </c>
      <c r="B18" s="3" t="s">
        <v>16</v>
      </c>
      <c r="C18" s="9">
        <v>6.5732609999999996</v>
      </c>
      <c r="D18" s="5">
        <f>Tabla1[[#This Row],[Área (ha)]]/Tabla1[[#Totals],[Área (ha)]]</f>
        <v>1.0994306745788076E-2</v>
      </c>
    </row>
    <row r="19" spans="1:4" x14ac:dyDescent="0.25">
      <c r="A19" s="2">
        <v>18</v>
      </c>
      <c r="B19" s="3" t="s">
        <v>17</v>
      </c>
      <c r="C19" s="9">
        <v>100.15187299999999</v>
      </c>
      <c r="D19" s="5">
        <f>Tabla1[[#This Row],[Área (ha)]]/Tabla1[[#Totals],[Área (ha)]]</f>
        <v>0.16751204811846215</v>
      </c>
    </row>
    <row r="20" spans="1:4" x14ac:dyDescent="0.25">
      <c r="A20" s="2">
        <v>19</v>
      </c>
      <c r="B20" s="3" t="s">
        <v>18</v>
      </c>
      <c r="C20" s="9">
        <v>19.164383999999998</v>
      </c>
      <c r="D20" s="5">
        <f>Tabla1[[#This Row],[Área (ha)]]/Tabla1[[#Totals],[Área (ha)]]</f>
        <v>3.205397082058252E-2</v>
      </c>
    </row>
    <row r="21" spans="1:4" x14ac:dyDescent="0.25">
      <c r="A21" s="2">
        <v>20</v>
      </c>
      <c r="B21" s="3" t="s">
        <v>19</v>
      </c>
      <c r="C21" s="9">
        <v>5.7606440000000001</v>
      </c>
      <c r="D21" s="5">
        <f>Tabla1[[#This Row],[Área (ha)]]/Tabla1[[#Totals],[Área (ha)]]</f>
        <v>9.6351395736885559E-3</v>
      </c>
    </row>
    <row r="22" spans="1:4" x14ac:dyDescent="0.25">
      <c r="A22" s="2">
        <v>21</v>
      </c>
      <c r="B22" s="3" t="s">
        <v>20</v>
      </c>
      <c r="C22" s="9">
        <v>23.280563999999998</v>
      </c>
      <c r="D22" s="5">
        <f>Tabla1[[#This Row],[Área (ha)]]/Tabla1[[#Totals],[Área (ha)]]</f>
        <v>3.8938612331223574E-2</v>
      </c>
    </row>
    <row r="23" spans="1:4" x14ac:dyDescent="0.25">
      <c r="A23" s="2">
        <v>22</v>
      </c>
      <c r="B23" s="3" t="s">
        <v>21</v>
      </c>
      <c r="C23" s="9">
        <v>61.630476999999999</v>
      </c>
      <c r="D23" s="5">
        <f>Tabla1[[#This Row],[Área (ha)]]/Tabla1[[#Totals],[Área (ha)]]</f>
        <v>0.10308192068247965</v>
      </c>
    </row>
    <row r="24" spans="1:4" x14ac:dyDescent="0.25">
      <c r="A24" s="2" t="s">
        <v>26</v>
      </c>
      <c r="B24" s="3"/>
      <c r="C24" s="9">
        <f>SUBTOTAL(109,Tabla1[Área (ha)])</f>
        <v>597.87862500000006</v>
      </c>
      <c r="D24" s="4">
        <f>SUBTOTAL(109,Tabla1[% Área])</f>
        <v>0.99999999999999989</v>
      </c>
    </row>
  </sheetData>
  <sheetProtection algorithmName="SHA-512" hashValue="Yj+rd61lEJ4dvRv9CX+8u8rfVTieHLIdvMAZr3g7CXR3LecTT9g26LPYp9IA6DheMFW7LniLpsR3JPf2fWagyQ==" saltValue="T3cU+P2Xd9NKJ2WbQ8QJ5A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338C2-D73B-4C5D-9B66-25BB246D2FB5}">
  <dimension ref="A1:E21"/>
  <sheetViews>
    <sheetView workbookViewId="0">
      <selection activeCell="C2" sqref="B2:C20"/>
    </sheetView>
  </sheetViews>
  <sheetFormatPr baseColWidth="10" defaultRowHeight="15.75" x14ac:dyDescent="0.25"/>
  <cols>
    <col min="2" max="2" width="39.375" bestFit="1" customWidth="1"/>
    <col min="3" max="3" width="20.625" bestFit="1" customWidth="1"/>
  </cols>
  <sheetData>
    <row r="1" spans="1:5" x14ac:dyDescent="0.25">
      <c r="A1" s="2" t="s">
        <v>22</v>
      </c>
      <c r="B1" s="2" t="s">
        <v>23</v>
      </c>
      <c r="C1" s="2" t="s">
        <v>33</v>
      </c>
      <c r="D1" s="2" t="s">
        <v>24</v>
      </c>
      <c r="E1" s="2" t="s">
        <v>25</v>
      </c>
    </row>
    <row r="2" spans="1:5" x14ac:dyDescent="0.25">
      <c r="A2" s="2">
        <v>1</v>
      </c>
      <c r="B2" s="3" t="s">
        <v>0</v>
      </c>
      <c r="C2" s="2">
        <v>3371</v>
      </c>
      <c r="D2" s="9">
        <f>(C2*(12.5*12.5))/10000</f>
        <v>52.671875</v>
      </c>
      <c r="E2" s="5">
        <f>Tabla115[[#This Row],[Área (ha)]]/Tabla115[[#Totals],[Área (ha)]]</f>
        <v>8.7372349800425075E-2</v>
      </c>
    </row>
    <row r="3" spans="1:5" x14ac:dyDescent="0.25">
      <c r="A3" s="2">
        <v>2</v>
      </c>
      <c r="B3" s="3" t="s">
        <v>1</v>
      </c>
      <c r="C3" s="2">
        <v>674</v>
      </c>
      <c r="D3" s="9">
        <f t="shared" ref="D3:D20" si="0">(C3*(12.5*12.5))/10000</f>
        <v>10.53125</v>
      </c>
      <c r="E3" s="5">
        <f>Tabla115[[#This Row],[Área (ha)]]/Tabla115[[#Totals],[Área (ha)]]</f>
        <v>1.7469286195635269E-2</v>
      </c>
    </row>
    <row r="4" spans="1:5" x14ac:dyDescent="0.25">
      <c r="A4" s="2">
        <v>3</v>
      </c>
      <c r="B4" s="3" t="s">
        <v>2</v>
      </c>
      <c r="C4" s="2">
        <v>3848</v>
      </c>
      <c r="D4" s="9">
        <f t="shared" si="0"/>
        <v>60.125</v>
      </c>
      <c r="E4" s="5">
        <f>Tabla115[[#This Row],[Área (ha)]]/Tabla115[[#Totals],[Área (ha)]]</f>
        <v>9.9735628013063085E-2</v>
      </c>
    </row>
    <row r="5" spans="1:5" x14ac:dyDescent="0.25">
      <c r="A5" s="2">
        <v>4</v>
      </c>
      <c r="B5" s="3" t="s">
        <v>3</v>
      </c>
      <c r="C5" s="2">
        <v>4425</v>
      </c>
      <c r="D5" s="9">
        <f t="shared" si="0"/>
        <v>69.140625</v>
      </c>
      <c r="E5" s="5">
        <f>Tabla115[[#This Row],[Área (ha)]]/Tabla115[[#Totals],[Área (ha)]]</f>
        <v>0.1146907884505728</v>
      </c>
    </row>
    <row r="6" spans="1:5" x14ac:dyDescent="0.25">
      <c r="A6" s="2">
        <v>5</v>
      </c>
      <c r="B6" s="3" t="s">
        <v>5</v>
      </c>
      <c r="C6" s="2">
        <v>5395</v>
      </c>
      <c r="D6" s="9">
        <f t="shared" si="0"/>
        <v>84.296875</v>
      </c>
      <c r="E6" s="5">
        <f>Tabla115[[#This Row],[Área (ha)]]/Tabla115[[#Totals],[Área (ha)]]</f>
        <v>0.13983204603182831</v>
      </c>
    </row>
    <row r="7" spans="1:5" x14ac:dyDescent="0.25">
      <c r="A7" s="2">
        <v>6</v>
      </c>
      <c r="B7" s="3" t="s">
        <v>8</v>
      </c>
      <c r="C7" s="2">
        <v>61</v>
      </c>
      <c r="D7" s="9">
        <f t="shared" si="0"/>
        <v>0.953125</v>
      </c>
      <c r="E7" s="5">
        <f>Tabla115[[#This Row],[Área (ha)]]/Tabla115[[#Totals],[Área (ha)]]</f>
        <v>1.5810481571717381E-3</v>
      </c>
    </row>
    <row r="8" spans="1:5" x14ac:dyDescent="0.25">
      <c r="A8" s="2">
        <v>7</v>
      </c>
      <c r="B8" s="3" t="s">
        <v>9</v>
      </c>
      <c r="C8" s="2">
        <v>0</v>
      </c>
      <c r="D8" s="9">
        <f t="shared" si="0"/>
        <v>0</v>
      </c>
      <c r="E8" s="5">
        <f>Tabla115[[#This Row],[Área (ha)]]/Tabla115[[#Totals],[Área (ha)]]</f>
        <v>0</v>
      </c>
    </row>
    <row r="9" spans="1:5" x14ac:dyDescent="0.25">
      <c r="A9" s="2">
        <v>8</v>
      </c>
      <c r="B9" s="3" t="s">
        <v>10</v>
      </c>
      <c r="C9" s="2">
        <v>1999</v>
      </c>
      <c r="D9" s="9">
        <f t="shared" si="0"/>
        <v>31.234375</v>
      </c>
      <c r="E9" s="5">
        <f>Tabla115[[#This Row],[Área (ha)]]/Tabla115[[#Totals],[Área (ha)]]</f>
        <v>5.181172567518532E-2</v>
      </c>
    </row>
    <row r="10" spans="1:5" x14ac:dyDescent="0.25">
      <c r="A10" s="2">
        <v>9</v>
      </c>
      <c r="B10" s="3" t="s">
        <v>11</v>
      </c>
      <c r="C10" s="2">
        <v>2079</v>
      </c>
      <c r="D10" s="9">
        <f t="shared" si="0"/>
        <v>32.484375</v>
      </c>
      <c r="E10" s="5">
        <f>Tabla115[[#This Row],[Área (ha)]]/Tabla115[[#Totals],[Área (ha)]]</f>
        <v>5.3885231455082679E-2</v>
      </c>
    </row>
    <row r="11" spans="1:5" x14ac:dyDescent="0.25">
      <c r="A11" s="2">
        <v>10</v>
      </c>
      <c r="B11" s="3" t="s">
        <v>12</v>
      </c>
      <c r="C11" s="2">
        <v>364</v>
      </c>
      <c r="D11" s="9">
        <f t="shared" si="0"/>
        <v>5.6875</v>
      </c>
      <c r="E11" s="5">
        <f>Tabla115[[#This Row],[Área (ha)]]/Tabla115[[#Totals],[Área (ha)]]</f>
        <v>9.4344512985329951E-3</v>
      </c>
    </row>
    <row r="12" spans="1:5" x14ac:dyDescent="0.25">
      <c r="A12" s="2">
        <v>11</v>
      </c>
      <c r="B12" s="3" t="s">
        <v>13</v>
      </c>
      <c r="C12" s="2">
        <v>1419</v>
      </c>
      <c r="D12" s="9">
        <f t="shared" si="0"/>
        <v>22.171875</v>
      </c>
      <c r="E12" s="5">
        <f>Tabla115[[#This Row],[Área (ha)]]/Tabla115[[#Totals],[Área (ha)]]</f>
        <v>3.6778808770929448E-2</v>
      </c>
    </row>
    <row r="13" spans="1:5" x14ac:dyDescent="0.25">
      <c r="A13" s="2">
        <v>12</v>
      </c>
      <c r="B13" s="3" t="s">
        <v>14</v>
      </c>
      <c r="C13" s="2">
        <v>899</v>
      </c>
      <c r="D13" s="9">
        <f t="shared" si="0"/>
        <v>14.046875</v>
      </c>
      <c r="E13" s="5">
        <f>Tabla115[[#This Row],[Área (ha)]]/Tabla115[[#Totals],[Área (ha)]]</f>
        <v>2.3301021201596599E-2</v>
      </c>
    </row>
    <row r="14" spans="1:5" x14ac:dyDescent="0.25">
      <c r="A14" s="2">
        <v>13</v>
      </c>
      <c r="B14" s="3" t="s">
        <v>15</v>
      </c>
      <c r="C14" s="2">
        <v>345</v>
      </c>
      <c r="D14" s="9">
        <f t="shared" si="0"/>
        <v>5.390625</v>
      </c>
      <c r="E14" s="5">
        <f>Tabla115[[#This Row],[Área (ha)]]/Tabla115[[#Totals],[Área (ha)]]</f>
        <v>8.9419936758073706E-3</v>
      </c>
    </row>
    <row r="15" spans="1:5" x14ac:dyDescent="0.25">
      <c r="A15" s="2">
        <v>14</v>
      </c>
      <c r="B15" s="3" t="s">
        <v>16</v>
      </c>
      <c r="C15" s="2">
        <v>632</v>
      </c>
      <c r="D15" s="9">
        <f t="shared" si="0"/>
        <v>9.875</v>
      </c>
      <c r="E15" s="5">
        <f>Tabla115[[#This Row],[Área (ha)]]/Tabla115[[#Totals],[Área (ha)]]</f>
        <v>1.6380695661189156E-2</v>
      </c>
    </row>
    <row r="16" spans="1:5" x14ac:dyDescent="0.25">
      <c r="A16" s="2">
        <v>15</v>
      </c>
      <c r="B16" s="3" t="s">
        <v>17</v>
      </c>
      <c r="C16" s="2">
        <v>6869</v>
      </c>
      <c r="D16" s="9">
        <f t="shared" si="0"/>
        <v>107.328125</v>
      </c>
      <c r="E16" s="5">
        <f>Tabla115[[#This Row],[Área (ha)]]/Tabla115[[#Totals],[Área (ha)]]</f>
        <v>0.1780363900264372</v>
      </c>
    </row>
    <row r="17" spans="1:5" x14ac:dyDescent="0.25">
      <c r="A17" s="2">
        <v>16</v>
      </c>
      <c r="B17" s="3" t="s">
        <v>18</v>
      </c>
      <c r="C17" s="2">
        <v>1455</v>
      </c>
      <c r="D17" s="9">
        <f t="shared" si="0"/>
        <v>22.734375</v>
      </c>
      <c r="E17" s="5">
        <f>Tabla115[[#This Row],[Área (ha)]]/Tabla115[[#Totals],[Área (ha)]]</f>
        <v>3.771188637188326E-2</v>
      </c>
    </row>
    <row r="18" spans="1:5" x14ac:dyDescent="0.25">
      <c r="A18" s="2">
        <v>17</v>
      </c>
      <c r="B18" s="3" t="s">
        <v>19</v>
      </c>
      <c r="C18" s="2">
        <v>420</v>
      </c>
      <c r="D18" s="9">
        <f t="shared" si="0"/>
        <v>6.5625</v>
      </c>
      <c r="E18" s="5">
        <f>Tabla115[[#This Row],[Área (ha)]]/Tabla115[[#Totals],[Área (ha)]]</f>
        <v>1.0885905344461148E-2</v>
      </c>
    </row>
    <row r="19" spans="1:5" x14ac:dyDescent="0.25">
      <c r="A19" s="2">
        <v>18</v>
      </c>
      <c r="B19" s="3" t="s">
        <v>20</v>
      </c>
      <c r="C19" s="2">
        <v>2011</v>
      </c>
      <c r="D19" s="9">
        <f t="shared" si="0"/>
        <v>31.421875</v>
      </c>
      <c r="E19" s="5">
        <f>Tabla115[[#This Row],[Área (ha)]]/Tabla115[[#Totals],[Área (ha)]]</f>
        <v>5.2122751542169922E-2</v>
      </c>
    </row>
    <row r="20" spans="1:5" x14ac:dyDescent="0.25">
      <c r="A20" s="2">
        <v>19</v>
      </c>
      <c r="B20" s="3" t="s">
        <v>21</v>
      </c>
      <c r="C20" s="2">
        <v>2316</v>
      </c>
      <c r="D20" s="9">
        <f t="shared" si="0"/>
        <v>36.1875</v>
      </c>
      <c r="E20" s="5">
        <f>Tabla115[[#This Row],[Área (ha)]]/Tabla115[[#Totals],[Área (ha)]]</f>
        <v>6.0027992328028613E-2</v>
      </c>
    </row>
    <row r="21" spans="1:5" x14ac:dyDescent="0.25">
      <c r="A21" s="2" t="s">
        <v>26</v>
      </c>
      <c r="B21" s="3"/>
      <c r="C21" s="3"/>
      <c r="D21" s="9">
        <f>SUBTOTAL(109,Tabla115[Área (ha)])</f>
        <v>602.84375</v>
      </c>
      <c r="E21" s="34">
        <f>SUBTOTAL(109,Tabla115[% Área])</f>
        <v>1.0000000000000002</v>
      </c>
    </row>
  </sheetData>
  <sheetProtection algorithmName="SHA-512" hashValue="VZxzXz86a9SveTkTJ9zICm3PblrBtBB0itdjQi89qtzqtErUSbwiucXUCKcC7JlObXeN1sArLW9CN4CMGVHR4Q==" saltValue="im/02/GD1n2NC+XuNRpRJA==" spinCount="100000"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325CB-DECD-42AD-8DE6-8A294E8DE500}">
  <dimension ref="A1:E7"/>
  <sheetViews>
    <sheetView workbookViewId="0">
      <selection activeCell="C2" sqref="C2:C6"/>
    </sheetView>
  </sheetViews>
  <sheetFormatPr baseColWidth="10" defaultRowHeight="15.75" x14ac:dyDescent="0.25"/>
  <cols>
    <col min="2" max="2" width="15.875" customWidth="1"/>
    <col min="3" max="3" width="21.875" customWidth="1"/>
    <col min="4" max="4" width="15.125" customWidth="1"/>
    <col min="5" max="5" width="12.875" style="8" customWidth="1"/>
  </cols>
  <sheetData>
    <row r="1" spans="1:5" x14ac:dyDescent="0.25">
      <c r="A1" s="2" t="s">
        <v>22</v>
      </c>
      <c r="B1" s="2" t="s">
        <v>27</v>
      </c>
      <c r="C1" s="2" t="s">
        <v>33</v>
      </c>
      <c r="D1" s="2" t="s">
        <v>24</v>
      </c>
      <c r="E1" s="5" t="s">
        <v>25</v>
      </c>
    </row>
    <row r="2" spans="1:5" x14ac:dyDescent="0.25">
      <c r="A2" s="2">
        <v>1</v>
      </c>
      <c r="B2" s="2" t="s">
        <v>28</v>
      </c>
      <c r="C2" s="2">
        <v>50</v>
      </c>
      <c r="D2" s="9">
        <f t="shared" ref="D2:D6" si="0">(C2*(12.5*12.5))/10000</f>
        <v>0.78125</v>
      </c>
      <c r="E2" s="5">
        <f>Tabla2[[#This Row],[Área (ha)]]/Tabla2[[#Totals],[Área (ha)]]</f>
        <v>1.3081129163069357E-3</v>
      </c>
    </row>
    <row r="3" spans="1:5" x14ac:dyDescent="0.25">
      <c r="A3" s="2">
        <v>2</v>
      </c>
      <c r="B3" s="7" t="s">
        <v>29</v>
      </c>
      <c r="C3" s="2">
        <v>15220</v>
      </c>
      <c r="D3" s="9">
        <f t="shared" si="0"/>
        <v>237.8125</v>
      </c>
      <c r="E3" s="5">
        <f>Tabla2[[#This Row],[Área (ha)]]/Tabla2[[#Totals],[Área (ha)]]</f>
        <v>0.39818957172383118</v>
      </c>
    </row>
    <row r="4" spans="1:5" x14ac:dyDescent="0.25">
      <c r="A4" s="2">
        <v>3</v>
      </c>
      <c r="B4" s="7" t="s">
        <v>30</v>
      </c>
      <c r="C4" s="2">
        <v>7851</v>
      </c>
      <c r="D4" s="9">
        <f t="shared" si="0"/>
        <v>122.671875</v>
      </c>
      <c r="E4" s="5">
        <f>Tabla2[[#This Row],[Área (ha)]]/Tabla2[[#Totals],[Área (ha)]]</f>
        <v>0.20539989011851503</v>
      </c>
    </row>
    <row r="5" spans="1:5" x14ac:dyDescent="0.25">
      <c r="A5" s="2">
        <v>4</v>
      </c>
      <c r="B5" s="7" t="s">
        <v>31</v>
      </c>
      <c r="C5" s="2">
        <v>15038</v>
      </c>
      <c r="D5" s="9">
        <f t="shared" si="0"/>
        <v>234.96875</v>
      </c>
      <c r="E5" s="5">
        <f>Tabla2[[#This Row],[Área (ha)]]/Tabla2[[#Totals],[Área (ha)]]</f>
        <v>0.39342804070847398</v>
      </c>
    </row>
    <row r="6" spans="1:5" x14ac:dyDescent="0.25">
      <c r="A6" s="2">
        <v>5</v>
      </c>
      <c r="B6" s="2" t="s">
        <v>32</v>
      </c>
      <c r="C6" s="2">
        <v>64</v>
      </c>
      <c r="D6" s="9">
        <f t="shared" si="0"/>
        <v>1</v>
      </c>
      <c r="E6" s="5">
        <f>Tabla2[[#This Row],[Área (ha)]]/Tabla2[[#Totals],[Área (ha)]]</f>
        <v>1.6743845328728777E-3</v>
      </c>
    </row>
    <row r="7" spans="1:5" x14ac:dyDescent="0.25">
      <c r="A7" s="2" t="s">
        <v>26</v>
      </c>
      <c r="B7" s="2"/>
      <c r="C7" s="2">
        <f>SUBTOTAL(109,Tabla2[Número de píxeles])</f>
        <v>38223</v>
      </c>
      <c r="D7" s="9">
        <f>SUBTOTAL(109,Tabla2[Área (ha)])</f>
        <v>597.234375</v>
      </c>
      <c r="E7" s="4">
        <f>SUBTOTAL(109,Tabla2[% Área])</f>
        <v>1</v>
      </c>
    </row>
  </sheetData>
  <sheetProtection algorithmName="SHA-512" hashValue="bcTWYgPkSIPoyLmUQWhtx0hQhr650OoRYTFfC00oaUgkI8zZKpAdFAHWMixjy/dJOVT3i9lKSKcVFJvp94A4EQ==" saltValue="1YfO5sJkd3nFZ3Yu7tF1Vg==" spinCount="100000" sheet="1" objects="1" scenarios="1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57305-3D58-4548-BB28-A0F29A6930AA}">
  <dimension ref="A1:D8"/>
  <sheetViews>
    <sheetView workbookViewId="0">
      <selection activeCell="B2" sqref="B2:B6"/>
    </sheetView>
  </sheetViews>
  <sheetFormatPr baseColWidth="10" defaultRowHeight="15.75" x14ac:dyDescent="0.25"/>
  <cols>
    <col min="2" max="2" width="17.5" customWidth="1"/>
    <col min="3" max="3" width="15.375" customWidth="1"/>
    <col min="4" max="4" width="14.625" style="8" customWidth="1"/>
  </cols>
  <sheetData>
    <row r="1" spans="1:4" x14ac:dyDescent="0.25">
      <c r="A1" s="2" t="s">
        <v>22</v>
      </c>
      <c r="B1" s="2" t="s">
        <v>39</v>
      </c>
      <c r="C1" s="2" t="s">
        <v>24</v>
      </c>
      <c r="D1" s="5" t="s">
        <v>25</v>
      </c>
    </row>
    <row r="2" spans="1:4" x14ac:dyDescent="0.25">
      <c r="A2" s="2">
        <v>1</v>
      </c>
      <c r="B2" s="2" t="s">
        <v>34</v>
      </c>
      <c r="C2" s="9">
        <v>74.888411000000005</v>
      </c>
      <c r="D2" s="5">
        <f>Tabla3[[#This Row],[Área (ha)]]/Tabla3[[#Totals],[Área (ha)]]</f>
        <v>0.12525687906007571</v>
      </c>
    </row>
    <row r="3" spans="1:4" x14ac:dyDescent="0.25">
      <c r="A3" s="2">
        <v>2</v>
      </c>
      <c r="B3" s="2" t="s">
        <v>35</v>
      </c>
      <c r="C3" s="9">
        <v>73.640625999999997</v>
      </c>
      <c r="D3" s="5">
        <f>Tabla3[[#This Row],[Área (ha)]]/Tabla3[[#Totals],[Área (ha)]]</f>
        <v>0.12316985848171176</v>
      </c>
    </row>
    <row r="4" spans="1:4" x14ac:dyDescent="0.25">
      <c r="A4" s="2">
        <v>3</v>
      </c>
      <c r="B4" s="2" t="s">
        <v>36</v>
      </c>
      <c r="C4" s="9">
        <v>71.489912000000004</v>
      </c>
      <c r="D4" s="5">
        <f>Tabla3[[#This Row],[Área (ha)]]/Tabla3[[#Totals],[Área (ha)]]</f>
        <v>0.11957261666827802</v>
      </c>
    </row>
    <row r="5" spans="1:4" x14ac:dyDescent="0.25">
      <c r="A5" s="2">
        <v>4</v>
      </c>
      <c r="B5" s="2" t="s">
        <v>37</v>
      </c>
      <c r="C5" s="9">
        <f>22.327559+45.30041</f>
        <v>67.627969000000007</v>
      </c>
      <c r="D5" s="5">
        <f>Tabla3[[#This Row],[Área (ha)]]/Tabla3[[#Totals],[Área (ha)]]</f>
        <v>0.11311320698354183</v>
      </c>
    </row>
    <row r="6" spans="1:4" x14ac:dyDescent="0.25">
      <c r="A6" s="2">
        <v>5</v>
      </c>
      <c r="B6" s="2" t="s">
        <v>38</v>
      </c>
      <c r="C6" s="9">
        <v>310.23171000000002</v>
      </c>
      <c r="D6" s="5">
        <f>Tabla3[[#This Row],[Área (ha)]]/Tabla3[[#Totals],[Área (ha)]]</f>
        <v>0.51888743880639265</v>
      </c>
    </row>
    <row r="7" spans="1:4" x14ac:dyDescent="0.25">
      <c r="A7" s="2" t="s">
        <v>26</v>
      </c>
      <c r="B7" s="2"/>
      <c r="C7" s="9">
        <f>SUBTOTAL(109,Tabla3[Área (ha)])</f>
        <v>597.87862800000005</v>
      </c>
      <c r="D7" s="10">
        <f>SUBTOTAL(109,Tabla3[% Área])</f>
        <v>1</v>
      </c>
    </row>
    <row r="8" spans="1:4" x14ac:dyDescent="0.25">
      <c r="C8" s="11"/>
    </row>
  </sheetData>
  <sheetProtection algorithmName="SHA-512" hashValue="UcHEyeka9FNE68l97tyw2XjVxN0G/9OY9cVo+LX6PY0rqSJbYlfQY9qQ69LOZ4PwFaeeM/cBN8J2wtEIny142g==" saltValue="6BFDNNmXWhLSoDMEDLs3Uw==" spinCount="100000" sheet="1" objects="1" scenarios="1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2AA8C-0F7E-4A8A-8859-6347FF633356}">
  <dimension ref="A1:E8"/>
  <sheetViews>
    <sheetView workbookViewId="0">
      <selection activeCell="D2" sqref="D2"/>
    </sheetView>
  </sheetViews>
  <sheetFormatPr baseColWidth="10" defaultRowHeight="15.75" x14ac:dyDescent="0.25"/>
  <cols>
    <col min="2" max="2" width="20.625" customWidth="1"/>
    <col min="3" max="3" width="21.375" customWidth="1"/>
    <col min="4" max="4" width="18.125" customWidth="1"/>
    <col min="5" max="5" width="13.125" style="8" customWidth="1"/>
  </cols>
  <sheetData>
    <row r="1" spans="1:5" x14ac:dyDescent="0.25">
      <c r="A1" s="2" t="s">
        <v>22</v>
      </c>
      <c r="B1" s="2" t="s">
        <v>40</v>
      </c>
      <c r="C1" s="2" t="s">
        <v>33</v>
      </c>
      <c r="D1" s="2" t="s">
        <v>24</v>
      </c>
      <c r="E1" s="5" t="s">
        <v>41</v>
      </c>
    </row>
    <row r="2" spans="1:5" x14ac:dyDescent="0.25">
      <c r="A2" s="2">
        <v>1</v>
      </c>
      <c r="B2" s="7" t="s">
        <v>161</v>
      </c>
      <c r="C2" s="2">
        <v>3574</v>
      </c>
      <c r="D2" s="9">
        <f>(C2*(12.5*12.5))/10000</f>
        <v>55.84375</v>
      </c>
      <c r="E2" s="5">
        <f>Tabla4[[#This Row],[Área (ha)]]/Tabla4[[#Totals],[Área (ha)]]</f>
        <v>9.3503911257619754E-2</v>
      </c>
    </row>
    <row r="3" spans="1:5" x14ac:dyDescent="0.25">
      <c r="A3" s="2">
        <v>2</v>
      </c>
      <c r="B3" s="7" t="s">
        <v>162</v>
      </c>
      <c r="C3" s="2">
        <v>3831</v>
      </c>
      <c r="D3" s="9">
        <f t="shared" ref="D3:D7" si="0">(C3*(12.5*12.5))/10000</f>
        <v>59.859375</v>
      </c>
      <c r="E3" s="5">
        <f>Tabla4[[#This Row],[Área (ha)]]/Tabla4[[#Totals],[Área (ha)]]</f>
        <v>0.1002276116474374</v>
      </c>
    </row>
    <row r="4" spans="1:5" x14ac:dyDescent="0.25">
      <c r="A4" s="2">
        <v>3</v>
      </c>
      <c r="B4" s="7" t="s">
        <v>163</v>
      </c>
      <c r="C4" s="2">
        <v>4130</v>
      </c>
      <c r="D4" s="9">
        <f t="shared" si="0"/>
        <v>64.53125</v>
      </c>
      <c r="E4" s="5">
        <f>Tabla4[[#This Row],[Área (ha)]]/Tabla4[[#Totals],[Área (ha)]]</f>
        <v>0.10805012688695288</v>
      </c>
    </row>
    <row r="5" spans="1:5" x14ac:dyDescent="0.25">
      <c r="A5" s="2">
        <v>4</v>
      </c>
      <c r="B5" s="7" t="s">
        <v>164</v>
      </c>
      <c r="C5" s="2">
        <v>3445</v>
      </c>
      <c r="D5" s="9">
        <f t="shared" si="0"/>
        <v>53.828125</v>
      </c>
      <c r="E5" s="5">
        <f>Tabla4[[#This Row],[Área (ha)]]/Tabla4[[#Totals],[Área (ha)]]</f>
        <v>9.0128979933547862E-2</v>
      </c>
    </row>
    <row r="6" spans="1:5" x14ac:dyDescent="0.25">
      <c r="A6" s="2">
        <v>5</v>
      </c>
      <c r="B6" s="7" t="s">
        <v>165</v>
      </c>
      <c r="C6" s="2">
        <v>5038</v>
      </c>
      <c r="D6" s="9">
        <f t="shared" si="0"/>
        <v>78.71875</v>
      </c>
      <c r="E6" s="5">
        <f>Tabla4[[#This Row],[Área (ha)]]/Tabla4[[#Totals],[Área (ha)]]</f>
        <v>0.13180545744708683</v>
      </c>
    </row>
    <row r="7" spans="1:5" x14ac:dyDescent="0.25">
      <c r="A7" s="2">
        <v>6</v>
      </c>
      <c r="B7" s="2" t="s">
        <v>166</v>
      </c>
      <c r="C7" s="2">
        <v>18205</v>
      </c>
      <c r="D7" s="9">
        <f t="shared" si="0"/>
        <v>284.453125</v>
      </c>
      <c r="E7" s="5">
        <f>Tabla4[[#This Row],[Área (ha)]]/Tabla4[[#Totals],[Área (ha)]]</f>
        <v>0.47628391282735527</v>
      </c>
    </row>
    <row r="8" spans="1:5" x14ac:dyDescent="0.25">
      <c r="A8" s="2" t="s">
        <v>26</v>
      </c>
      <c r="B8" s="2"/>
      <c r="C8" s="2">
        <f>SUBTOTAL(109,Tabla4[Número de píxeles])</f>
        <v>38223</v>
      </c>
      <c r="D8" s="9">
        <f>SUBTOTAL(109,Tabla4[Área (ha)])</f>
        <v>597.234375</v>
      </c>
      <c r="E8" s="4">
        <f>SUBTOTAL(109,Tabla4[% Área ])</f>
        <v>1</v>
      </c>
    </row>
  </sheetData>
  <sheetProtection algorithmName="SHA-512" hashValue="w7pVlR3Iq2j8jDOxskCxRvhqXFRu7rTVTXOO9+ZotkyUI/DcHSNYdI/ly4o79XP9EPx3Rs2NAKwGLV7k4EcxGA==" saltValue="8ngz0zl0Z+qUaXQmGuN/eA==" spinCount="100000" sheet="1" objects="1" scenarios="1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593B9-BD88-4C3D-9F4C-5A7540DA477A}">
  <dimension ref="A1:E23"/>
  <sheetViews>
    <sheetView workbookViewId="0">
      <selection activeCell="A2" sqref="A2:A22"/>
    </sheetView>
  </sheetViews>
  <sheetFormatPr baseColWidth="10" defaultRowHeight="15.75" x14ac:dyDescent="0.25"/>
  <cols>
    <col min="1" max="2" width="11.125" style="1"/>
    <col min="3" max="3" width="36.875" bestFit="1" customWidth="1"/>
    <col min="4" max="4" width="15.125" style="1" customWidth="1"/>
    <col min="5" max="5" width="16.5" style="8" customWidth="1"/>
  </cols>
  <sheetData>
    <row r="1" spans="1:5" x14ac:dyDescent="0.25">
      <c r="A1" s="1" t="s">
        <v>22</v>
      </c>
      <c r="B1" s="1" t="s">
        <v>95</v>
      </c>
      <c r="C1" s="1" t="s">
        <v>54</v>
      </c>
      <c r="D1" s="1" t="s">
        <v>24</v>
      </c>
      <c r="E1" s="5" t="s">
        <v>25</v>
      </c>
    </row>
    <row r="2" spans="1:5" x14ac:dyDescent="0.25">
      <c r="A2" s="1">
        <v>1</v>
      </c>
      <c r="B2" s="1" t="s">
        <v>55</v>
      </c>
      <c r="C2" t="s">
        <v>56</v>
      </c>
      <c r="D2" s="14">
        <v>2.6916319999999998</v>
      </c>
      <c r="E2" s="12">
        <f>Tabla6[[#This Row],[Área (ha)]]/Tabla6[[#Totals],[Área (ha)]]</f>
        <v>4.5019706131825665E-3</v>
      </c>
    </row>
    <row r="3" spans="1:5" x14ac:dyDescent="0.25">
      <c r="A3" s="1">
        <v>2</v>
      </c>
      <c r="B3" s="1" t="s">
        <v>57</v>
      </c>
      <c r="C3" t="s">
        <v>58</v>
      </c>
      <c r="D3" s="14">
        <v>28.250093</v>
      </c>
      <c r="E3" s="12">
        <f>Tabla6[[#This Row],[Área (ha)]]/Tabla6[[#Totals],[Área (ha)]]</f>
        <v>4.725054855406479E-2</v>
      </c>
    </row>
    <row r="4" spans="1:5" x14ac:dyDescent="0.25">
      <c r="A4" s="1">
        <v>3</v>
      </c>
      <c r="B4" s="1" t="s">
        <v>59</v>
      </c>
      <c r="C4" t="s">
        <v>60</v>
      </c>
      <c r="D4" s="14">
        <v>0.111987</v>
      </c>
      <c r="E4" s="12">
        <f>Tabla6[[#This Row],[Área (ha)]]/Tabla6[[#Totals],[Área (ha)]]</f>
        <v>1.8730724818937956E-4</v>
      </c>
    </row>
    <row r="5" spans="1:5" x14ac:dyDescent="0.25">
      <c r="A5" s="1">
        <v>4</v>
      </c>
      <c r="B5" s="1" t="s">
        <v>61</v>
      </c>
      <c r="C5" t="s">
        <v>62</v>
      </c>
      <c r="D5" s="14">
        <v>31.321254</v>
      </c>
      <c r="E5" s="12">
        <f>Tabla6[[#This Row],[Área (ha)]]/Tabla6[[#Totals],[Área (ha)]]</f>
        <v>5.2387311889599664E-2</v>
      </c>
    </row>
    <row r="6" spans="1:5" x14ac:dyDescent="0.25">
      <c r="A6" s="1">
        <v>5</v>
      </c>
      <c r="B6" s="1" t="s">
        <v>63</v>
      </c>
      <c r="C6" t="s">
        <v>64</v>
      </c>
      <c r="D6" s="14">
        <v>0.20529600000000001</v>
      </c>
      <c r="E6" s="12">
        <f>Tabla6[[#This Row],[Área (ha)]]/Tabla6[[#Totals],[Área (ha)]]</f>
        <v>3.4337404184670424E-4</v>
      </c>
    </row>
    <row r="7" spans="1:5" x14ac:dyDescent="0.25">
      <c r="A7" s="1">
        <v>6</v>
      </c>
      <c r="B7" s="1" t="s">
        <v>65</v>
      </c>
      <c r="C7" t="s">
        <v>66</v>
      </c>
      <c r="D7" s="14">
        <v>13.074878</v>
      </c>
      <c r="E7" s="12">
        <f>Tabla6[[#This Row],[Área (ha)]]/Tabla6[[#Totals],[Área (ha)]]</f>
        <v>2.1868783149757192E-2</v>
      </c>
    </row>
    <row r="8" spans="1:5" x14ac:dyDescent="0.25">
      <c r="A8" s="1">
        <v>7</v>
      </c>
      <c r="B8" s="1" t="s">
        <v>67</v>
      </c>
      <c r="C8" t="s">
        <v>68</v>
      </c>
      <c r="D8" s="14">
        <v>121.856555</v>
      </c>
      <c r="E8" s="12">
        <f>Tabla6[[#This Row],[Área (ha)]]/Tabla6[[#Totals],[Área (ha)]]</f>
        <v>0.20381487128762965</v>
      </c>
    </row>
    <row r="9" spans="1:5" x14ac:dyDescent="0.25">
      <c r="A9" s="1">
        <v>8</v>
      </c>
      <c r="B9" s="1" t="s">
        <v>69</v>
      </c>
      <c r="C9" t="s">
        <v>70</v>
      </c>
      <c r="D9" s="14">
        <v>0.56308199999999997</v>
      </c>
      <c r="E9" s="12">
        <f>Tabla6[[#This Row],[Área (ha)]]/Tabla6[[#Totals],[Área (ha)]]</f>
        <v>9.4179985109854017E-4</v>
      </c>
    </row>
    <row r="10" spans="1:5" x14ac:dyDescent="0.25">
      <c r="A10" s="1">
        <v>9</v>
      </c>
      <c r="B10" s="1" t="s">
        <v>71</v>
      </c>
      <c r="C10" t="s">
        <v>72</v>
      </c>
      <c r="D10" s="14">
        <v>33.769689999999997</v>
      </c>
      <c r="E10" s="12">
        <f>Tabla6[[#This Row],[Área (ha)]]/Tabla6[[#Totals],[Área (ha)]]</f>
        <v>5.6482517668197278E-2</v>
      </c>
    </row>
    <row r="11" spans="1:5" x14ac:dyDescent="0.25">
      <c r="A11" s="1">
        <v>10</v>
      </c>
      <c r="B11" s="1" t="s">
        <v>73</v>
      </c>
      <c r="C11" t="s">
        <v>74</v>
      </c>
      <c r="D11" s="14">
        <v>77.456400000000002</v>
      </c>
      <c r="E11" s="12">
        <f>Tabla6[[#This Row],[Área (ha)]]/Tabla6[[#Totals],[Área (ha)]]</f>
        <v>0.12955204745779295</v>
      </c>
    </row>
    <row r="12" spans="1:5" x14ac:dyDescent="0.25">
      <c r="A12" s="1">
        <v>11</v>
      </c>
      <c r="B12" s="1" t="s">
        <v>75</v>
      </c>
      <c r="C12" t="s">
        <v>76</v>
      </c>
      <c r="D12" s="14">
        <v>22.775303999999998</v>
      </c>
      <c r="E12" s="12">
        <f>Tabla6[[#This Row],[Área (ha)]]/Tabla6[[#Totals],[Área (ha)]]</f>
        <v>3.8093524417267793E-2</v>
      </c>
    </row>
    <row r="13" spans="1:5" x14ac:dyDescent="0.25">
      <c r="A13" s="1">
        <v>12</v>
      </c>
      <c r="B13" s="1" t="s">
        <v>77</v>
      </c>
      <c r="C13" t="s">
        <v>78</v>
      </c>
      <c r="D13" s="14">
        <v>14.048769999999999</v>
      </c>
      <c r="E13" s="12">
        <f>Tabla6[[#This Row],[Área (ha)]]/Tabla6[[#Totals],[Área (ha)]]</f>
        <v>2.3497695707050906E-2</v>
      </c>
    </row>
    <row r="14" spans="1:5" x14ac:dyDescent="0.25">
      <c r="A14" s="1">
        <v>13</v>
      </c>
      <c r="B14" s="1" t="s">
        <v>79</v>
      </c>
      <c r="C14" t="s">
        <v>80</v>
      </c>
      <c r="D14" s="14">
        <v>9.2296449999999997</v>
      </c>
      <c r="E14" s="12">
        <f>Tabla6[[#This Row],[Área (ha)]]/Tabla6[[#Totals],[Área (ha)]]</f>
        <v>1.5437322249143794E-2</v>
      </c>
    </row>
    <row r="15" spans="1:5" x14ac:dyDescent="0.25">
      <c r="A15" s="1">
        <v>14</v>
      </c>
      <c r="B15" s="1" t="s">
        <v>42</v>
      </c>
      <c r="C15" t="s">
        <v>81</v>
      </c>
      <c r="D15" s="14">
        <v>42.755330000000001</v>
      </c>
      <c r="E15" s="12">
        <f>Tabla6[[#This Row],[Área (ha)]]/Tabla6[[#Totals],[Área (ha)]]</f>
        <v>7.1511721965306918E-2</v>
      </c>
    </row>
    <row r="16" spans="1:5" x14ac:dyDescent="0.25">
      <c r="A16" s="1">
        <v>15</v>
      </c>
      <c r="B16" s="1" t="s">
        <v>43</v>
      </c>
      <c r="C16" t="s">
        <v>82</v>
      </c>
      <c r="D16" s="14">
        <v>13.778499999999999</v>
      </c>
      <c r="E16" s="12">
        <f>Tabla6[[#This Row],[Área (ha)]]/Tabla6[[#Totals],[Área (ha)]]</f>
        <v>2.3045647433875056E-2</v>
      </c>
    </row>
    <row r="17" spans="1:5" x14ac:dyDescent="0.25">
      <c r="A17" s="1">
        <v>16</v>
      </c>
      <c r="B17" s="1" t="s">
        <v>83</v>
      </c>
      <c r="C17" t="s">
        <v>84</v>
      </c>
      <c r="D17" s="14">
        <v>37.781903999999997</v>
      </c>
      <c r="E17" s="12">
        <f>Tabla6[[#This Row],[Área (ha)]]/Tabla6[[#Totals],[Área (ha)]]</f>
        <v>6.3193267697101554E-2</v>
      </c>
    </row>
    <row r="18" spans="1:5" x14ac:dyDescent="0.25">
      <c r="A18" s="1">
        <v>17</v>
      </c>
      <c r="B18" s="1" t="s">
        <v>85</v>
      </c>
      <c r="C18" t="s">
        <v>86</v>
      </c>
      <c r="D18" s="14">
        <v>20.006195999999999</v>
      </c>
      <c r="E18" s="12">
        <f>Tabla6[[#This Row],[Área (ha)]]/Tabla6[[#Totals],[Área (ha)]]</f>
        <v>3.3461968974053888E-2</v>
      </c>
    </row>
    <row r="19" spans="1:5" x14ac:dyDescent="0.25">
      <c r="A19" s="1">
        <v>18</v>
      </c>
      <c r="B19" s="1" t="s">
        <v>87</v>
      </c>
      <c r="C19" t="s">
        <v>88</v>
      </c>
      <c r="D19" s="14">
        <v>17.362196000000001</v>
      </c>
      <c r="E19" s="12">
        <f>Tabla6[[#This Row],[Área (ha)]]/Tabla6[[#Totals],[Área (ha)]]</f>
        <v>2.9039666704926938E-2</v>
      </c>
    </row>
    <row r="20" spans="1:5" x14ac:dyDescent="0.25">
      <c r="A20" s="1">
        <v>19</v>
      </c>
      <c r="B20" s="1" t="s">
        <v>89</v>
      </c>
      <c r="C20" t="s">
        <v>90</v>
      </c>
      <c r="D20" s="14">
        <v>28.224477</v>
      </c>
      <c r="E20" s="12">
        <f>Tabla6[[#This Row],[Área (ha)]]/Tabla6[[#Totals],[Área (ha)]]</f>
        <v>4.7207703737526988E-2</v>
      </c>
    </row>
    <row r="21" spans="1:5" x14ac:dyDescent="0.25">
      <c r="A21" s="1">
        <v>20</v>
      </c>
      <c r="B21" s="1" t="s">
        <v>91</v>
      </c>
      <c r="C21" t="s">
        <v>92</v>
      </c>
      <c r="D21" s="14">
        <v>75.472127</v>
      </c>
      <c r="E21" s="12">
        <f>Tabla6[[#This Row],[Área (ha)]]/Tabla6[[#Totals],[Área (ha)]]</f>
        <v>0.12623319156124704</v>
      </c>
    </row>
    <row r="22" spans="1:5" x14ac:dyDescent="0.25">
      <c r="A22" s="1">
        <v>21</v>
      </c>
      <c r="B22" s="1" t="s">
        <v>93</v>
      </c>
      <c r="C22" t="s">
        <v>94</v>
      </c>
      <c r="D22" s="14">
        <v>7.1433090000000004</v>
      </c>
      <c r="E22" s="12">
        <f>Tabla6[[#This Row],[Área (ha)]]/Tabla6[[#Totals],[Área (ha)]]</f>
        <v>1.1947757791140301E-2</v>
      </c>
    </row>
    <row r="23" spans="1:5" x14ac:dyDescent="0.25">
      <c r="A23" s="1" t="s">
        <v>26</v>
      </c>
      <c r="D23" s="14">
        <f>SUBTOTAL(109,Tabla6[Área (ha)])</f>
        <v>597.87862500000006</v>
      </c>
      <c r="E23" s="13">
        <f>SUBTOTAL(109,Tabla6[% Área])</f>
        <v>1</v>
      </c>
    </row>
  </sheetData>
  <sheetProtection algorithmName="SHA-512" hashValue="PrM7O1q2JM4T61Hlm/LK2NaRo16J7/tdFVLBHoUs5R1+SGnGrYcd7EJj4ExUmtyd0zN+hmz+Z1mTQFvWATfgPg==" saltValue="oPBGbn2pM4GVy5GE8QPnVg==" spinCount="100000" sheet="1" objects="1" scenarios="1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EAEA2-1D20-433A-B273-79E619878E06}">
  <dimension ref="A1:G12"/>
  <sheetViews>
    <sheetView workbookViewId="0">
      <selection activeCell="D2" sqref="D2:D8"/>
    </sheetView>
  </sheetViews>
  <sheetFormatPr baseColWidth="10" defaultRowHeight="15.75" x14ac:dyDescent="0.25"/>
  <cols>
    <col min="2" max="2" width="15.625" customWidth="1"/>
    <col min="3" max="3" width="29.125" customWidth="1"/>
    <col min="4" max="4" width="21.125" customWidth="1"/>
    <col min="5" max="5" width="14.5" style="11" customWidth="1"/>
    <col min="6" max="6" width="12.375" style="8" customWidth="1"/>
  </cols>
  <sheetData>
    <row r="1" spans="1:7" x14ac:dyDescent="0.25">
      <c r="A1" s="1" t="s">
        <v>22</v>
      </c>
      <c r="B1" s="1" t="s">
        <v>149</v>
      </c>
      <c r="C1" s="1" t="s">
        <v>54</v>
      </c>
      <c r="D1" s="1" t="s">
        <v>33</v>
      </c>
      <c r="E1" s="16" t="s">
        <v>24</v>
      </c>
      <c r="F1" s="12" t="s">
        <v>25</v>
      </c>
    </row>
    <row r="2" spans="1:7" x14ac:dyDescent="0.25">
      <c r="A2" s="1">
        <v>1</v>
      </c>
      <c r="B2" s="1" t="s">
        <v>148</v>
      </c>
      <c r="C2" t="s">
        <v>96</v>
      </c>
      <c r="D2" s="15">
        <v>6091</v>
      </c>
      <c r="E2" s="17">
        <f>(D2*(12.5*12.5))/10000</f>
        <v>95.171875</v>
      </c>
      <c r="F2" s="12">
        <f>Tabla7[[#This Row],[Área (ha)]]/Tabla7[[#Totals],[Área (ha)]]</f>
        <v>0.15910040748093199</v>
      </c>
    </row>
    <row r="3" spans="1:7" x14ac:dyDescent="0.25">
      <c r="A3" s="1">
        <v>2</v>
      </c>
      <c r="B3" s="21" t="s">
        <v>142</v>
      </c>
      <c r="C3" t="s">
        <v>97</v>
      </c>
      <c r="D3" s="15">
        <v>5408</v>
      </c>
      <c r="E3" s="17">
        <f t="shared" ref="E3:E8" si="0">(D3*(12.5*12.5))/10000</f>
        <v>84.5</v>
      </c>
      <c r="F3" s="12">
        <f>Tabla7[[#This Row],[Área (ha)]]/Tabla7[[#Totals],[Área (ha)]]</f>
        <v>0.14126005642043674</v>
      </c>
    </row>
    <row r="4" spans="1:7" x14ac:dyDescent="0.25">
      <c r="A4" s="1">
        <v>3</v>
      </c>
      <c r="B4" s="6" t="s">
        <v>143</v>
      </c>
      <c r="C4" t="s">
        <v>98</v>
      </c>
      <c r="D4" s="15">
        <v>6593</v>
      </c>
      <c r="E4" s="17">
        <f t="shared" si="0"/>
        <v>103.015625</v>
      </c>
      <c r="F4" s="12">
        <f>Tabla7[[#This Row],[Área (ha)]]/Tabla7[[#Totals],[Área (ha)]]</f>
        <v>0.17221293490753317</v>
      </c>
    </row>
    <row r="5" spans="1:7" x14ac:dyDescent="0.25">
      <c r="A5" s="1">
        <v>4</v>
      </c>
      <c r="B5" s="6" t="s">
        <v>144</v>
      </c>
      <c r="C5" t="s">
        <v>99</v>
      </c>
      <c r="D5" s="15">
        <v>8190</v>
      </c>
      <c r="E5" s="17">
        <f t="shared" si="0"/>
        <v>127.96875</v>
      </c>
      <c r="F5" s="12">
        <f>Tabla7[[#This Row],[Área (ha)]]/Tabla7[[#Totals],[Área (ha)]]</f>
        <v>0.21392748929056524</v>
      </c>
    </row>
    <row r="6" spans="1:7" x14ac:dyDescent="0.25">
      <c r="A6" s="1">
        <v>5</v>
      </c>
      <c r="B6" s="6" t="s">
        <v>145</v>
      </c>
      <c r="C6" t="s">
        <v>100</v>
      </c>
      <c r="D6" s="15">
        <v>6786</v>
      </c>
      <c r="E6" s="17">
        <f t="shared" si="0"/>
        <v>106.03125</v>
      </c>
      <c r="F6" s="12">
        <f>Tabla7[[#This Row],[Área (ha)]]/Tabla7[[#Totals],[Área (ha)]]</f>
        <v>0.17725420541218265</v>
      </c>
    </row>
    <row r="7" spans="1:7" x14ac:dyDescent="0.25">
      <c r="A7" s="1">
        <v>6</v>
      </c>
      <c r="B7" s="6" t="s">
        <v>146</v>
      </c>
      <c r="C7" t="s">
        <v>101</v>
      </c>
      <c r="D7" s="15">
        <v>3799</v>
      </c>
      <c r="E7" s="17">
        <f t="shared" si="0"/>
        <v>59.359375</v>
      </c>
      <c r="F7" s="12">
        <f>Tabla7[[#This Row],[Área (ha)]]/Tabla7[[#Totals],[Área (ha)]]</f>
        <v>9.923205516664925E-2</v>
      </c>
    </row>
    <row r="8" spans="1:7" x14ac:dyDescent="0.25">
      <c r="A8" s="1">
        <v>7</v>
      </c>
      <c r="B8" s="1" t="s">
        <v>147</v>
      </c>
      <c r="C8" t="s">
        <v>102</v>
      </c>
      <c r="D8" s="15">
        <v>1417</v>
      </c>
      <c r="E8" s="17">
        <f t="shared" si="0"/>
        <v>22.140625</v>
      </c>
      <c r="F8" s="12">
        <f>Tabla7[[#This Row],[Área (ha)]]/Tabla7[[#Totals],[Área (ha)]]</f>
        <v>3.7012851321700971E-2</v>
      </c>
    </row>
    <row r="9" spans="1:7" x14ac:dyDescent="0.25">
      <c r="A9" s="1" t="s">
        <v>26</v>
      </c>
      <c r="B9" s="1"/>
      <c r="D9" s="15">
        <f>SUBTOTAL(109,Tabla7[Número de píxeles])</f>
        <v>38284</v>
      </c>
      <c r="E9" s="14">
        <f>SUBTOTAL(109,Tabla7[Área (ha)])</f>
        <v>598.1875</v>
      </c>
      <c r="F9" s="19">
        <f>SUBTOTAL(109,Tabla7[% Área])</f>
        <v>1</v>
      </c>
    </row>
    <row r="12" spans="1:7" x14ac:dyDescent="0.25">
      <c r="G12" s="18"/>
    </row>
  </sheetData>
  <sheetProtection algorithmName="SHA-512" hashValue="g2ImY24VH/XArafvJ0DDXJBbf1Nd2AxOHZw3/dTfI7bMr2QWdWV98EUP8ZVmlrYbKPQwqEr2XJQ4aOB2Z9rrfQ==" saltValue="cl8UR6yBMjvfvd24AY+mPg==" spinCount="100000" sheet="1" objects="1" scenarios="1"/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C7090-4FEF-400E-AF01-02F0EEFA7090}">
  <dimension ref="A1:I11"/>
  <sheetViews>
    <sheetView workbookViewId="0">
      <selection activeCell="A2" sqref="A2:A10"/>
    </sheetView>
  </sheetViews>
  <sheetFormatPr baseColWidth="10" defaultRowHeight="15.75" x14ac:dyDescent="0.25"/>
  <cols>
    <col min="1" max="3" width="11.125" style="2"/>
    <col min="4" max="4" width="73.125" bestFit="1" customWidth="1"/>
    <col min="5" max="5" width="15.875" customWidth="1"/>
    <col min="6" max="6" width="13.5" customWidth="1"/>
    <col min="7" max="7" width="13.5" style="12" customWidth="1"/>
    <col min="9" max="9" width="15.875" style="2" customWidth="1"/>
  </cols>
  <sheetData>
    <row r="1" spans="1:9" s="2" customFormat="1" x14ac:dyDescent="0.25">
      <c r="A1" s="2" t="s">
        <v>22</v>
      </c>
      <c r="B1" s="2" t="s">
        <v>103</v>
      </c>
      <c r="C1" s="2" t="s">
        <v>104</v>
      </c>
      <c r="D1" s="2" t="s">
        <v>131</v>
      </c>
      <c r="E1" s="2" t="s">
        <v>132</v>
      </c>
      <c r="F1" s="2" t="s">
        <v>24</v>
      </c>
      <c r="G1" s="12" t="s">
        <v>25</v>
      </c>
    </row>
    <row r="2" spans="1:9" x14ac:dyDescent="0.25">
      <c r="A2" s="2">
        <v>1</v>
      </c>
      <c r="B2" s="2" t="s">
        <v>105</v>
      </c>
      <c r="C2" s="2" t="s">
        <v>106</v>
      </c>
      <c r="D2" t="s">
        <v>107</v>
      </c>
      <c r="E2" s="2" t="s">
        <v>108</v>
      </c>
      <c r="F2" s="14">
        <v>111.129375</v>
      </c>
      <c r="G2" s="12">
        <f>Tabla8[[#This Row],[Área (ha)]]/Tabla8[[#Totals],[Área (ha)]]</f>
        <v>0.18587279872590332</v>
      </c>
      <c r="I2"/>
    </row>
    <row r="3" spans="1:9" x14ac:dyDescent="0.25">
      <c r="A3" s="2">
        <v>2</v>
      </c>
      <c r="B3" s="2" t="s">
        <v>109</v>
      </c>
      <c r="C3" s="2" t="s">
        <v>110</v>
      </c>
      <c r="D3" t="s">
        <v>111</v>
      </c>
      <c r="E3" s="2" t="s">
        <v>112</v>
      </c>
      <c r="F3" s="14">
        <v>249.473367</v>
      </c>
      <c r="G3" s="12">
        <f>Tabla8[[#This Row],[Área (ha)]]/Tabla8[[#Totals],[Área (ha)]]</f>
        <v>0.41726422857920697</v>
      </c>
      <c r="I3"/>
    </row>
    <row r="4" spans="1:9" x14ac:dyDescent="0.25">
      <c r="A4" s="2">
        <v>3</v>
      </c>
      <c r="B4" s="2" t="s">
        <v>113</v>
      </c>
      <c r="C4" s="2" t="s">
        <v>114</v>
      </c>
      <c r="D4" t="s">
        <v>115</v>
      </c>
      <c r="E4" s="2" t="s">
        <v>116</v>
      </c>
      <c r="F4" s="14">
        <v>0.92780700000000005</v>
      </c>
      <c r="G4" s="12">
        <f>Tabla8[[#This Row],[Área (ha)]]/Tabla8[[#Totals],[Área (ha)]]</f>
        <v>1.5518316715763423E-3</v>
      </c>
      <c r="I4"/>
    </row>
    <row r="5" spans="1:9" x14ac:dyDescent="0.25">
      <c r="A5" s="2">
        <v>4</v>
      </c>
      <c r="B5" s="2" t="s">
        <v>113</v>
      </c>
      <c r="C5" s="2" t="s">
        <v>114</v>
      </c>
      <c r="D5" t="s">
        <v>115</v>
      </c>
      <c r="E5" s="2" t="s">
        <v>116</v>
      </c>
      <c r="F5" s="14">
        <v>27.160149000000001</v>
      </c>
      <c r="G5" s="12">
        <f>Tabla8[[#This Row],[Área (ha)]]/Tabla8[[#Totals],[Área (ha)]]</f>
        <v>4.542752902589927E-2</v>
      </c>
      <c r="I5"/>
    </row>
    <row r="6" spans="1:9" x14ac:dyDescent="0.25">
      <c r="A6" s="2">
        <v>5</v>
      </c>
      <c r="B6" s="2" t="s">
        <v>113</v>
      </c>
      <c r="C6" s="2" t="s">
        <v>114</v>
      </c>
      <c r="D6" t="s">
        <v>115</v>
      </c>
      <c r="E6" s="2" t="s">
        <v>116</v>
      </c>
      <c r="F6" s="14">
        <v>24.353404000000001</v>
      </c>
      <c r="G6" s="12">
        <f>Tabla8[[#This Row],[Área (ha)]]/Tabla8[[#Totals],[Área (ha)]]</f>
        <v>4.0733022749229075E-2</v>
      </c>
      <c r="I6"/>
    </row>
    <row r="7" spans="1:9" x14ac:dyDescent="0.25">
      <c r="A7" s="2">
        <v>6</v>
      </c>
      <c r="B7" s="2" t="s">
        <v>117</v>
      </c>
      <c r="C7" s="2" t="s">
        <v>118</v>
      </c>
      <c r="D7" t="s">
        <v>119</v>
      </c>
      <c r="E7" s="2" t="s">
        <v>120</v>
      </c>
      <c r="F7" s="14">
        <v>74.971112000000005</v>
      </c>
      <c r="G7" s="12">
        <f>Tabla8[[#This Row],[Área (ha)]]/Tabla8[[#Totals],[Área (ha)]]</f>
        <v>0.12539520186299216</v>
      </c>
      <c r="I7"/>
    </row>
    <row r="8" spans="1:9" x14ac:dyDescent="0.25">
      <c r="A8" s="2">
        <v>7</v>
      </c>
      <c r="B8" s="2" t="s">
        <v>121</v>
      </c>
      <c r="C8" s="2" t="s">
        <v>122</v>
      </c>
      <c r="D8" t="s">
        <v>123</v>
      </c>
      <c r="E8" s="2" t="s">
        <v>124</v>
      </c>
      <c r="F8" s="14">
        <v>3.4953409999999998</v>
      </c>
      <c r="G8" s="12">
        <f>Tabla8[[#This Row],[Área (ha)]]/Tabla8[[#Totals],[Área (ha)]]</f>
        <v>5.8462383521134496E-3</v>
      </c>
      <c r="I8"/>
    </row>
    <row r="9" spans="1:9" x14ac:dyDescent="0.25">
      <c r="A9" s="2">
        <v>8</v>
      </c>
      <c r="B9" s="2" t="s">
        <v>125</v>
      </c>
      <c r="C9" s="2" t="s">
        <v>126</v>
      </c>
      <c r="D9" t="s">
        <v>127</v>
      </c>
      <c r="E9" s="2" t="s">
        <v>128</v>
      </c>
      <c r="F9" s="14">
        <v>5.1452340000000003</v>
      </c>
      <c r="G9" s="12">
        <f>Tabla8[[#This Row],[Área (ha)]]/Tabla8[[#Totals],[Área (ha)]]</f>
        <v>8.6058168119786012E-3</v>
      </c>
      <c r="I9"/>
    </row>
    <row r="10" spans="1:9" x14ac:dyDescent="0.25">
      <c r="A10" s="2">
        <v>9</v>
      </c>
      <c r="B10" s="2" t="s">
        <v>129</v>
      </c>
      <c r="C10" s="2" t="s">
        <v>129</v>
      </c>
      <c r="D10" t="s">
        <v>130</v>
      </c>
      <c r="E10" s="2" t="s">
        <v>130</v>
      </c>
      <c r="F10" s="14">
        <v>101.22284500000001</v>
      </c>
      <c r="G10" s="12">
        <f>Tabla8[[#This Row],[Área (ha)]]/Tabla8[[#Totals],[Área (ha)]]</f>
        <v>0.16930333222110094</v>
      </c>
      <c r="I10"/>
    </row>
    <row r="11" spans="1:9" x14ac:dyDescent="0.25">
      <c r="A11" s="2" t="s">
        <v>26</v>
      </c>
      <c r="E11" s="2"/>
      <c r="F11" s="14">
        <f>SUBTOTAL(109,Tabla8[Área (ha)])</f>
        <v>597.87863399999992</v>
      </c>
      <c r="G11" s="20">
        <f>SUBTOTAL(109,Tabla8[% Área])</f>
        <v>1</v>
      </c>
      <c r="I11"/>
    </row>
  </sheetData>
  <sheetProtection algorithmName="SHA-512" hashValue="HvkQN7/bAR2pYcWYrG1a0KJzvBlKJrBBZGS/b7pAx9UOv4knV9speL9zOIkqwWw2r0dHtj98RAiM3lOEW/WxPw==" saltValue="XdOvKirmbuOdRS/tG5+Pcg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Movimientos en masa</vt:lpstr>
      <vt:lpstr>Cobertura vegetal 2018</vt:lpstr>
      <vt:lpstr>Cobertura vegetal actual</vt:lpstr>
      <vt:lpstr>Curvatura</vt:lpstr>
      <vt:lpstr>Distancia a drenajes</vt:lpstr>
      <vt:lpstr>Relieve</vt:lpstr>
      <vt:lpstr>Geomorfología</vt:lpstr>
      <vt:lpstr>Pendientes</vt:lpstr>
      <vt:lpstr>Suelos</vt:lpstr>
      <vt:lpstr>Precipitación</vt:lpstr>
      <vt:lpstr>Método WoFE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CAROLINA QUENZA NIEVES</dc:creator>
  <cp:lastModifiedBy>YEFERSON ZAPATA</cp:lastModifiedBy>
  <dcterms:created xsi:type="dcterms:W3CDTF">2023-06-11T20:06:39Z</dcterms:created>
  <dcterms:modified xsi:type="dcterms:W3CDTF">2023-06-25T21:54:42Z</dcterms:modified>
</cp:coreProperties>
</file>