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0730" windowHeight="11160" firstSheet="5" activeTab="5"/>
  </bookViews>
  <sheets>
    <sheet name="INVERSION INICIAL" sheetId="1" r:id="rId1"/>
    <sheet name="AMORTIZACION" sheetId="5" r:id="rId2"/>
    <sheet name="NOMINA" sheetId="2" r:id="rId3"/>
    <sheet name="GASTOS ADMINISTRATIVOS" sheetId="3" r:id="rId4"/>
    <sheet name="COSTO DE PRODUCCION" sheetId="4" r:id="rId5"/>
    <sheet name="FLUJO DE CAJA" sheetId="8" r:id="rId6"/>
    <sheet name="BALANCE GENERAL 5 AÑOS" sheetId="10" r:id="rId7"/>
    <sheet name="ESTADO DE RESULTADOS 5 AÑOS" sheetId="6" state="hidden" r:id="rId8"/>
    <sheet name="DEPRECIACION" sheetId="7" r:id="rId9"/>
    <sheet name="AÑO 5" sheetId="11" r:id="rId10"/>
  </sheets>
  <externalReferences>
    <externalReference r:id="rId11"/>
  </externalReferences>
  <definedNames>
    <definedName name="_xlnm._FilterDatabase" localSheetId="8" hidden="1">DEPRECIACION!$A$1:$W$25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59" i="10"/>
  <c r="Q59"/>
  <c r="P59"/>
  <c r="O59"/>
  <c r="N59"/>
  <c r="D19" i="2"/>
  <c r="C19"/>
  <c r="E26" i="1" l="1"/>
  <c r="E3"/>
  <c r="L10" i="5"/>
  <c r="L11" s="1"/>
  <c r="L12" s="1"/>
  <c r="L13" s="1"/>
  <c r="L9"/>
  <c r="K13"/>
  <c r="K12"/>
  <c r="K11"/>
  <c r="K10"/>
  <c r="K9"/>
  <c r="J12"/>
  <c r="I12"/>
  <c r="J11"/>
  <c r="I11"/>
  <c r="J10"/>
  <c r="I10"/>
  <c r="J13"/>
  <c r="J9"/>
  <c r="I13"/>
  <c r="I9"/>
  <c r="L8"/>
  <c r="Z71" i="11"/>
  <c r="X71"/>
  <c r="W71"/>
  <c r="V71"/>
  <c r="U71"/>
  <c r="T71"/>
  <c r="S71"/>
  <c r="R71"/>
  <c r="Q71"/>
  <c r="O71"/>
  <c r="N71"/>
  <c r="M71"/>
  <c r="L71"/>
  <c r="I71"/>
  <c r="H71"/>
  <c r="G71"/>
  <c r="F71"/>
  <c r="E71"/>
  <c r="C71"/>
  <c r="T68"/>
  <c r="Q68"/>
  <c r="B68"/>
  <c r="D67"/>
  <c r="D71" s="1"/>
  <c r="P66"/>
  <c r="P71" s="1"/>
  <c r="B66"/>
  <c r="B65"/>
  <c r="J64"/>
  <c r="A64" s="1"/>
  <c r="B64"/>
  <c r="Z60"/>
  <c r="X60"/>
  <c r="W60"/>
  <c r="V60"/>
  <c r="U60"/>
  <c r="S60"/>
  <c r="R60"/>
  <c r="O60"/>
  <c r="N60"/>
  <c r="M60"/>
  <c r="L60"/>
  <c r="J60"/>
  <c r="I60"/>
  <c r="H60"/>
  <c r="G60"/>
  <c r="F60"/>
  <c r="E60"/>
  <c r="D60"/>
  <c r="C60"/>
  <c r="Q58"/>
  <c r="Q60" s="1"/>
  <c r="B58"/>
  <c r="T57"/>
  <c r="T60" s="1"/>
  <c r="B57"/>
  <c r="P56"/>
  <c r="P60" s="1"/>
  <c r="Y54" s="1"/>
  <c r="Y60" s="1"/>
  <c r="B55"/>
  <c r="J54"/>
  <c r="A54" s="1"/>
  <c r="B54"/>
  <c r="Z51"/>
  <c r="X51"/>
  <c r="W51"/>
  <c r="V51"/>
  <c r="U51"/>
  <c r="S51"/>
  <c r="R51"/>
  <c r="O51"/>
  <c r="N51"/>
  <c r="M51"/>
  <c r="L51"/>
  <c r="I51"/>
  <c r="H51"/>
  <c r="G51"/>
  <c r="F51"/>
  <c r="E51"/>
  <c r="C51"/>
  <c r="D50"/>
  <c r="D51" s="1"/>
  <c r="T49"/>
  <c r="T51" s="1"/>
  <c r="B48"/>
  <c r="P46"/>
  <c r="B46"/>
  <c r="K45"/>
  <c r="B45"/>
  <c r="J44"/>
  <c r="B44"/>
  <c r="T43"/>
  <c r="Z41"/>
  <c r="X41"/>
  <c r="V41"/>
  <c r="U41"/>
  <c r="R41"/>
  <c r="O41"/>
  <c r="N41"/>
  <c r="M41"/>
  <c r="L41"/>
  <c r="I41"/>
  <c r="H41"/>
  <c r="G41"/>
  <c r="F41"/>
  <c r="E41"/>
  <c r="D41"/>
  <c r="C41"/>
  <c r="B40"/>
  <c r="B38"/>
  <c r="T37"/>
  <c r="T41" s="1"/>
  <c r="P37"/>
  <c r="P41" s="1"/>
  <c r="B37"/>
  <c r="B36"/>
  <c r="W35"/>
  <c r="W41" s="1"/>
  <c r="Q35"/>
  <c r="J35"/>
  <c r="J41" s="1"/>
  <c r="AH9" s="1"/>
  <c r="B35"/>
  <c r="A35"/>
  <c r="AA31"/>
  <c r="Z31"/>
  <c r="U31"/>
  <c r="S31"/>
  <c r="Q31"/>
  <c r="O31"/>
  <c r="N31"/>
  <c r="L31"/>
  <c r="K31"/>
  <c r="I31"/>
  <c r="H31"/>
  <c r="G31"/>
  <c r="F31"/>
  <c r="E31"/>
  <c r="D31"/>
  <c r="C31"/>
  <c r="B30"/>
  <c r="B29"/>
  <c r="R28"/>
  <c r="R31" s="1"/>
  <c r="B28"/>
  <c r="V27"/>
  <c r="B27"/>
  <c r="V26"/>
  <c r="B22" s="1"/>
  <c r="B26"/>
  <c r="B25"/>
  <c r="B24"/>
  <c r="B23"/>
  <c r="T22"/>
  <c r="T31" s="1"/>
  <c r="P21"/>
  <c r="P31" s="1"/>
  <c r="J21"/>
  <c r="A37" s="1"/>
  <c r="K36" s="1"/>
  <c r="K41" s="1"/>
  <c r="B21"/>
  <c r="A20"/>
  <c r="AE11"/>
  <c r="AH11" s="1"/>
  <c r="AK11" s="1"/>
  <c r="AN11" s="1"/>
  <c r="AQ11" s="1"/>
  <c r="V10"/>
  <c r="V13" s="1"/>
  <c r="J10"/>
  <c r="J13" s="1"/>
  <c r="W9"/>
  <c r="V9"/>
  <c r="T9"/>
  <c r="S9"/>
  <c r="S10" s="1"/>
  <c r="Q9"/>
  <c r="P9"/>
  <c r="P10" s="1"/>
  <c r="P13" s="1"/>
  <c r="N9"/>
  <c r="M10" s="1"/>
  <c r="M13" s="1"/>
  <c r="M9"/>
  <c r="K9"/>
  <c r="J9"/>
  <c r="H9"/>
  <c r="AE13" s="1"/>
  <c r="AH13" s="1"/>
  <c r="G9"/>
  <c r="G10" s="1"/>
  <c r="G32" s="1"/>
  <c r="G42" s="1"/>
  <c r="D9"/>
  <c r="D10" s="1"/>
  <c r="X10" s="1"/>
  <c r="B9"/>
  <c r="A10" s="1"/>
  <c r="A9"/>
  <c r="AK8"/>
  <c r="AN8" s="1"/>
  <c r="AQ8" s="1"/>
  <c r="AH8"/>
  <c r="AE8"/>
  <c r="B8"/>
  <c r="AN7"/>
  <c r="AQ7" s="1"/>
  <c r="AK7"/>
  <c r="B7"/>
  <c r="AE6"/>
  <c r="AH6" s="1"/>
  <c r="AK6" s="1"/>
  <c r="AN6" s="1"/>
  <c r="AQ6" s="1"/>
  <c r="B6"/>
  <c r="B5"/>
  <c r="AE4"/>
  <c r="AH4" s="1"/>
  <c r="AK4" s="1"/>
  <c r="AN4" s="1"/>
  <c r="AQ4" s="1"/>
  <c r="H4"/>
  <c r="B4"/>
  <c r="AE3"/>
  <c r="AH3" s="1"/>
  <c r="AK3" s="1"/>
  <c r="AN3" s="1"/>
  <c r="AQ3" s="1"/>
  <c r="E3"/>
  <c r="E9" s="1"/>
  <c r="AE16" s="1"/>
  <c r="AH16" s="1"/>
  <c r="H38" i="10"/>
  <c r="G38"/>
  <c r="F38"/>
  <c r="I28" i="8"/>
  <c r="H28"/>
  <c r="G28"/>
  <c r="F28"/>
  <c r="E28"/>
  <c r="E37"/>
  <c r="E27"/>
  <c r="F27" s="1"/>
  <c r="G27" s="1"/>
  <c r="H27" s="1"/>
  <c r="I27" s="1"/>
  <c r="E33" l="1"/>
  <c r="J31" i="11"/>
  <c r="J32" s="1"/>
  <c r="AE9" s="1"/>
  <c r="B31"/>
  <c r="D32"/>
  <c r="Y35"/>
  <c r="B56"/>
  <c r="X9"/>
  <c r="Y10" s="1"/>
  <c r="V31"/>
  <c r="V32" s="1"/>
  <c r="K51"/>
  <c r="A46"/>
  <c r="X13"/>
  <c r="AN17"/>
  <c r="P32"/>
  <c r="AB54"/>
  <c r="K65"/>
  <c r="K71" s="1"/>
  <c r="AN9"/>
  <c r="A65"/>
  <c r="A71" s="1"/>
  <c r="A41"/>
  <c r="K55"/>
  <c r="K60" s="1"/>
  <c r="A44"/>
  <c r="B47"/>
  <c r="P51"/>
  <c r="J51"/>
  <c r="AK16"/>
  <c r="AK13"/>
  <c r="Y64"/>
  <c r="AE5"/>
  <c r="AH5" s="1"/>
  <c r="AK5" s="1"/>
  <c r="AN5" s="1"/>
  <c r="AQ5" s="1"/>
  <c r="M21"/>
  <c r="M31" s="1"/>
  <c r="M32" s="1"/>
  <c r="J71"/>
  <c r="AQ9" s="1"/>
  <c r="A21"/>
  <c r="A31" s="1"/>
  <c r="Q40"/>
  <c r="S37" s="1"/>
  <c r="S41" s="1"/>
  <c r="B70"/>
  <c r="AB35" l="1"/>
  <c r="Y41"/>
  <c r="AH17" s="1"/>
  <c r="Y21"/>
  <c r="Y31" s="1"/>
  <c r="Y71"/>
  <c r="AB64"/>
  <c r="AN16"/>
  <c r="AN13"/>
  <c r="A51"/>
  <c r="A55"/>
  <c r="A60" s="1"/>
  <c r="AK9"/>
  <c r="AA64"/>
  <c r="AN14"/>
  <c r="AB60"/>
  <c r="Q41"/>
  <c r="A32"/>
  <c r="AE2" s="1"/>
  <c r="AQ17"/>
  <c r="Q48"/>
  <c r="Q51" s="1"/>
  <c r="Y45"/>
  <c r="AE17"/>
  <c r="Y32" l="1"/>
  <c r="AD32"/>
  <c r="AB21"/>
  <c r="AB31" s="1"/>
  <c r="AA44"/>
  <c r="AB41"/>
  <c r="AH14" s="1"/>
  <c r="AI14" s="1"/>
  <c r="AA54"/>
  <c r="Y51"/>
  <c r="AB44"/>
  <c r="AF10"/>
  <c r="AO14"/>
  <c r="AQ13"/>
  <c r="AR14" s="1"/>
  <c r="AQ16"/>
  <c r="AA71"/>
  <c r="AD71" s="1"/>
  <c r="B67"/>
  <c r="B71" s="1"/>
  <c r="AE14"/>
  <c r="AF14" s="1"/>
  <c r="AA36"/>
  <c r="AB71"/>
  <c r="AQ14"/>
  <c r="AF17"/>
  <c r="AH18"/>
  <c r="B49" l="1"/>
  <c r="B51" s="1"/>
  <c r="A52" s="1"/>
  <c r="AA51"/>
  <c r="AD51" s="1"/>
  <c r="AF51" s="1"/>
  <c r="AK18"/>
  <c r="AI17"/>
  <c r="AI19" s="1"/>
  <c r="AK14"/>
  <c r="AL14" s="1"/>
  <c r="AB51"/>
  <c r="AE51" s="1"/>
  <c r="AK17"/>
  <c r="AF19"/>
  <c r="AF20" s="1"/>
  <c r="AA32"/>
  <c r="AE32"/>
  <c r="AF32" s="1"/>
  <c r="B59"/>
  <c r="B60" s="1"/>
  <c r="AA60"/>
  <c r="AD60" s="1"/>
  <c r="AA41"/>
  <c r="AD41" s="1"/>
  <c r="B39"/>
  <c r="B41" s="1"/>
  <c r="AE71"/>
  <c r="AF71" s="1"/>
  <c r="A72"/>
  <c r="H10" i="4"/>
  <c r="L23" i="8" s="1"/>
  <c r="H9" i="4"/>
  <c r="L22" i="8" s="1"/>
  <c r="G17" i="10"/>
  <c r="F17"/>
  <c r="E17"/>
  <c r="D17"/>
  <c r="C17"/>
  <c r="N23" i="8" l="1"/>
  <c r="N22"/>
  <c r="AE60" i="11"/>
  <c r="AF60" s="1"/>
  <c r="A61"/>
  <c r="AE41"/>
  <c r="AF41" s="1"/>
  <c r="A42"/>
  <c r="AH2" s="1"/>
  <c r="AN18"/>
  <c r="AL17"/>
  <c r="AL19" s="1"/>
  <c r="AI11" l="1"/>
  <c r="AI20" s="1"/>
  <c r="AK2"/>
  <c r="AQ18"/>
  <c r="AR17" s="1"/>
  <c r="AR19" s="1"/>
  <c r="AO17"/>
  <c r="AO19" s="1"/>
  <c r="AN2" l="1"/>
  <c r="AL11"/>
  <c r="AL20" s="1"/>
  <c r="AQ2" l="1"/>
  <c r="AR11" s="1"/>
  <c r="AR20" s="1"/>
  <c r="AO11"/>
  <c r="AO20" s="1"/>
  <c r="G8" i="10" l="1"/>
  <c r="F8"/>
  <c r="F7" s="1"/>
  <c r="E8"/>
  <c r="E7" s="1"/>
  <c r="D8"/>
  <c r="D7" s="1"/>
  <c r="C7"/>
  <c r="E7" i="3"/>
  <c r="F7" s="1"/>
  <c r="G7" s="1"/>
  <c r="H7" s="1"/>
  <c r="D12" i="8"/>
  <c r="D11"/>
  <c r="D10"/>
  <c r="D9"/>
  <c r="D8"/>
  <c r="D7"/>
  <c r="C45" i="10"/>
  <c r="D42"/>
  <c r="E42" s="1"/>
  <c r="F42" s="1"/>
  <c r="G42" s="1"/>
  <c r="H42" s="1"/>
  <c r="D38"/>
  <c r="E38"/>
  <c r="C38"/>
  <c r="C27" s="1"/>
  <c r="G7"/>
  <c r="S60"/>
  <c r="C54"/>
  <c r="D42" i="6"/>
  <c r="E42"/>
  <c r="F42"/>
  <c r="G42"/>
  <c r="C42"/>
  <c r="F20" i="5"/>
  <c r="D31" i="1"/>
  <c r="B28" i="6"/>
  <c r="C30"/>
  <c r="C71"/>
  <c r="C29" i="10" l="1"/>
  <c r="C39" s="1"/>
  <c r="C48"/>
  <c r="C49" s="1"/>
  <c r="C56" s="1"/>
  <c r="R61" i="6"/>
  <c r="Q61"/>
  <c r="P61"/>
  <c r="O61"/>
  <c r="N61"/>
  <c r="M61"/>
  <c r="D9" i="5"/>
  <c r="B47" i="6"/>
  <c r="C47" s="1"/>
  <c r="D47" s="1"/>
  <c r="E47" s="1"/>
  <c r="F47" s="1"/>
  <c r="G47" s="1"/>
  <c r="B31"/>
  <c r="D30"/>
  <c r="E30"/>
  <c r="F30"/>
  <c r="G30"/>
  <c r="B54"/>
  <c r="B45"/>
  <c r="G38"/>
  <c r="F38"/>
  <c r="C38"/>
  <c r="B38"/>
  <c r="E38"/>
  <c r="D38"/>
  <c r="C58" i="10" l="1"/>
  <c r="D48"/>
  <c r="B48" i="6"/>
  <c r="B49" s="1"/>
  <c r="B56" s="1"/>
  <c r="B39"/>
  <c r="E48" i="10" l="1"/>
  <c r="F48" l="1"/>
  <c r="G48" l="1"/>
  <c r="H48" l="1"/>
  <c r="B7" i="6" l="1"/>
  <c r="C1" i="5"/>
  <c r="E34" i="1"/>
  <c r="E33"/>
  <c r="D32"/>
  <c r="E32" s="1"/>
  <c r="E31"/>
  <c r="D30"/>
  <c r="C48" i="8"/>
  <c r="D24"/>
  <c r="E12"/>
  <c r="E11"/>
  <c r="E10"/>
  <c r="E9"/>
  <c r="E8"/>
  <c r="E7"/>
  <c r="F5"/>
  <c r="I37"/>
  <c r="H37"/>
  <c r="G37"/>
  <c r="F37"/>
  <c r="I38"/>
  <c r="H38"/>
  <c r="G38"/>
  <c r="F38"/>
  <c r="E38"/>
  <c r="F7" i="6"/>
  <c r="E7"/>
  <c r="D7"/>
  <c r="C7"/>
  <c r="C17"/>
  <c r="D17"/>
  <c r="E17"/>
  <c r="F17"/>
  <c r="B17"/>
  <c r="F9" i="3"/>
  <c r="G9" s="1"/>
  <c r="H9" s="1"/>
  <c r="E9"/>
  <c r="F8"/>
  <c r="G8" s="1"/>
  <c r="H8" s="1"/>
  <c r="E8"/>
  <c r="E6"/>
  <c r="H6"/>
  <c r="G6"/>
  <c r="F6"/>
  <c r="D24" i="7"/>
  <c r="J24" s="1"/>
  <c r="D22"/>
  <c r="J22" s="1"/>
  <c r="D20"/>
  <c r="J20" s="1"/>
  <c r="D19"/>
  <c r="J19" s="1"/>
  <c r="D18"/>
  <c r="J18" s="1"/>
  <c r="D17"/>
  <c r="J17" s="1"/>
  <c r="D16"/>
  <c r="J16" s="1"/>
  <c r="D14"/>
  <c r="J14" s="1"/>
  <c r="D13"/>
  <c r="J13" s="1"/>
  <c r="D12"/>
  <c r="J12" s="1"/>
  <c r="D11"/>
  <c r="J11" s="1"/>
  <c r="D10"/>
  <c r="J10" s="1"/>
  <c r="D9"/>
  <c r="J9" s="1"/>
  <c r="D8"/>
  <c r="J8" s="1"/>
  <c r="D7"/>
  <c r="J7" s="1"/>
  <c r="D6"/>
  <c r="J6" s="1"/>
  <c r="D5"/>
  <c r="J5" s="1"/>
  <c r="D4"/>
  <c r="J4" s="1"/>
  <c r="D3"/>
  <c r="I3" s="1"/>
  <c r="G5" i="8" l="1"/>
  <c r="P22"/>
  <c r="P23"/>
  <c r="F11"/>
  <c r="F10"/>
  <c r="F7"/>
  <c r="F12"/>
  <c r="F8"/>
  <c r="F9"/>
  <c r="G22" i="7"/>
  <c r="G17"/>
  <c r="G12"/>
  <c r="G8"/>
  <c r="G4"/>
  <c r="J3"/>
  <c r="J25" s="1"/>
  <c r="I24"/>
  <c r="I22"/>
  <c r="I20"/>
  <c r="I19"/>
  <c r="I18"/>
  <c r="I17"/>
  <c r="I16"/>
  <c r="I14"/>
  <c r="I13"/>
  <c r="I12"/>
  <c r="I11"/>
  <c r="I10"/>
  <c r="I9"/>
  <c r="I8"/>
  <c r="I7"/>
  <c r="I6"/>
  <c r="I5"/>
  <c r="I4"/>
  <c r="G20"/>
  <c r="G16"/>
  <c r="G11"/>
  <c r="G7"/>
  <c r="G3"/>
  <c r="K3"/>
  <c r="H24"/>
  <c r="H22"/>
  <c r="H20"/>
  <c r="H19"/>
  <c r="H18"/>
  <c r="H17"/>
  <c r="H16"/>
  <c r="H14"/>
  <c r="H13"/>
  <c r="H12"/>
  <c r="H11"/>
  <c r="H10"/>
  <c r="H9"/>
  <c r="H8"/>
  <c r="H7"/>
  <c r="H6"/>
  <c r="H5"/>
  <c r="H4"/>
  <c r="G19"/>
  <c r="G14"/>
  <c r="L14" s="1"/>
  <c r="G10"/>
  <c r="G6"/>
  <c r="H3"/>
  <c r="K24"/>
  <c r="K22"/>
  <c r="K20"/>
  <c r="K19"/>
  <c r="K18"/>
  <c r="K17"/>
  <c r="K16"/>
  <c r="K14"/>
  <c r="K13"/>
  <c r="K12"/>
  <c r="K11"/>
  <c r="K10"/>
  <c r="K9"/>
  <c r="K8"/>
  <c r="K7"/>
  <c r="K6"/>
  <c r="K5"/>
  <c r="K4"/>
  <c r="G24"/>
  <c r="G18"/>
  <c r="G13"/>
  <c r="G9"/>
  <c r="G5"/>
  <c r="E24" i="8"/>
  <c r="F24" s="1"/>
  <c r="G24" s="1"/>
  <c r="H24" s="1"/>
  <c r="I24" s="1"/>
  <c r="E15"/>
  <c r="H33"/>
  <c r="I33"/>
  <c r="H5"/>
  <c r="G33"/>
  <c r="T22" l="1"/>
  <c r="T23"/>
  <c r="H7"/>
  <c r="H11"/>
  <c r="H10"/>
  <c r="H8"/>
  <c r="H9"/>
  <c r="H12"/>
  <c r="R22"/>
  <c r="R23"/>
  <c r="G9"/>
  <c r="G7"/>
  <c r="G15" s="1"/>
  <c r="G10"/>
  <c r="G11"/>
  <c r="G8"/>
  <c r="G12"/>
  <c r="C4" i="10"/>
  <c r="D28" s="1"/>
  <c r="I25" i="7"/>
  <c r="L13"/>
  <c r="H25"/>
  <c r="L9"/>
  <c r="L10"/>
  <c r="L11"/>
  <c r="L12"/>
  <c r="M14"/>
  <c r="N14" s="1"/>
  <c r="O14" s="1"/>
  <c r="P14" s="1"/>
  <c r="W14"/>
  <c r="K25"/>
  <c r="L16"/>
  <c r="L17"/>
  <c r="W13"/>
  <c r="M13"/>
  <c r="N13" s="1"/>
  <c r="O13" s="1"/>
  <c r="P13" s="1"/>
  <c r="L19"/>
  <c r="L3"/>
  <c r="G25"/>
  <c r="L20"/>
  <c r="L4"/>
  <c r="L22"/>
  <c r="L18"/>
  <c r="L5"/>
  <c r="L24"/>
  <c r="L6"/>
  <c r="L7"/>
  <c r="L8"/>
  <c r="F15" i="8"/>
  <c r="D4" i="10" s="1"/>
  <c r="E28" s="1"/>
  <c r="F33" i="8"/>
  <c r="I5"/>
  <c r="E4" i="10" l="1"/>
  <c r="F28" s="1"/>
  <c r="V23" i="8"/>
  <c r="V22"/>
  <c r="I7"/>
  <c r="I8"/>
  <c r="I11"/>
  <c r="I12"/>
  <c r="I9"/>
  <c r="I10"/>
  <c r="W8" i="7"/>
  <c r="M8"/>
  <c r="N8" s="1"/>
  <c r="O8" s="1"/>
  <c r="P8" s="1"/>
  <c r="M5"/>
  <c r="N5" s="1"/>
  <c r="O5" s="1"/>
  <c r="P5" s="1"/>
  <c r="W5"/>
  <c r="W20"/>
  <c r="M20"/>
  <c r="N20" s="1"/>
  <c r="O20" s="1"/>
  <c r="P20" s="1"/>
  <c r="Q20" s="1"/>
  <c r="M19"/>
  <c r="N19" s="1"/>
  <c r="O19" s="1"/>
  <c r="P19" s="1"/>
  <c r="Q19" s="1"/>
  <c r="W19"/>
  <c r="W16"/>
  <c r="M16"/>
  <c r="N16" s="1"/>
  <c r="O16" s="1"/>
  <c r="P16" s="1"/>
  <c r="Q16" s="1"/>
  <c r="W12"/>
  <c r="M12"/>
  <c r="N12" s="1"/>
  <c r="O12" s="1"/>
  <c r="P12" s="1"/>
  <c r="W18"/>
  <c r="M18"/>
  <c r="N18" s="1"/>
  <c r="O18" s="1"/>
  <c r="P18" s="1"/>
  <c r="Q18" s="1"/>
  <c r="Q13"/>
  <c r="V13"/>
  <c r="U13"/>
  <c r="T13"/>
  <c r="S13"/>
  <c r="R13"/>
  <c r="W11"/>
  <c r="M11"/>
  <c r="N11" s="1"/>
  <c r="O11" s="1"/>
  <c r="P11" s="1"/>
  <c r="W7"/>
  <c r="M7"/>
  <c r="N7" s="1"/>
  <c r="O7" s="1"/>
  <c r="P7" s="1"/>
  <c r="W6"/>
  <c r="M6"/>
  <c r="N6" s="1"/>
  <c r="O6" s="1"/>
  <c r="P6" s="1"/>
  <c r="W22"/>
  <c r="M22"/>
  <c r="N22" s="1"/>
  <c r="O22" s="1"/>
  <c r="P22" s="1"/>
  <c r="Q22" s="1"/>
  <c r="M3"/>
  <c r="N3" s="1"/>
  <c r="O3" s="1"/>
  <c r="P3" s="1"/>
  <c r="L25"/>
  <c r="W3"/>
  <c r="M10"/>
  <c r="N10" s="1"/>
  <c r="O10" s="1"/>
  <c r="P10" s="1"/>
  <c r="W10"/>
  <c r="W24"/>
  <c r="M24"/>
  <c r="N24" s="1"/>
  <c r="O24" s="1"/>
  <c r="P24" s="1"/>
  <c r="Q24" s="1"/>
  <c r="M4"/>
  <c r="N4" s="1"/>
  <c r="O4" s="1"/>
  <c r="P4" s="1"/>
  <c r="W4"/>
  <c r="M17"/>
  <c r="N17" s="1"/>
  <c r="O17" s="1"/>
  <c r="P17" s="1"/>
  <c r="Q17" s="1"/>
  <c r="W17"/>
  <c r="Q14"/>
  <c r="V14"/>
  <c r="U14"/>
  <c r="T14"/>
  <c r="S14"/>
  <c r="R14"/>
  <c r="W9"/>
  <c r="M9"/>
  <c r="N9" s="1"/>
  <c r="O9" s="1"/>
  <c r="P9" s="1"/>
  <c r="H15" i="8"/>
  <c r="F4" i="10" l="1"/>
  <c r="G28" s="1"/>
  <c r="Q4" i="7"/>
  <c r="R4"/>
  <c r="V4"/>
  <c r="U4"/>
  <c r="T4"/>
  <c r="S4"/>
  <c r="Q10"/>
  <c r="V10"/>
  <c r="U10"/>
  <c r="T10"/>
  <c r="S10"/>
  <c r="R10"/>
  <c r="Q7"/>
  <c r="V7"/>
  <c r="U7"/>
  <c r="T7"/>
  <c r="S7"/>
  <c r="R7"/>
  <c r="Q12"/>
  <c r="R12"/>
  <c r="V12"/>
  <c r="U12"/>
  <c r="T12"/>
  <c r="S12"/>
  <c r="Q9"/>
  <c r="V9"/>
  <c r="U9"/>
  <c r="T9"/>
  <c r="S9"/>
  <c r="R9"/>
  <c r="W25"/>
  <c r="Q5"/>
  <c r="V5"/>
  <c r="U5"/>
  <c r="T5"/>
  <c r="S5"/>
  <c r="R5"/>
  <c r="Q11"/>
  <c r="V11"/>
  <c r="U11"/>
  <c r="T11"/>
  <c r="S11"/>
  <c r="R11"/>
  <c r="Q8"/>
  <c r="R8"/>
  <c r="V8"/>
  <c r="U8"/>
  <c r="T8"/>
  <c r="S8"/>
  <c r="Q6"/>
  <c r="V6"/>
  <c r="U6"/>
  <c r="T6"/>
  <c r="S6"/>
  <c r="R6"/>
  <c r="Q3"/>
  <c r="V3"/>
  <c r="U3"/>
  <c r="T3"/>
  <c r="S3"/>
  <c r="R3"/>
  <c r="D29" i="10"/>
  <c r="I15" i="8"/>
  <c r="G4" i="10" l="1"/>
  <c r="H28" s="1"/>
  <c r="N65"/>
  <c r="D39"/>
  <c r="E29"/>
  <c r="F29" l="1"/>
  <c r="E39"/>
  <c r="F39" l="1"/>
  <c r="H29"/>
  <c r="G29"/>
  <c r="G39" s="1"/>
  <c r="H39" l="1"/>
  <c r="C6" i="6"/>
  <c r="D6"/>
  <c r="E6"/>
  <c r="F6"/>
  <c r="B6"/>
  <c r="D10" i="5"/>
  <c r="D11"/>
  <c r="D12"/>
  <c r="D13"/>
  <c r="D14"/>
  <c r="D15"/>
  <c r="D16"/>
  <c r="D17"/>
  <c r="D18"/>
  <c r="D19"/>
  <c r="D20"/>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E8"/>
  <c r="B9" s="1"/>
  <c r="B71" i="4"/>
  <c r="B70"/>
  <c r="B63"/>
  <c r="B61"/>
  <c r="B58"/>
  <c r="B57"/>
  <c r="B45"/>
  <c r="B44"/>
  <c r="B37"/>
  <c r="B35"/>
  <c r="H7" s="1"/>
  <c r="L20" i="8" s="1"/>
  <c r="B32" i="4"/>
  <c r="B31"/>
  <c r="B30"/>
  <c r="B24"/>
  <c r="B22"/>
  <c r="H6" s="1"/>
  <c r="L19" i="8" s="1"/>
  <c r="B19" i="4"/>
  <c r="B18"/>
  <c r="G6" s="1"/>
  <c r="K19" i="8" s="1"/>
  <c r="B11" i="4"/>
  <c r="B9"/>
  <c r="H5" s="1"/>
  <c r="L18" i="8" s="1"/>
  <c r="B7" i="4"/>
  <c r="B6"/>
  <c r="B5"/>
  <c r="G5" s="1"/>
  <c r="K18" i="8" s="1"/>
  <c r="D11" i="3"/>
  <c r="E10"/>
  <c r="F10" s="1"/>
  <c r="G10" s="1"/>
  <c r="H10" s="1"/>
  <c r="E11"/>
  <c r="M13" i="2"/>
  <c r="M12"/>
  <c r="M11"/>
  <c r="M10"/>
  <c r="M9"/>
  <c r="M8"/>
  <c r="M7"/>
  <c r="M6"/>
  <c r="M5"/>
  <c r="M4"/>
  <c r="M3"/>
  <c r="E67" i="1"/>
  <c r="E66"/>
  <c r="E65"/>
  <c r="E64"/>
  <c r="E63"/>
  <c r="E62"/>
  <c r="E61"/>
  <c r="E60"/>
  <c r="E59"/>
  <c r="E58"/>
  <c r="E57"/>
  <c r="E56"/>
  <c r="E55"/>
  <c r="E54"/>
  <c r="E53"/>
  <c r="E52"/>
  <c r="E51"/>
  <c r="E50"/>
  <c r="E49"/>
  <c r="E48"/>
  <c r="E47"/>
  <c r="E46"/>
  <c r="E45"/>
  <c r="E44"/>
  <c r="E43"/>
  <c r="E42"/>
  <c r="E40"/>
  <c r="E39"/>
  <c r="E38"/>
  <c r="E35"/>
  <c r="E30"/>
  <c r="E29"/>
  <c r="E28"/>
  <c r="E25"/>
  <c r="E24" s="1"/>
  <c r="E23"/>
  <c r="E22" s="1"/>
  <c r="E21"/>
  <c r="E20"/>
  <c r="E19"/>
  <c r="E18"/>
  <c r="E17"/>
  <c r="E15"/>
  <c r="E14"/>
  <c r="E13"/>
  <c r="E12"/>
  <c r="E11"/>
  <c r="E10"/>
  <c r="E9"/>
  <c r="E8"/>
  <c r="E7"/>
  <c r="E6"/>
  <c r="E5"/>
  <c r="E4"/>
  <c r="C17" i="2" l="1"/>
  <c r="D17" s="1"/>
  <c r="M14"/>
  <c r="C18"/>
  <c r="D18" s="1"/>
  <c r="E16" i="1"/>
  <c r="F22"/>
  <c r="V19" i="8"/>
  <c r="T19"/>
  <c r="R19"/>
  <c r="P19"/>
  <c r="N19"/>
  <c r="T20"/>
  <c r="R20"/>
  <c r="P20"/>
  <c r="V20"/>
  <c r="N20"/>
  <c r="S19"/>
  <c r="Q19"/>
  <c r="O19"/>
  <c r="U19"/>
  <c r="M19"/>
  <c r="G7" i="4"/>
  <c r="K20" i="8" s="1"/>
  <c r="R18"/>
  <c r="P18"/>
  <c r="V18"/>
  <c r="T18"/>
  <c r="N18"/>
  <c r="U18"/>
  <c r="S18"/>
  <c r="Q18"/>
  <c r="O18"/>
  <c r="M18"/>
  <c r="G8" i="4"/>
  <c r="K21" i="8" s="1"/>
  <c r="B52" i="4"/>
  <c r="I9" s="1"/>
  <c r="G9"/>
  <c r="K22" i="8" s="1"/>
  <c r="G10" i="4"/>
  <c r="K23" i="8" s="1"/>
  <c r="H8" i="4"/>
  <c r="L21" i="8" s="1"/>
  <c r="F15" i="6"/>
  <c r="Q44" s="1"/>
  <c r="Q38"/>
  <c r="E15"/>
  <c r="P44" s="1"/>
  <c r="P38"/>
  <c r="D15"/>
  <c r="O44" s="1"/>
  <c r="O38"/>
  <c r="B15"/>
  <c r="M44" s="1"/>
  <c r="M38"/>
  <c r="C15"/>
  <c r="N44" s="1"/>
  <c r="N38"/>
  <c r="F15" i="1"/>
  <c r="E36"/>
  <c r="E68"/>
  <c r="B65" i="4"/>
  <c r="I8" s="1"/>
  <c r="D21" i="8" s="1"/>
  <c r="B39" i="4"/>
  <c r="I7" s="1"/>
  <c r="D20" i="8" s="1"/>
  <c r="B78" i="4"/>
  <c r="I10" s="1"/>
  <c r="D23" i="8" s="1"/>
  <c r="B13" i="4"/>
  <c r="I5" s="1"/>
  <c r="D18" i="8" s="1"/>
  <c r="B26" i="4"/>
  <c r="I6" s="1"/>
  <c r="D19" i="8" s="1"/>
  <c r="F23" l="1"/>
  <c r="I23"/>
  <c r="E23"/>
  <c r="H23"/>
  <c r="G23"/>
  <c r="K9" i="4"/>
  <c r="L9" s="1"/>
  <c r="D22" i="8"/>
  <c r="C58" s="1"/>
  <c r="Q20"/>
  <c r="O20"/>
  <c r="U20"/>
  <c r="S20"/>
  <c r="M20"/>
  <c r="F20"/>
  <c r="G20"/>
  <c r="E20"/>
  <c r="H20"/>
  <c r="I20"/>
  <c r="G19"/>
  <c r="I19"/>
  <c r="F19"/>
  <c r="E19"/>
  <c r="H19"/>
  <c r="I21"/>
  <c r="F21"/>
  <c r="G21"/>
  <c r="H21"/>
  <c r="E21"/>
  <c r="S23"/>
  <c r="Q23"/>
  <c r="O23"/>
  <c r="U23"/>
  <c r="M23"/>
  <c r="R21"/>
  <c r="P21"/>
  <c r="P24" s="1"/>
  <c r="V21"/>
  <c r="T21"/>
  <c r="T24" s="1"/>
  <c r="N21"/>
  <c r="U21"/>
  <c r="S21"/>
  <c r="Q21"/>
  <c r="O21"/>
  <c r="M21"/>
  <c r="V24"/>
  <c r="F18"/>
  <c r="G18"/>
  <c r="E18"/>
  <c r="H18"/>
  <c r="I18"/>
  <c r="C53"/>
  <c r="C56"/>
  <c r="U22"/>
  <c r="S22"/>
  <c r="Q22"/>
  <c r="O22"/>
  <c r="M22"/>
  <c r="N24"/>
  <c r="R24"/>
  <c r="B20" i="6"/>
  <c r="M33"/>
  <c r="M39"/>
  <c r="E20"/>
  <c r="P47" s="1"/>
  <c r="P33"/>
  <c r="P39"/>
  <c r="C20"/>
  <c r="N47" s="1"/>
  <c r="N39"/>
  <c r="N33"/>
  <c r="D20"/>
  <c r="O47" s="1"/>
  <c r="O39"/>
  <c r="O33"/>
  <c r="F20"/>
  <c r="Q47" s="1"/>
  <c r="Q33"/>
  <c r="Q39"/>
  <c r="E69" i="1"/>
  <c r="K10" i="4"/>
  <c r="L10" s="1"/>
  <c r="K7"/>
  <c r="L7" s="1"/>
  <c r="K6"/>
  <c r="L6" s="1"/>
  <c r="K8"/>
  <c r="L8" s="1"/>
  <c r="K5"/>
  <c r="L5" s="1"/>
  <c r="F11" i="3"/>
  <c r="M24" i="8" l="1"/>
  <c r="C49"/>
  <c r="C55"/>
  <c r="U24"/>
  <c r="Q24"/>
  <c r="S24"/>
  <c r="C52"/>
  <c r="C57"/>
  <c r="O24"/>
  <c r="C51"/>
  <c r="I17"/>
  <c r="G22"/>
  <c r="G17" s="1"/>
  <c r="I22"/>
  <c r="F22"/>
  <c r="F17" s="1"/>
  <c r="E22"/>
  <c r="E17" s="1"/>
  <c r="H22"/>
  <c r="H17" s="1"/>
  <c r="C50"/>
  <c r="C54"/>
  <c r="B21" i="6"/>
  <c r="B22" s="1"/>
  <c r="M47"/>
  <c r="E21"/>
  <c r="F44" s="1"/>
  <c r="F45" s="1"/>
  <c r="C21"/>
  <c r="D44" s="1"/>
  <c r="D45" s="1"/>
  <c r="D21"/>
  <c r="E44" s="1"/>
  <c r="E45" s="1"/>
  <c r="F21"/>
  <c r="G44" s="1"/>
  <c r="G45" s="1"/>
  <c r="G11" i="3"/>
  <c r="H11"/>
  <c r="C9" i="5"/>
  <c r="C5" i="10" l="1"/>
  <c r="C6" s="1"/>
  <c r="E34" i="8"/>
  <c r="E35" s="1"/>
  <c r="E36" s="1"/>
  <c r="E40" s="1"/>
  <c r="M60" i="6"/>
  <c r="H34" i="8"/>
  <c r="H35" s="1"/>
  <c r="H36" s="1"/>
  <c r="H40" s="1"/>
  <c r="F28" i="6" s="1"/>
  <c r="F31" s="1"/>
  <c r="F39" s="1"/>
  <c r="P60"/>
  <c r="F5" i="10"/>
  <c r="F6" s="1"/>
  <c r="E5"/>
  <c r="E6" s="1"/>
  <c r="O60" i="6"/>
  <c r="G34" i="8"/>
  <c r="G35" s="1"/>
  <c r="G36" s="1"/>
  <c r="G40" s="1"/>
  <c r="E28" i="6" s="1"/>
  <c r="E31" s="1"/>
  <c r="E39" s="1"/>
  <c r="O32" s="1"/>
  <c r="D5" i="10"/>
  <c r="D6" s="1"/>
  <c r="N60" i="6"/>
  <c r="F34" i="8"/>
  <c r="F35" s="1"/>
  <c r="F36" s="1"/>
  <c r="F40" s="1"/>
  <c r="D28" i="6" s="1"/>
  <c r="D31" s="1"/>
  <c r="D39" s="1"/>
  <c r="G5" i="10"/>
  <c r="G6" s="1"/>
  <c r="I34" i="8"/>
  <c r="I35" s="1"/>
  <c r="I36" s="1"/>
  <c r="I40" s="1"/>
  <c r="G28" i="6" s="1"/>
  <c r="G31" s="1"/>
  <c r="G39" s="1"/>
  <c r="Q32" s="1"/>
  <c r="Q60"/>
  <c r="C44"/>
  <c r="C45" s="1"/>
  <c r="M43"/>
  <c r="F22"/>
  <c r="G52" s="1"/>
  <c r="C22"/>
  <c r="C52"/>
  <c r="M40"/>
  <c r="O28"/>
  <c r="Q28"/>
  <c r="D22"/>
  <c r="E22"/>
  <c r="C48"/>
  <c r="C49" s="1"/>
  <c r="E9" i="5"/>
  <c r="O29" i="6" l="1"/>
  <c r="N28"/>
  <c r="Q29"/>
  <c r="P28"/>
  <c r="P32"/>
  <c r="N29"/>
  <c r="E15" i="10"/>
  <c r="P42" s="1"/>
  <c r="P43" s="1"/>
  <c r="P37"/>
  <c r="P29" i="6"/>
  <c r="D15" i="10"/>
  <c r="O42" s="1"/>
  <c r="O43" s="1"/>
  <c r="O37"/>
  <c r="Q37"/>
  <c r="F15"/>
  <c r="Q42" s="1"/>
  <c r="Q43" s="1"/>
  <c r="C28" i="6"/>
  <c r="C31" s="1"/>
  <c r="C42" i="8"/>
  <c r="C43"/>
  <c r="C47"/>
  <c r="C46"/>
  <c r="C44" s="1"/>
  <c r="M66" i="6"/>
  <c r="N32"/>
  <c r="R37" i="10"/>
  <c r="G15"/>
  <c r="R42" s="1"/>
  <c r="R43" s="1"/>
  <c r="C15"/>
  <c r="N42" s="1"/>
  <c r="N43" s="1"/>
  <c r="N37"/>
  <c r="Q43" i="6"/>
  <c r="Q42"/>
  <c r="P43"/>
  <c r="P42"/>
  <c r="Q40"/>
  <c r="O43"/>
  <c r="O42"/>
  <c r="N43"/>
  <c r="N42"/>
  <c r="P40"/>
  <c r="F52"/>
  <c r="C54"/>
  <c r="D53"/>
  <c r="E52"/>
  <c r="O40"/>
  <c r="N40"/>
  <c r="D52"/>
  <c r="D48"/>
  <c r="D49" s="1"/>
  <c r="B10" i="5"/>
  <c r="M34" i="6"/>
  <c r="N38" i="10" l="1"/>
  <c r="C19"/>
  <c r="N46" s="1"/>
  <c r="N32"/>
  <c r="G19"/>
  <c r="R38"/>
  <c r="R32"/>
  <c r="C39" i="6"/>
  <c r="M28"/>
  <c r="D19" i="10"/>
  <c r="O38"/>
  <c r="O32"/>
  <c r="E19"/>
  <c r="P38"/>
  <c r="P32"/>
  <c r="F19"/>
  <c r="Q38"/>
  <c r="Q32"/>
  <c r="M29" i="6"/>
  <c r="M41"/>
  <c r="M56"/>
  <c r="M57" s="1"/>
  <c r="D54"/>
  <c r="N56" s="1"/>
  <c r="N57" s="1"/>
  <c r="M36"/>
  <c r="C56"/>
  <c r="E53"/>
  <c r="F53" s="1"/>
  <c r="M48"/>
  <c r="E48"/>
  <c r="E49" s="1"/>
  <c r="C10" i="5"/>
  <c r="N34" i="6"/>
  <c r="N31"/>
  <c r="F20" i="10" l="1"/>
  <c r="G44" s="1"/>
  <c r="G45" s="1"/>
  <c r="Q46"/>
  <c r="F21"/>
  <c r="R46"/>
  <c r="G20"/>
  <c r="H44" s="1"/>
  <c r="H45" s="1"/>
  <c r="R27" s="1"/>
  <c r="C20"/>
  <c r="D44" s="1"/>
  <c r="D45" s="1"/>
  <c r="N28" s="1"/>
  <c r="D20"/>
  <c r="E44" s="1"/>
  <c r="E45" s="1"/>
  <c r="O46"/>
  <c r="P46"/>
  <c r="E20"/>
  <c r="F44" s="1"/>
  <c r="F45" s="1"/>
  <c r="C58" i="6"/>
  <c r="M42"/>
  <c r="M32"/>
  <c r="M31"/>
  <c r="D56"/>
  <c r="D58" s="1"/>
  <c r="M49"/>
  <c r="M50" s="1"/>
  <c r="N36"/>
  <c r="N48"/>
  <c r="N41"/>
  <c r="N49" s="1"/>
  <c r="G53"/>
  <c r="G54" s="1"/>
  <c r="Q56" s="1"/>
  <c r="Q57" s="1"/>
  <c r="F54"/>
  <c r="E54"/>
  <c r="E10" i="5"/>
  <c r="O31" i="6"/>
  <c r="O34"/>
  <c r="F48"/>
  <c r="F49" s="1"/>
  <c r="Q41" i="10" l="1"/>
  <c r="D21"/>
  <c r="E52" s="1"/>
  <c r="E21"/>
  <c r="F52" s="1"/>
  <c r="G21"/>
  <c r="N31"/>
  <c r="D49"/>
  <c r="N27"/>
  <c r="F49"/>
  <c r="P28"/>
  <c r="P27"/>
  <c r="P31"/>
  <c r="O31"/>
  <c r="O28"/>
  <c r="E49"/>
  <c r="O27"/>
  <c r="G52"/>
  <c r="Q39"/>
  <c r="C21"/>
  <c r="R31"/>
  <c r="H49"/>
  <c r="R28"/>
  <c r="Q27"/>
  <c r="Q28"/>
  <c r="Q31"/>
  <c r="G49"/>
  <c r="N50" i="6"/>
  <c r="O41"/>
  <c r="O56"/>
  <c r="O57" s="1"/>
  <c r="O49" s="1"/>
  <c r="P48"/>
  <c r="P56"/>
  <c r="P57" s="1"/>
  <c r="O36"/>
  <c r="P41"/>
  <c r="M65" s="1"/>
  <c r="Q41"/>
  <c r="Q49" s="1"/>
  <c r="E56"/>
  <c r="E58" s="1"/>
  <c r="O48"/>
  <c r="G48"/>
  <c r="G49" s="1"/>
  <c r="Q48"/>
  <c r="B11" i="5"/>
  <c r="P31" i="6"/>
  <c r="P34"/>
  <c r="P36"/>
  <c r="F56"/>
  <c r="F58" s="1"/>
  <c r="P39" i="10" l="1"/>
  <c r="H52"/>
  <c r="R41"/>
  <c r="P41"/>
  <c r="N41"/>
  <c r="O41"/>
  <c r="O39"/>
  <c r="R39"/>
  <c r="N33"/>
  <c r="N30"/>
  <c r="Q33"/>
  <c r="Q30"/>
  <c r="P33"/>
  <c r="P30"/>
  <c r="O33"/>
  <c r="O30"/>
  <c r="N39"/>
  <c r="D52"/>
  <c r="N60" s="1"/>
  <c r="R33"/>
  <c r="R30"/>
  <c r="P49" i="6"/>
  <c r="P50" s="1"/>
  <c r="O50"/>
  <c r="Q50"/>
  <c r="C11" i="5"/>
  <c r="Q36" i="6"/>
  <c r="G56"/>
  <c r="G58" s="1"/>
  <c r="Q34"/>
  <c r="Q31"/>
  <c r="E53" i="10" l="1"/>
  <c r="O60" s="1"/>
  <c r="D54"/>
  <c r="N40" s="1"/>
  <c r="E11" i="5"/>
  <c r="D56" i="10" l="1"/>
  <c r="D58" s="1"/>
  <c r="N47"/>
  <c r="N55"/>
  <c r="N56" s="1"/>
  <c r="N35"/>
  <c r="E54"/>
  <c r="O40" s="1"/>
  <c r="F53"/>
  <c r="P60" s="1"/>
  <c r="B12" i="5"/>
  <c r="N48" i="10" l="1"/>
  <c r="N49" s="1"/>
  <c r="G53"/>
  <c r="Q60" s="1"/>
  <c r="F54"/>
  <c r="P40" s="1"/>
  <c r="O35"/>
  <c r="O55"/>
  <c r="O56" s="1"/>
  <c r="O47"/>
  <c r="E56"/>
  <c r="E58" s="1"/>
  <c r="C12" i="5"/>
  <c r="O48" i="10" l="1"/>
  <c r="O49" s="1"/>
  <c r="P55"/>
  <c r="P56" s="1"/>
  <c r="P47"/>
  <c r="F56"/>
  <c r="F58" s="1"/>
  <c r="P35"/>
  <c r="G54"/>
  <c r="Q40" s="1"/>
  <c r="H53"/>
  <c r="E12" i="5"/>
  <c r="H54" i="10" l="1"/>
  <c r="R40" s="1"/>
  <c r="R60"/>
  <c r="Q47"/>
  <c r="Q55"/>
  <c r="Q56" s="1"/>
  <c r="N64"/>
  <c r="G56"/>
  <c r="G58" s="1"/>
  <c r="Q35"/>
  <c r="P48"/>
  <c r="P49" s="1"/>
  <c r="B13" i="5"/>
  <c r="R47" i="10" l="1"/>
  <c r="R55"/>
  <c r="R56" s="1"/>
  <c r="R48" s="1"/>
  <c r="R49" s="1"/>
  <c r="H56"/>
  <c r="H58" s="1"/>
  <c r="R35"/>
  <c r="Q48"/>
  <c r="Q49" s="1"/>
  <c r="C13" i="5"/>
  <c r="E13" s="1"/>
  <c r="B14" l="1"/>
  <c r="C14" l="1"/>
  <c r="E14" s="1"/>
  <c r="B15" l="1"/>
  <c r="C15" s="1"/>
  <c r="E15" s="1"/>
  <c r="B16" l="1"/>
  <c r="C16" s="1"/>
  <c r="E16" s="1"/>
  <c r="B17" l="1"/>
  <c r="C17" s="1"/>
  <c r="E17"/>
  <c r="B18" l="1"/>
  <c r="C18" s="1"/>
  <c r="E18" s="1"/>
  <c r="B19" l="1"/>
  <c r="C19" s="1"/>
  <c r="E19" s="1"/>
  <c r="B20" l="1"/>
  <c r="C20" l="1"/>
  <c r="G20" l="1"/>
  <c r="E20"/>
  <c r="B21" l="1"/>
  <c r="C21" l="1"/>
  <c r="E21" l="1"/>
  <c r="B22" l="1"/>
  <c r="C22" l="1"/>
  <c r="E22" l="1"/>
  <c r="B23" l="1"/>
  <c r="C23" l="1"/>
  <c r="E23" l="1"/>
  <c r="B24" l="1"/>
  <c r="C24" l="1"/>
  <c r="E24" l="1"/>
  <c r="B25" l="1"/>
  <c r="C25" l="1"/>
  <c r="E25" l="1"/>
  <c r="B26" l="1"/>
  <c r="C26" s="1"/>
  <c r="E26"/>
  <c r="B27" l="1"/>
  <c r="C27" s="1"/>
  <c r="E27" s="1"/>
  <c r="B28" l="1"/>
  <c r="C28" s="1"/>
  <c r="E28" s="1"/>
  <c r="B29" l="1"/>
  <c r="C29" s="1"/>
  <c r="E29" s="1"/>
  <c r="E30" l="1"/>
  <c r="B30"/>
  <c r="C30" s="1"/>
  <c r="B31" l="1"/>
  <c r="C31" s="1"/>
  <c r="E31" s="1"/>
  <c r="B32" l="1"/>
  <c r="C32" l="1"/>
  <c r="F32"/>
  <c r="G32" l="1"/>
  <c r="E32"/>
  <c r="B33" l="1"/>
  <c r="C33" l="1"/>
  <c r="E33" l="1"/>
  <c r="B34" l="1"/>
  <c r="C34" l="1"/>
  <c r="E34" l="1"/>
  <c r="B35" l="1"/>
  <c r="C35" l="1"/>
  <c r="E35" l="1"/>
  <c r="B36" l="1"/>
  <c r="C36" l="1"/>
  <c r="E36" l="1"/>
  <c r="B37" l="1"/>
  <c r="C37" l="1"/>
  <c r="E37" l="1"/>
  <c r="B38" l="1"/>
  <c r="C38" s="1"/>
  <c r="E38" s="1"/>
  <c r="B39" l="1"/>
  <c r="C39" s="1"/>
  <c r="E39"/>
  <c r="B40" l="1"/>
  <c r="C40" s="1"/>
  <c r="E40" s="1"/>
  <c r="B41" l="1"/>
  <c r="C41" s="1"/>
  <c r="E41" s="1"/>
  <c r="B42" l="1"/>
  <c r="C42" s="1"/>
  <c r="E42" s="1"/>
  <c r="B43" l="1"/>
  <c r="C43" s="1"/>
  <c r="E43" s="1"/>
  <c r="B44" l="1"/>
  <c r="C44" l="1"/>
  <c r="F44"/>
  <c r="G44" l="1"/>
  <c r="E44"/>
  <c r="B45" l="1"/>
  <c r="C45" l="1"/>
  <c r="E45" l="1"/>
  <c r="B46" l="1"/>
  <c r="C46" l="1"/>
  <c r="E46" l="1"/>
  <c r="B47" l="1"/>
  <c r="C47" l="1"/>
  <c r="E47" l="1"/>
  <c r="B48" l="1"/>
  <c r="C48" l="1"/>
  <c r="E48" l="1"/>
  <c r="B49" l="1"/>
  <c r="C49" l="1"/>
  <c r="E49" l="1"/>
  <c r="B50" l="1"/>
  <c r="C50" s="1"/>
  <c r="E50" s="1"/>
  <c r="B51" l="1"/>
  <c r="C51" s="1"/>
  <c r="E51" s="1"/>
  <c r="B52" l="1"/>
  <c r="C52" s="1"/>
  <c r="E52" s="1"/>
  <c r="B53" l="1"/>
  <c r="C53" s="1"/>
  <c r="E53"/>
  <c r="B54" l="1"/>
  <c r="C54" s="1"/>
  <c r="E54" s="1"/>
  <c r="B55" l="1"/>
  <c r="C55" s="1"/>
  <c r="E55" s="1"/>
  <c r="B56" l="1"/>
  <c r="C56" l="1"/>
  <c r="F56"/>
  <c r="G56" l="1"/>
  <c r="E56"/>
  <c r="B57" l="1"/>
  <c r="C57" l="1"/>
  <c r="E57" l="1"/>
  <c r="B58" l="1"/>
  <c r="C58" l="1"/>
  <c r="E58" l="1"/>
  <c r="B59" l="1"/>
  <c r="C59" l="1"/>
  <c r="E59" l="1"/>
  <c r="B60" l="1"/>
  <c r="C60" l="1"/>
  <c r="E60" l="1"/>
  <c r="B61" l="1"/>
  <c r="C61" l="1"/>
  <c r="E61" l="1"/>
  <c r="B62" l="1"/>
  <c r="C62" s="1"/>
  <c r="E62" s="1"/>
  <c r="B63" l="1"/>
  <c r="C63" s="1"/>
  <c r="E63" s="1"/>
  <c r="B64" l="1"/>
  <c r="C64" s="1"/>
  <c r="E64" s="1"/>
  <c r="B65" l="1"/>
  <c r="C65" s="1"/>
  <c r="E65" s="1"/>
  <c r="B66" l="1"/>
  <c r="C66" s="1"/>
  <c r="E66" s="1"/>
  <c r="B67" l="1"/>
  <c r="C67" s="1"/>
  <c r="E67"/>
  <c r="B68" l="1"/>
  <c r="C68" l="1"/>
  <c r="F68"/>
  <c r="G68" l="1"/>
  <c r="E68"/>
</calcChain>
</file>

<file path=xl/sharedStrings.xml><?xml version="1.0" encoding="utf-8"?>
<sst xmlns="http://schemas.openxmlformats.org/spreadsheetml/2006/main" count="704" uniqueCount="382">
  <si>
    <t>INVERSION FIJA</t>
  </si>
  <si>
    <t>DESCRIPCION</t>
  </si>
  <si>
    <t>CANTIDAD</t>
  </si>
  <si>
    <t>PRECIO 
UNITARIO</t>
  </si>
  <si>
    <t>SUB TOTAL</t>
  </si>
  <si>
    <t>ACTIVOS FIJOS</t>
  </si>
  <si>
    <t>MAQUINARIA Y EQUIPOS</t>
  </si>
  <si>
    <t>Clavadora Neumática</t>
  </si>
  <si>
    <t>Compresor</t>
  </si>
  <si>
    <t>Esmeril</t>
  </si>
  <si>
    <t>GRAPADORA SFW05- AT PARA GRAPA 80-10
 Calibres: 20 y 22
 Corona: 5 mm, 10 mm, 13 mm.
 Largo de pata desde: 4 mm hasta 16 mm.
 Capacidad: 110 a 185 grapas en tira.
 Presión recomendada: Máximo 60 PSI.
 Altura: 156 mm.
 Largo: 220 mm
 Peso: 0,95 Kg.</t>
  </si>
  <si>
    <t>Lijadora</t>
  </si>
  <si>
    <t>Planeadora Cepillo</t>
  </si>
  <si>
    <t>Ruteadora</t>
  </si>
  <si>
    <t>RUTEADORA 900W 27000RPM COLLET 1/4-3/8 PULGADA RP0900K
 Velocidad 27000 rpm
 Modelo RP0900K
 Tipo de velocidad Fija
 Uso Industrial
 Tamaño de la base 1/4 Pulgada - 3/8 Pulgada
 Potencia 900 W
 Tipo Herramientas Eléctricas
 Características Ruteadora RP090K, su forma básica es la de un rodante que gira en el eje vertical que se puede mover en 3 dimensiones con relación a la pieza de trabajo, puede ejecutar una gran cantidad de operaciones complejas como cortes de ranuras y perforaciones, entre otras.
 Voltaje 110 v</t>
  </si>
  <si>
    <t>Sierra Circular 
de Mesa</t>
  </si>
  <si>
    <t>SIERRA DE BANCO 255MM 1500W. 4300 RPM MAKITA MLT100
 Potencia (W): 1.500 
 Velocidad en vacío (r.p.m.): 4.300 
 Diámetro máximo exterior del disco (mm): 260 
 Diámetro mínimo exterior del disco (mm): 230 
 Diámetro interior de disco (mm): 30
 Grosor máximo del disco (mm): 1,8
 Ángulo de inclinación de corte a izquierda y derecha: 45º - 0 °
 Giro a la izquierda para cortes a inglete
 Capacidad máxima de corte: A 90º (mm): 93 A 45º (mm): 64 
 Peso neto (Kg): 34,8
 Longitud del cable (m): 2,5
 Dimensiones con la mesa no extendida - L x An x Al (mm): 726 x 984 x 333 
 Dimensiones con la mesa extendida - derecha e izquierda (mm): 685 - 835 x 955 - 1155
 Dimensiones de la base - L x An x Al (mm): 650 x 520 
 Presión sonora (dB(A)): 92
 Potencia sonora (dB(A)): 105
 Incertidumbre (K) sonora (dB(A)): 3
 Arranque suave
 Freno eléctrico
 Conectable a un aspirador</t>
  </si>
  <si>
    <t>Sierra Ingleteadora</t>
  </si>
  <si>
    <t>SIERRA ACOLILLADORA DEWALT DW713 10PUL 5000 RPM 15 AM 1600W
 Potente motor de 1600 Watts, 5.000 RPM que le provee mayor poder y durabilidad.
 Escala de Ingletes ajustable de acero inoxidable, con 11 ángulos prestablecidos, que le ofrece una mayor precisión y durabilidad
 Bisel de 0o 48o a la izquierda y de 0o 3o a la derecha para una mayor capacidad.
 Capacidad de Inglete de 0o 50o izquierda y derecha para mayor versatilidad en todas sus aplicaciones de corte
 Diseño liviano (13,6 Kg) con empuñadura en la base para mayor comodidad al transportarse
 Mango con seguro de leva, para ajustar los ángulos a inglete más rápido y asegurarlos mejor
 El sistema de biselado se bloquea en los ángulos más comúnmente utilizados 0o, 33.9o, 45o y 48o para mayor versatilidad</t>
  </si>
  <si>
    <t>Sierra Sin Fin</t>
  </si>
  <si>
    <t>SIERRA SINFIN DE MESA 250W. 1400 TC-SB 200/1
 Suministro de red: 127 V | 60 Hz
 Potencia máx. del motor (S2 | tiempo S2): 250 W | 15 min
 Ralentí: 1400 min^-1
 Cuello: 200 mm
 Cinta de sierra: 1400 mm x 7 mm
 Numero de dientes de sierra: 6 / 25,4 mm
 Cantidad de pasos de velocidad: no ajustable
 Altura máx. de corte a 45°: 45 mm
 Altura máx. de corte a 90°: 80 mm
 Tamaño de la mesa de trabajo: 305 mm x 305 mm
 Mesa: inclinable-2 ° - 45 °
 Diámetro del adaptador de succión: 36 mm
 Longitud: 420 mm
 Ancho: 285 mm
 Altura: 720 mm
 Peso del producto: 17.35 kg</t>
  </si>
  <si>
    <t>Torno de Madera</t>
  </si>
  <si>
    <t>TORNO P/MADERA DISCOVER 4 VEL 860 -2560,370 W L1000B
 Potencia: 370w-hp
 Voltaje: 120v
 Frecuencia: 60hz
 Velocidad: 860-2.560rpm
 Velocidades: 4
 Alto: 37 cm Largo: 144 cm Ancho: 22 cm
 Longitud mínima y máxima de sujeción Min 30 cm Max 100 cm</t>
  </si>
  <si>
    <t>EQUIPO DE OFICINA</t>
  </si>
  <si>
    <t>Computador</t>
  </si>
  <si>
    <t>Lenovo All in One *Procesador: Intel Core i3 - 7020U 2.3Ghz 2C
 *Sistema Operativo: Windows 10 Home 64 EM
 *Memoria RAM: 4GB
 *Disco Duro: 1TB
 *Pantalla: 23.8" FULL HD
 *Memoria Intel Optane 16GB</t>
  </si>
  <si>
    <t>Impresora</t>
  </si>
  <si>
    <t>Escritorio</t>
  </si>
  <si>
    <t>Escritorio 123x101x52cm Vidrio
 Tipo: Escritorios
 Ancho: 123 cm
 Largo: 101 centímetros
 Alto: 101 centímetros</t>
  </si>
  <si>
    <t>OTROS</t>
  </si>
  <si>
    <t>Alegra
Facturas ilimitadas
Incluye Facturación Electrónica
Valor de Facturación de hasta 200 millones COP/MES
3 Usuarios con acceso a Alegra
10 Bodegas de inventario
Multimoneda
¡Nuevo! Tienda Online **
Lista de precios
Informe Contador
POSilimitado*
Adjunta hasta 20.000 archivos
Integración con otras aplicaciones</t>
  </si>
  <si>
    <t>TOTAL ACTIVOS</t>
  </si>
  <si>
    <t>ACTIVOS DIFERIDOS</t>
  </si>
  <si>
    <t>Estudio de mercados</t>
  </si>
  <si>
    <t>Mercadeo y publicidad</t>
  </si>
  <si>
    <t>Impuestos</t>
  </si>
  <si>
    <t>Adaptación</t>
  </si>
  <si>
    <t>TOTAL ACTIVOS DIFERIDOS</t>
  </si>
  <si>
    <t>CAPITAL DE TRABAJO</t>
  </si>
  <si>
    <t>Arriendo</t>
  </si>
  <si>
    <t>Nomina</t>
  </si>
  <si>
    <t>Nomina del personal de la empresa</t>
  </si>
  <si>
    <t>MATERIA PRIMA</t>
  </si>
  <si>
    <t>Colbon</t>
  </si>
  <si>
    <t>Colbon de madera</t>
  </si>
  <si>
    <t>Grapa</t>
  </si>
  <si>
    <t>Metal cuyos dos extremos doblados y puntiagudos se clavan para unir y sujetar tablas o tela</t>
  </si>
  <si>
    <t>MDF</t>
  </si>
  <si>
    <t>Tapabocas</t>
  </si>
  <si>
    <t>Guantes de Nitrilo</t>
  </si>
  <si>
    <t>Laca Catalizada Brillante</t>
  </si>
  <si>
    <t>Es un producto transparente para dar acabados Brillantes</t>
  </si>
  <si>
    <t>Laca Catalizada Semimate</t>
  </si>
  <si>
    <t>Es un producto transparente para dar acabados Semimate</t>
  </si>
  <si>
    <t>Laca Catalizada Mate</t>
  </si>
  <si>
    <t>Es un producto transparente para dar acabados Mate</t>
  </si>
  <si>
    <t>Entonador</t>
  </si>
  <si>
    <t>Una forma de preparar distintos colores</t>
  </si>
  <si>
    <t>Lija</t>
  </si>
  <si>
    <t>Lija en seco en diferentes medidas 80, 150, 240, 320 y 400</t>
  </si>
  <si>
    <t xml:space="preserve">Procosol </t>
  </si>
  <si>
    <t>Sellador Catalizado</t>
  </si>
  <si>
    <t>Es un producto de dos componentes, que permite llenar los poros de la madera generando
adherencia y tersura en la superficie</t>
  </si>
  <si>
    <t>Thiner</t>
  </si>
  <si>
    <t>Disluir la pintura</t>
  </si>
  <si>
    <t>Vidrios</t>
  </si>
  <si>
    <t>Tornillos</t>
  </si>
  <si>
    <t>Para colocar las manijas</t>
  </si>
  <si>
    <t>Tuercas</t>
  </si>
  <si>
    <t>Arandelas</t>
  </si>
  <si>
    <t>Encaje</t>
  </si>
  <si>
    <t>Decorativo</t>
  </si>
  <si>
    <t>Manijas</t>
  </si>
  <si>
    <t>Manijas de alumino</t>
  </si>
  <si>
    <t>Bisagra</t>
  </si>
  <si>
    <t>Permiten abrir y cerrar las tapas</t>
  </si>
  <si>
    <t>Puntilla</t>
  </si>
  <si>
    <t>Puntilla con cabeza y sin cabeza</t>
  </si>
  <si>
    <t>Tela</t>
  </si>
  <si>
    <t>Cubrelecho</t>
  </si>
  <si>
    <t xml:space="preserve">Decorativo para cofres finos </t>
  </si>
  <si>
    <t>TOTAL CAPITAL DE TRABAJO</t>
  </si>
  <si>
    <t>APORTES A LA SEGURIDAD SOCIAL</t>
  </si>
  <si>
    <t>PRESTACIONES SOCIALES</t>
  </si>
  <si>
    <t>DESCANSO 
REMUNERADO</t>
  </si>
  <si>
    <t>SALARIO BÁSICO
DE COTIZACION</t>
  </si>
  <si>
    <t>SUBSIDIO DE
TRANSPORTE</t>
  </si>
  <si>
    <t>SALUD</t>
  </si>
  <si>
    <t>PENSION</t>
  </si>
  <si>
    <t>ARL</t>
  </si>
  <si>
    <t>CESANTIAS</t>
  </si>
  <si>
    <t>PRIMAS</t>
  </si>
  <si>
    <t>INTERESES 
CESANTIAS</t>
  </si>
  <si>
    <t>VACACIONES</t>
  </si>
  <si>
    <t>PARAFISCALES</t>
  </si>
  <si>
    <t>TOTAL</t>
  </si>
  <si>
    <t>GERENTE GENERAL</t>
  </si>
  <si>
    <t>$250.000</t>
  </si>
  <si>
    <t>SECRETARIA</t>
  </si>
  <si>
    <t>JEFE DE PRODUCCION</t>
  </si>
  <si>
    <t>ASESOR COMERCIAL</t>
  </si>
  <si>
    <t>CONTADOR EXTERNO</t>
  </si>
  <si>
    <t>CARPINTERO 1</t>
  </si>
  <si>
    <t>CARPINTERO 2</t>
  </si>
  <si>
    <t>PINTOR 1</t>
  </si>
  <si>
    <t>PINTOR 2</t>
  </si>
  <si>
    <t>PINTOR 3</t>
  </si>
  <si>
    <t>TAPICERO 1</t>
  </si>
  <si>
    <t>GATOS ADMINISTRATIVOS</t>
  </si>
  <si>
    <t>AÑO 1</t>
  </si>
  <si>
    <t>AÑO 2</t>
  </si>
  <si>
    <t>AÑO 3</t>
  </si>
  <si>
    <t>AÑO 4</t>
  </si>
  <si>
    <t>AÑO 5</t>
  </si>
  <si>
    <t>ARRIENDO</t>
  </si>
  <si>
    <t>SERVICIOS PUBLICOS</t>
  </si>
  <si>
    <t>NOMINA</t>
  </si>
  <si>
    <t>PAPELERIA</t>
  </si>
  <si>
    <t>ELEMENTOS DE ASEO</t>
  </si>
  <si>
    <t>MATERIALES DE PRODUCCION</t>
  </si>
  <si>
    <t>TOTAL DE GASTOS ADMINISTRATIVOS</t>
  </si>
  <si>
    <t>LINEA DE LUJO</t>
  </si>
  <si>
    <t>MANO DE OBRA</t>
  </si>
  <si>
    <t>Hrs</t>
  </si>
  <si>
    <t>LINEA</t>
  </si>
  <si>
    <t>PRECIO DE VENTA</t>
  </si>
  <si>
    <t>Sellador</t>
  </si>
  <si>
    <t>Pintura</t>
  </si>
  <si>
    <t>LINEA SEMILUJO</t>
  </si>
  <si>
    <t>LINEA PLAN</t>
  </si>
  <si>
    <t>MATERIALES</t>
  </si>
  <si>
    <t>LINEA CREMACION</t>
  </si>
  <si>
    <t>LINEA INFANTIL</t>
  </si>
  <si>
    <t>LINEA RESTEROS</t>
  </si>
  <si>
    <t>TOTAL INVERSION</t>
  </si>
  <si>
    <t>CAPITAL</t>
  </si>
  <si>
    <t>PERIODO AÑOS</t>
  </si>
  <si>
    <t>PERIODO MESES</t>
  </si>
  <si>
    <t>TASA DE INTERES ANUAL</t>
  </si>
  <si>
    <t>Bancolombia</t>
  </si>
  <si>
    <t>MENSUAL</t>
  </si>
  <si>
    <t>Mes</t>
  </si>
  <si>
    <t>Intereses a pagar</t>
  </si>
  <si>
    <t>Abono a capital</t>
  </si>
  <si>
    <t>Valor Cuota</t>
  </si>
  <si>
    <t>Saldo Obligación</t>
  </si>
  <si>
    <t>UNIDADES</t>
  </si>
  <si>
    <t>Año 1</t>
  </si>
  <si>
    <t>Año 2</t>
  </si>
  <si>
    <t>Año 3</t>
  </si>
  <si>
    <t>Año 4</t>
  </si>
  <si>
    <t>Año 5</t>
  </si>
  <si>
    <t>Costo de ventas</t>
  </si>
  <si>
    <t>Utilidad bruta</t>
  </si>
  <si>
    <t>Gastos operacionales</t>
  </si>
  <si>
    <t>Depreciación</t>
  </si>
  <si>
    <t>Utilidad operacional</t>
  </si>
  <si>
    <t>Ingresos no operacionales</t>
  </si>
  <si>
    <t>Gastos no operacionales</t>
  </si>
  <si>
    <t>Utilidad antes de impuesto</t>
  </si>
  <si>
    <t xml:space="preserve">Estado de resultados </t>
  </si>
  <si>
    <t>TASA ANUAL DEPRECIACION</t>
  </si>
  <si>
    <t>5 Años</t>
  </si>
  <si>
    <t>VIDA UTIL</t>
  </si>
  <si>
    <t>10 Años</t>
  </si>
  <si>
    <t>20 Años</t>
  </si>
  <si>
    <t>DEPRECIACION AÑO 1</t>
  </si>
  <si>
    <t>DEPRECIACION AÑO 2</t>
  </si>
  <si>
    <t>DEPRECIACION AÑO 5</t>
  </si>
  <si>
    <t>DEPRECIACION AÑO 3</t>
  </si>
  <si>
    <t>DEPRECIACION AÑO 4</t>
  </si>
  <si>
    <t>DEPRECIACIÓN ACUMULADA TOTAL</t>
  </si>
  <si>
    <t>Total</t>
  </si>
  <si>
    <t>Ingresos</t>
  </si>
  <si>
    <t>Arrendamiento</t>
  </si>
  <si>
    <t>Elementos de aseo</t>
  </si>
  <si>
    <t>*</t>
  </si>
  <si>
    <t>UTILIDAD NETA</t>
  </si>
  <si>
    <t>PRESUPUESTO INGRESOS</t>
  </si>
  <si>
    <t xml:space="preserve"> AÑO1</t>
  </si>
  <si>
    <t xml:space="preserve">VALOR RESIDUAL </t>
  </si>
  <si>
    <t>TOTAL INGRESOS</t>
  </si>
  <si>
    <t>PRESUPUESTO COSTOS</t>
  </si>
  <si>
    <t>TRANSPORTE</t>
  </si>
  <si>
    <t>PRESUPUESTO GASTOS</t>
  </si>
  <si>
    <t>ARRIENDOS</t>
  </si>
  <si>
    <t>SERVICIOS</t>
  </si>
  <si>
    <t>ABONO CAPITAL</t>
  </si>
  <si>
    <t>INTERESES</t>
  </si>
  <si>
    <t>GASTOS DEPRECIACION</t>
  </si>
  <si>
    <t>TOTAL GASTOS</t>
  </si>
  <si>
    <t>UTILIDAD</t>
  </si>
  <si>
    <t>IMPUESTO RENTA</t>
  </si>
  <si>
    <t>+ DEPRECIACIONES</t>
  </si>
  <si>
    <t>+ AMORTIZACIONES</t>
  </si>
  <si>
    <t>FLUJO NETO OEPRACIONAL</t>
  </si>
  <si>
    <t>VPN</t>
  </si>
  <si>
    <t>El proyecto es viable debido a que el vpn es mayor a 0</t>
  </si>
  <si>
    <t>TIR</t>
  </si>
  <si>
    <t>PRI</t>
  </si>
  <si>
    <t>AÑOS</t>
  </si>
  <si>
    <t>TIO</t>
  </si>
  <si>
    <t>PROMEDIO FLUJO</t>
  </si>
  <si>
    <t>RB/C</t>
  </si>
  <si>
    <t>CAUE</t>
  </si>
  <si>
    <t xml:space="preserve">Und. </t>
  </si>
  <si>
    <t>P.E AÑO 1 (PESOS)</t>
  </si>
  <si>
    <t>P.E AÑO 2 (UNDS)</t>
  </si>
  <si>
    <t>P.E AÑO 2 (PESOS)</t>
  </si>
  <si>
    <t>P.E AÑO 3 (UNDS)</t>
  </si>
  <si>
    <t>P.E AÑO 3 (PESOS)</t>
  </si>
  <si>
    <t>P.E AÑO 4 (UNDS)</t>
  </si>
  <si>
    <t>P.E AÑO 4 (PESOS)</t>
  </si>
  <si>
    <t>P.E AÑO 5 (UNDS)</t>
  </si>
  <si>
    <t>P.E AÑO 5 (PESOS)</t>
  </si>
  <si>
    <t>Impuesto a la renta 33%</t>
  </si>
  <si>
    <t xml:space="preserve">Intereses </t>
  </si>
  <si>
    <t xml:space="preserve">PIB </t>
  </si>
  <si>
    <t>AÑO INTERES</t>
  </si>
  <si>
    <t>VALOR LIBRO AÑO 1</t>
  </si>
  <si>
    <t>VALOR LIBRO AÑO 2</t>
  </si>
  <si>
    <t>VALOR LIBRO AÑO3</t>
  </si>
  <si>
    <t>VALOR LIBRO AÑO 4</t>
  </si>
  <si>
    <t xml:space="preserve">VALOR LIBRO AÑO 5 </t>
  </si>
  <si>
    <t>VALOR RESIDUAL AÑO 1</t>
  </si>
  <si>
    <t>VALOR RESIDUAL AÑO 2</t>
  </si>
  <si>
    <t>VALOR RESIDUAL AÑO 3</t>
  </si>
  <si>
    <t>VALOR RESIDUAL AÑO 4</t>
  </si>
  <si>
    <t>VALOR RESIDUAL AÑO 5</t>
  </si>
  <si>
    <t>TOTAL VALOR RESIDUAL</t>
  </si>
  <si>
    <t>Registro Mercantil (0,7% del monto del capital asignado)</t>
  </si>
  <si>
    <t>Impuesto de Matricula de Industria y comercio (0.4%)</t>
  </si>
  <si>
    <t>Transporte</t>
  </si>
  <si>
    <t>Servicios públicos</t>
  </si>
  <si>
    <t>Papelería</t>
  </si>
  <si>
    <t>Amortización</t>
  </si>
  <si>
    <t>Intereses de crédito</t>
  </si>
  <si>
    <t>Sillón de Escritorio</t>
  </si>
  <si>
    <t>Teléfono</t>
  </si>
  <si>
    <t>Camión</t>
  </si>
  <si>
    <t>Software contable</t>
  </si>
  <si>
    <t>Grapa Neumática</t>
  </si>
  <si>
    <t>Pistola Aerográfica</t>
  </si>
  <si>
    <t>Tapicería</t>
  </si>
  <si>
    <t>Carpintería</t>
  </si>
  <si>
    <t>Clavadora Neumática
 Marca : Ranger
 Referencia : 1140
 Presión Requerida : 60 A 100 Psi
 Máxima Presión : 120 Psi
 Capacidad De Clavos : 100 Pcs
 Clavos Calibre : 18 ( 1.25x1.00mm ) De 15 Mm ( 5/8 Hasta 50mm (2")
 Peso Liviano
 Botón De Liberación Rápida Para Obstrucciones
 Deflector De Aire De 360°
 Ventana De Lista Lateral Para Monitoreo Del Suministro De Clavos</t>
  </si>
  <si>
    <t>Compresor de 150lbs (vertical/horizontal).
 Motor : 1hp
 voltaje : (110 /220 vol.)
 línea: monofásico
 velocidad: 3500 rpm
 almacenamiento: 150lbs / 19 gls / 72 lts
 calibre: #14
 posición: vertical o horizontal
 color: azul / rojo / negro
 cabezote: 2051
 flujo de aire: 188 l/min - 6.3 cfm
 presión: 120psi - 8 bar</t>
  </si>
  <si>
    <t>ESMERIL DE BANCO 1/2 HP
 Peso 8.60 KG
 Tipo Esmeriles de Banco
 Modelo STGB3715-B3
 Características Esmeril De Banco 6Pg 370W-3.450Rpm
 Uso Profesional
 Diámetro 6"
 Velocidad 3.450 rpm 
 Potencia 370W</t>
  </si>
  <si>
    <t>LIJADORA ORBITAL 1/3-PULG 190W 11000OPM BO3710
 Peso 1,6 kg
 Garantía 1 Año
 Modelo BO3710
 Uso Industria y Profesional
 Potencia 190 W
 tamaño lija 3 5/8 x 9 Pulgadas
 Tipo Lijadoras
 Medidas 253x92x153mm (10 x3 5/8 x6 )Pulgadas
 Características Cuerpo ergonómico se acopla perfectamente en la mano del usuario proporcionando seguridad al sujetarla y un fácil manejo operando con una mano o ambas, Control de velocidad variable por marcación, Pié de aluminio durable con protección para polvo, Resistente motor con características de incremento en su potencia de entrada obtenido por el sistema de enfriamiento rediseñado, Fácil operación del papel con la palanca grande de la abrazadera de papel que asegura un rápido y fácil cambio. Doble Aislamiento, Velocidad Variable, Recolector de Polvo.
 Voltaje 110 v</t>
  </si>
  <si>
    <t>PISTOLA AEROGRAFICA DE BAJA PRESION PLATEADA TAKIMA
 Color Plateado
 Modelo 499905
 Material Aluminio
 Alto 19 centímetros
 Ancho 11 centímetros
 Potencia 80 Watts
 Presión 80
 Tipo Pistola para pintar
 Características Distancia de aplicación máxima recomendada 30 cm
 Capacidad volumétrica 750 litros
 Largo 15 centímetros
 Incluye Boquilla; aguja; tuercas de ajuste; gatillo; tanque</t>
  </si>
  <si>
    <t>Planeadora o canteadora de 35 cm
 Hurtado Hermanos original de segunda mano totalmente restaurada
 Motor 3.6hp trifásico
 Planchas rectificadas en cepillo de puente
 Colas de milano totalmente selladas</t>
  </si>
  <si>
    <t>Funciones: Impresión, copia, escaneado, fax.
 Tecnología de Impresión: Laser.
 Velocidad B/N: A4: Hasta 20 ppm; Primera página impresa en negro: Apenas 8,3 segundos.
 Tipo de Impresión: Monocromática.
 Compatibilidad: Cartucho de tóner láser original HP 105A negro.
 Wifi: Sí.
 Capacidad de hojas: Hasta 150 hojas.
 Ciclo mensual: 10.000 páginas.
 Tamaños de soportes de impresión admitidos: A4;A5;A5(LEF);B5(JIS); Oficio; Sobre(DL,C5).
 Impresión móvil (HP Smart APP): Sí.
 Resolución de impresión: Negro (óptima): Hasta 1,200 x 1,200 dpi.
 Fax: Sí.
 Volumen de páginas mensuales recomendado: 100 a 2.000.
 Formato de archivos escaneados: El software de escaneado de Windows admite estos formatos de archivo: PDF, JPG, TIFF, PNG y BMP.
 Gramaje de soportes admitido: De 60 a 163 g/m².
 Resolución de escaneado: Hardware: Hasta 4800 x 4800 ppp; Óptica: Hasta 600 x 600 ppp.
 USB: Sí.</t>
  </si>
  <si>
    <t>Sillón Escritorio PC Respaldo Bajo Negro
 Tipo: Sillas de escritorio
 Ancho: 54 centímetros
 Largo: 50 centímetros
 Alto: 83 a 95 centímetros</t>
  </si>
  <si>
    <t>Teléfono Alámbrico Escritorio Básico Negro
 Color Negro
 Modelo KX-TS500LX1B
 Alto 9,6cm
 Ancho 15cm
 Peso 475Gr
 Largo 20cm
 Funciones Control de volumen y remarcación.</t>
  </si>
  <si>
    <t>Furgón Carga Seca Chevrolet NKR 3
Motor 4jj1-tc
Peso bruto 5200 kg
Potencia 122@2.600 hp@rpm
Nivel de emisiones  Euro lV
Medidas del cajón
Alto 250 cm
Ancho 220 cm
Largo 5 m</t>
  </si>
  <si>
    <t>Impuesto de Propiedad intelectual (19%)</t>
  </si>
  <si>
    <t>Amortización Crédito</t>
  </si>
  <si>
    <t>Servicios Públicos</t>
  </si>
  <si>
    <t>Bodega ubicada en la localidad de Usme</t>
  </si>
  <si>
    <t>Laminas de Mdf de diferentes espesores como 2.5mm 9mm y 12mm</t>
  </si>
  <si>
    <t>Especializados para proteger de partículas que se puedan producir en la operación</t>
  </si>
  <si>
    <t>Protección de las manos de sustancias deconocidas</t>
  </si>
  <si>
    <t>Acrílico</t>
  </si>
  <si>
    <t xml:space="preserve">De Diferentes medidas según el modelo del ataúd </t>
  </si>
  <si>
    <t>Diferentes referencias predeterminadas para poder tapizar</t>
  </si>
  <si>
    <t>Imágenes Yeso</t>
  </si>
  <si>
    <t>Plástico</t>
  </si>
  <si>
    <t>Protector de los ataúdes</t>
  </si>
  <si>
    <t>Domos en acrílico</t>
  </si>
  <si>
    <t xml:space="preserve">Estrato:  3
Agua: Básico + consumo
Luz: Valor promedio actual según Enel- Codensa 
Gas: Básico + consumo 
Telefonía: Wifi y Cable de Red- 300 Megas de Internet y telefonía ilimitada </t>
  </si>
  <si>
    <t xml:space="preserve">  </t>
  </si>
  <si>
    <t>INDICADORES FINANCIEROS</t>
  </si>
  <si>
    <t>Año 0</t>
  </si>
  <si>
    <t>Indicadores de liquidez</t>
  </si>
  <si>
    <t>Activos Corrientes</t>
  </si>
  <si>
    <t>Caja</t>
  </si>
  <si>
    <t>Razón corriente</t>
  </si>
  <si>
    <t>Cuentas por cobrar</t>
  </si>
  <si>
    <t>Capital de trabajo</t>
  </si>
  <si>
    <t>Total activos corrientes</t>
  </si>
  <si>
    <t>Indicadores de endeudamiento</t>
  </si>
  <si>
    <t>Activos no corrientes</t>
  </si>
  <si>
    <t>Nivel de endeudamiento</t>
  </si>
  <si>
    <t>Maquinaria y equipo</t>
  </si>
  <si>
    <t>Endeudamiento a corto plazo</t>
  </si>
  <si>
    <t>Equipo de oficina</t>
  </si>
  <si>
    <t>Vehiculo</t>
  </si>
  <si>
    <t>Cobertura intereses</t>
  </si>
  <si>
    <t>Concentración corto plazo</t>
  </si>
  <si>
    <t>Otros activos</t>
  </si>
  <si>
    <t>Total de activos fijos</t>
  </si>
  <si>
    <t>Endeudamiento financiero total</t>
  </si>
  <si>
    <t xml:space="preserve">TOTAL ACTIVOS  </t>
  </si>
  <si>
    <t>Average-apalancamiento</t>
  </si>
  <si>
    <t>Indicadores de rentabilidad</t>
  </si>
  <si>
    <t>Pasivos corrientes</t>
  </si>
  <si>
    <t>Margen bruto</t>
  </si>
  <si>
    <t>Obligaciones financieras</t>
  </si>
  <si>
    <t>Margen operacional</t>
  </si>
  <si>
    <t>Cuentas por pagar</t>
  </si>
  <si>
    <t>Margen neto</t>
  </si>
  <si>
    <t>Impuestos por pagar</t>
  </si>
  <si>
    <t>ROE</t>
  </si>
  <si>
    <t>Total pasivos corrientes</t>
  </si>
  <si>
    <t>ROA</t>
  </si>
  <si>
    <t>Pasivos no corrientes</t>
  </si>
  <si>
    <t>ROI</t>
  </si>
  <si>
    <t>EBITDA</t>
  </si>
  <si>
    <t>Total pasivos no corrientes</t>
  </si>
  <si>
    <t>TOTAL PASIVOS</t>
  </si>
  <si>
    <t>UNA</t>
  </si>
  <si>
    <t>Capital social</t>
  </si>
  <si>
    <t>ANF</t>
  </si>
  <si>
    <t>Utilidades del ejercicio</t>
  </si>
  <si>
    <t>CPC</t>
  </si>
  <si>
    <t>Utilidades acumuladas</t>
  </si>
  <si>
    <t>EVA</t>
  </si>
  <si>
    <t>TOTAL PATRIMONIO</t>
  </si>
  <si>
    <t>PASIVOS + PATRIMONIO</t>
  </si>
  <si>
    <t>VEHICULO</t>
  </si>
  <si>
    <t>Balance general</t>
  </si>
  <si>
    <t>Valor actual neto (VAN)</t>
  </si>
  <si>
    <t>Tasa interna de retorno (TIR)</t>
  </si>
  <si>
    <t>Ingresos netos</t>
  </si>
  <si>
    <t>P.E AÑO 1 ( UNDS)</t>
  </si>
  <si>
    <t>sandra</t>
  </si>
  <si>
    <t>sociales</t>
  </si>
  <si>
    <t>mate</t>
  </si>
  <si>
    <t>terminado</t>
  </si>
  <si>
    <t>Banco</t>
  </si>
  <si>
    <t>UTILIDAD DEL EJERCICIO</t>
  </si>
  <si>
    <t>Materia prima</t>
  </si>
  <si>
    <t>Utilidad neta</t>
  </si>
  <si>
    <t>Edificios</t>
  </si>
  <si>
    <t>Capital</t>
  </si>
  <si>
    <t>Credito</t>
  </si>
  <si>
    <t>Maquinaria</t>
  </si>
  <si>
    <t>Eq. Oficina</t>
  </si>
  <si>
    <t>Materia P</t>
  </si>
  <si>
    <t>Debe</t>
  </si>
  <si>
    <t>Haber</t>
  </si>
  <si>
    <t>Edificio</t>
  </si>
  <si>
    <t>Otros Activos</t>
  </si>
  <si>
    <t>Cuentas X C</t>
  </si>
  <si>
    <t>Inventario</t>
  </si>
  <si>
    <t>Depreci A.</t>
  </si>
  <si>
    <t>Depreciaciones</t>
  </si>
  <si>
    <t>valor año 1</t>
  </si>
  <si>
    <t>Obligacion F.</t>
  </si>
  <si>
    <t>Impto Rta x Pagar</t>
  </si>
  <si>
    <t>Utilidad E.</t>
  </si>
  <si>
    <t>Utilidad E. Ante</t>
  </si>
  <si>
    <t>Cd y C. Ind</t>
  </si>
  <si>
    <t>Prod.terminado</t>
  </si>
  <si>
    <t>Total P + P</t>
  </si>
  <si>
    <t>Cuenta X Cobrar</t>
  </si>
  <si>
    <t>Cto vta</t>
  </si>
  <si>
    <t>Cto Produccion</t>
  </si>
  <si>
    <t>Gastos</t>
  </si>
  <si>
    <t>Gto Provison</t>
  </si>
  <si>
    <t>mp</t>
  </si>
  <si>
    <t>Scios P.</t>
  </si>
  <si>
    <t>Mano O.</t>
  </si>
  <si>
    <t>aseo</t>
  </si>
  <si>
    <t>CIF</t>
  </si>
  <si>
    <t>papeleria</t>
  </si>
  <si>
    <t>Depreciacion</t>
  </si>
  <si>
    <t>Gto intereses</t>
  </si>
  <si>
    <t>MP</t>
  </si>
  <si>
    <t>GTO OP</t>
  </si>
  <si>
    <t>Nomina administrativo</t>
  </si>
  <si>
    <t>Nomina produccion</t>
  </si>
  <si>
    <t>Año</t>
  </si>
  <si>
    <t>COSTO POR
UNIDAD</t>
  </si>
  <si>
    <t>PRECIO 
DE VENTA</t>
  </si>
  <si>
    <t>UTILIDAD 
BRUTA</t>
  </si>
  <si>
    <t>MARGEN
UTILIDAD</t>
  </si>
  <si>
    <t>Valor Presente Neto (VPN)</t>
  </si>
  <si>
    <t>Evaluacion</t>
  </si>
  <si>
    <t>Analisis</t>
  </si>
  <si>
    <t>activo neto finaniero</t>
  </si>
  <si>
    <t>Margen EBITA</t>
  </si>
</sst>
</file>

<file path=xl/styles.xml><?xml version="1.0" encoding="utf-8"?>
<styleSheet xmlns="http://schemas.openxmlformats.org/spreadsheetml/2006/main">
  <numFmts count="18">
    <numFmt numFmtId="164" formatCode="&quot;$&quot;\ #,##0;[Red]\-&quot;$&quot;\ #,##0"/>
    <numFmt numFmtId="165" formatCode="_-&quot;$&quot;\ * #,##0_-;\-&quot;$&quot;\ * #,##0_-;_-&quot;$&quot;\ * &quot;-&quot;_-;_-@_-"/>
    <numFmt numFmtId="166" formatCode="_-* #,##0_-;\-* #,##0_-;_-* &quot;-&quot;_-;_-@_-"/>
    <numFmt numFmtId="167" formatCode="_-&quot;$&quot;\ * #,##0.00_-;\-&quot;$&quot;\ * #,##0.00_-;_-&quot;$&quot;\ * &quot;-&quot;??_-;_-@_-"/>
    <numFmt numFmtId="168" formatCode="_-* #,##0.00_-;\-* #,##0.00_-;_-* &quot;-&quot;??_-;_-@_-"/>
    <numFmt numFmtId="169" formatCode="[$ $]#,##0"/>
    <numFmt numFmtId="170" formatCode="[$ $]#,##0.00"/>
    <numFmt numFmtId="171" formatCode="_(&quot;$&quot;\ * #,##0.00_);_(&quot;$&quot;\ * \(#,##0.00\);_(&quot;$&quot;\ * &quot;-&quot;??_);_(@_)"/>
    <numFmt numFmtId="172" formatCode="_-&quot;$&quot;* #,##0_-;\-&quot;$&quot;* #,##0_-;_-&quot;$&quot;* &quot;-&quot;_-;_-@_-"/>
    <numFmt numFmtId="173" formatCode="_-&quot;$&quot;* #,##0.00_-;\-&quot;$&quot;* #,##0.00_-;_-&quot;$&quot;* &quot;-&quot;??_-;_-@_-"/>
    <numFmt numFmtId="174" formatCode="_-&quot;$&quot;* #,##0_-;\-&quot;$&quot;* #,##0_-;_-&quot;$&quot;* &quot;-&quot;??_-;_-@_-"/>
    <numFmt numFmtId="175" formatCode="&quot;$&quot;\ #,##0_);[Red]\(&quot;$&quot;\ #,##0\)"/>
    <numFmt numFmtId="176" formatCode="&quot;$&quot;\ #,##0"/>
    <numFmt numFmtId="177" formatCode="_(&quot;$&quot;\ * #,##0_);_(&quot;$&quot;\ * \(#,##0\);_(&quot;$&quot;\ * &quot;-&quot;??_);_(@_)"/>
    <numFmt numFmtId="178" formatCode="0.000"/>
    <numFmt numFmtId="179" formatCode="&quot;$&quot;\ #,##0.00_);[Red]\(&quot;$&quot;\ #,##0.00\)"/>
    <numFmt numFmtId="180" formatCode="0.0%"/>
    <numFmt numFmtId="181" formatCode="&quot;$&quot;#,##0.00;[Red]\-&quot;$&quot;#,##0.00"/>
  </numFmts>
  <fonts count="40">
    <font>
      <sz val="10"/>
      <color rgb="FF00000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0"/>
      <color rgb="FF000000"/>
      <name val="Arial"/>
    </font>
    <font>
      <sz val="10"/>
      <color theme="1"/>
      <name val="Arial"/>
    </font>
    <font>
      <sz val="10"/>
      <name val="Arial"/>
    </font>
    <font>
      <sz val="10"/>
      <color rgb="FF000000"/>
      <name val="Arial"/>
    </font>
    <font>
      <sz val="10"/>
      <name val="Arial"/>
    </font>
    <font>
      <b/>
      <sz val="10"/>
      <color theme="1"/>
      <name val="Arial"/>
    </font>
    <font>
      <sz val="10"/>
      <color rgb="FF000000"/>
      <name val="Calibri"/>
    </font>
    <font>
      <b/>
      <sz val="10"/>
      <color rgb="FF000000"/>
      <name val="Calibri"/>
    </font>
    <font>
      <sz val="11"/>
      <color rgb="FF000000"/>
      <name val="Calibri"/>
    </font>
    <font>
      <b/>
      <sz val="11"/>
      <color rgb="FF000000"/>
      <name val="Calibri"/>
    </font>
    <font>
      <sz val="10"/>
      <color theme="1"/>
      <name val="Arial"/>
    </font>
    <font>
      <b/>
      <sz val="10"/>
      <color theme="1"/>
      <name val="Arial"/>
    </font>
    <font>
      <b/>
      <sz val="11"/>
      <color theme="1"/>
      <name val="Arial"/>
      <family val="2"/>
      <scheme val="minor"/>
    </font>
    <font>
      <sz val="11"/>
      <name val="Arial"/>
      <family val="2"/>
    </font>
    <font>
      <b/>
      <sz val="11"/>
      <color rgb="FF000000"/>
      <name val="Arial"/>
      <family val="2"/>
    </font>
    <font>
      <sz val="11"/>
      <color rgb="FF000000"/>
      <name val="Arial"/>
      <family val="2"/>
    </font>
    <font>
      <sz val="10"/>
      <color rgb="FF000000"/>
      <name val="Arial"/>
      <family val="2"/>
    </font>
    <font>
      <sz val="11"/>
      <color rgb="FF000000"/>
      <name val="Calibri"/>
      <family val="2"/>
    </font>
    <font>
      <sz val="8"/>
      <name val="Arial"/>
    </font>
    <font>
      <sz val="12"/>
      <color theme="1"/>
      <name val="Arial"/>
      <family val="2"/>
      <scheme val="minor"/>
    </font>
    <font>
      <u/>
      <sz val="12"/>
      <color theme="10"/>
      <name val="Arial"/>
      <family val="2"/>
      <scheme val="minor"/>
    </font>
    <font>
      <sz val="22"/>
      <color theme="1"/>
      <name val="Arial"/>
      <family val="2"/>
      <scheme val="minor"/>
    </font>
    <font>
      <sz val="10"/>
      <color theme="1"/>
      <name val="Arial"/>
      <family val="2"/>
    </font>
    <font>
      <b/>
      <sz val="12"/>
      <color rgb="FF000000"/>
      <name val="Arial"/>
      <family val="2"/>
    </font>
    <font>
      <b/>
      <sz val="11"/>
      <name val="Arial"/>
      <family val="2"/>
      <scheme val="minor"/>
    </font>
    <font>
      <sz val="11"/>
      <name val="Arial"/>
      <family val="2"/>
      <scheme val="minor"/>
    </font>
    <font>
      <sz val="10"/>
      <name val="Arial"/>
      <family val="2"/>
    </font>
    <font>
      <sz val="11"/>
      <color rgb="FF000000"/>
      <name val="Arial"/>
      <family val="2"/>
      <scheme val="minor"/>
    </font>
    <font>
      <sz val="11"/>
      <name val="Calibri"/>
      <family val="2"/>
    </font>
    <font>
      <b/>
      <sz val="10"/>
      <color rgb="FF000000"/>
      <name val="Arial"/>
      <family val="2"/>
    </font>
    <font>
      <b/>
      <sz val="11"/>
      <color rgb="FF000000"/>
      <name val="Calibri"/>
      <family val="2"/>
    </font>
    <font>
      <b/>
      <sz val="11"/>
      <color rgb="FF000000"/>
      <name val="Arial"/>
      <family val="2"/>
      <scheme val="minor"/>
    </font>
    <font>
      <b/>
      <sz val="12"/>
      <color theme="1"/>
      <name val="Arial"/>
      <family val="2"/>
      <scheme val="minor"/>
    </font>
    <font>
      <sz val="12"/>
      <color rgb="FF7030A0"/>
      <name val="Arial"/>
      <family val="2"/>
      <scheme val="minor"/>
    </font>
    <font>
      <b/>
      <sz val="10"/>
      <color theme="1"/>
      <name val="Arial"/>
      <family val="2"/>
    </font>
  </fonts>
  <fills count="33">
    <fill>
      <patternFill patternType="none"/>
    </fill>
    <fill>
      <patternFill patternType="gray125"/>
    </fill>
    <fill>
      <patternFill patternType="solid">
        <fgColor rgb="FF2F75B5"/>
        <bgColor rgb="FF2F75B5"/>
      </patternFill>
    </fill>
    <fill>
      <patternFill patternType="solid">
        <fgColor rgb="FF9BC2E6"/>
        <bgColor rgb="FF9BC2E6"/>
      </patternFill>
    </fill>
    <fill>
      <patternFill patternType="solid">
        <fgColor rgb="FFD9D2E9"/>
        <bgColor rgb="FFD9D2E9"/>
      </patternFill>
    </fill>
    <fill>
      <patternFill patternType="solid">
        <fgColor rgb="FFFFF2CC"/>
        <bgColor rgb="FFFFF2CC"/>
      </patternFill>
    </fill>
    <fill>
      <patternFill patternType="solid">
        <fgColor rgb="FFA4C2F4"/>
        <bgColor rgb="FFA4C2F4"/>
      </patternFill>
    </fill>
    <fill>
      <patternFill patternType="solid">
        <fgColor rgb="FFF9CB9C"/>
        <bgColor rgb="FFF9CB9C"/>
      </patternFill>
    </fill>
    <fill>
      <patternFill patternType="solid">
        <fgColor rgb="FFE69138"/>
        <bgColor rgb="FFE69138"/>
      </patternFill>
    </fill>
    <fill>
      <patternFill patternType="solid">
        <fgColor rgb="FFBDD7EE"/>
        <bgColor rgb="FFBDD7EE"/>
      </patternFill>
    </fill>
    <fill>
      <patternFill patternType="solid">
        <fgColor rgb="FFDDEBF7"/>
        <bgColor rgb="FFDDEBF7"/>
      </patternFill>
    </fill>
    <fill>
      <patternFill patternType="solid">
        <fgColor rgb="FFFFE599"/>
        <bgColor rgb="FFFFE599"/>
      </patternFill>
    </fill>
    <fill>
      <patternFill patternType="solid">
        <fgColor rgb="FFF1C232"/>
        <bgColor rgb="FFF1C232"/>
      </patternFill>
    </fill>
    <fill>
      <patternFill patternType="solid">
        <fgColor rgb="FFB4C6E7"/>
        <bgColor rgb="FFB4C6E7"/>
      </patternFill>
    </fill>
    <fill>
      <patternFill patternType="solid">
        <fgColor theme="5" tint="0.39997558519241921"/>
        <bgColor indexed="64"/>
      </patternFill>
    </fill>
    <fill>
      <patternFill patternType="solid">
        <fgColor rgb="FFCCCCCC"/>
        <bgColor rgb="FFCCCCCC"/>
      </patternFill>
    </fill>
    <fill>
      <patternFill patternType="solid">
        <fgColor rgb="FFFFFFFF"/>
        <bgColor rgb="FFFFFFFF"/>
      </patternFill>
    </fill>
    <fill>
      <patternFill patternType="solid">
        <fgColor theme="7"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C000"/>
        <bgColor indexed="64"/>
      </patternFill>
    </fill>
    <fill>
      <patternFill patternType="solid">
        <fgColor rgb="FF00B0F0"/>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000000"/>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diagonal/>
    </border>
  </borders>
  <cellStyleXfs count="21">
    <xf numFmtId="0" fontId="0" fillId="0" borderId="0"/>
    <xf numFmtId="9" fontId="8" fillId="0" borderId="0" applyFont="0" applyFill="0" applyBorder="0" applyAlignment="0" applyProtection="0"/>
    <xf numFmtId="0" fontId="21" fillId="0" borderId="0"/>
    <xf numFmtId="0" fontId="22" fillId="0" borderId="0"/>
    <xf numFmtId="0" fontId="4" fillId="0" borderId="0"/>
    <xf numFmtId="166" fontId="4" fillId="0" borderId="0" applyFont="0" applyFill="0" applyBorder="0" applyAlignment="0" applyProtection="0"/>
    <xf numFmtId="171" fontId="4" fillId="0" borderId="0" applyFont="0" applyFill="0" applyBorder="0" applyAlignment="0" applyProtection="0"/>
    <xf numFmtId="165" fontId="4" fillId="0" borderId="0" applyFont="0" applyFill="0" applyBorder="0" applyAlignment="0" applyProtection="0"/>
    <xf numFmtId="173" fontId="4" fillId="0" borderId="0" applyFont="0" applyFill="0" applyBorder="0" applyAlignment="0" applyProtection="0"/>
    <xf numFmtId="9" fontId="4" fillId="0" borderId="0" applyFont="0" applyFill="0" applyBorder="0" applyAlignment="0" applyProtection="0"/>
    <xf numFmtId="0" fontId="24" fillId="0" borderId="0"/>
    <xf numFmtId="9" fontId="24" fillId="0" borderId="0" applyFont="0" applyFill="0" applyBorder="0" applyAlignment="0" applyProtection="0"/>
    <xf numFmtId="172" fontId="24" fillId="0" borderId="0" applyFont="0" applyFill="0" applyBorder="0" applyAlignment="0" applyProtection="0"/>
    <xf numFmtId="0" fontId="25" fillId="0" borderId="0" applyNumberFormat="0" applyFill="0" applyBorder="0" applyAlignment="0" applyProtection="0"/>
    <xf numFmtId="168" fontId="24" fillId="0" borderId="0" applyFont="0" applyFill="0" applyBorder="0" applyAlignment="0" applyProtection="0"/>
    <xf numFmtId="173" fontId="24" fillId="0" borderId="0" applyFont="0" applyFill="0" applyBorder="0" applyAlignment="0" applyProtection="0"/>
    <xf numFmtId="172" fontId="4"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72" fontId="24" fillId="0" borderId="0" applyFont="0" applyFill="0" applyBorder="0" applyAlignment="0" applyProtection="0"/>
  </cellStyleXfs>
  <cellXfs count="354">
    <xf numFmtId="0" fontId="0" fillId="0" borderId="0" xfId="0" applyFont="1" applyAlignment="1"/>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0" xfId="0" applyFont="1"/>
    <xf numFmtId="0" fontId="0" fillId="3" borderId="4" xfId="0" applyFont="1" applyFill="1" applyBorder="1" applyAlignment="1">
      <alignment horizontal="center"/>
    </xf>
    <xf numFmtId="0" fontId="0" fillId="3" borderId="5" xfId="0" applyFont="1" applyFill="1" applyBorder="1" applyAlignment="1"/>
    <xf numFmtId="0" fontId="0" fillId="0" borderId="4" xfId="0" applyFont="1" applyBorder="1" applyAlignment="1">
      <alignment horizontal="center" vertical="center"/>
    </xf>
    <xf numFmtId="0" fontId="0" fillId="0" borderId="5" xfId="0" applyFont="1" applyBorder="1" applyAlignment="1"/>
    <xf numFmtId="0" fontId="0" fillId="0" borderId="5" xfId="0" applyFont="1" applyBorder="1" applyAlignment="1">
      <alignment horizontal="center" vertical="center"/>
    </xf>
    <xf numFmtId="169" fontId="0" fillId="0" borderId="5" xfId="0" applyNumberFormat="1" applyFont="1" applyBorder="1" applyAlignment="1">
      <alignment horizontal="center" vertical="center"/>
    </xf>
    <xf numFmtId="0" fontId="6" fillId="0" borderId="5" xfId="0" applyFont="1" applyBorder="1" applyAlignment="1">
      <alignment horizontal="center" vertical="center"/>
    </xf>
    <xf numFmtId="169" fontId="0" fillId="3" borderId="4" xfId="0" applyNumberFormat="1" applyFont="1" applyFill="1" applyBorder="1" applyAlignment="1">
      <alignment horizontal="center"/>
    </xf>
    <xf numFmtId="0" fontId="6" fillId="4" borderId="1" xfId="0" applyFont="1" applyFill="1" applyBorder="1" applyAlignment="1">
      <alignment horizontal="center"/>
    </xf>
    <xf numFmtId="0" fontId="6" fillId="4" borderId="1" xfId="0" applyFont="1" applyFill="1" applyBorder="1"/>
    <xf numFmtId="0" fontId="6" fillId="0" borderId="4" xfId="0" applyFont="1" applyBorder="1" applyAlignment="1">
      <alignment horizontal="center"/>
    </xf>
    <xf numFmtId="0" fontId="6" fillId="0" borderId="1" xfId="0" applyFont="1" applyBorder="1"/>
    <xf numFmtId="0" fontId="6" fillId="0" borderId="1"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center"/>
    </xf>
    <xf numFmtId="169" fontId="6" fillId="4" borderId="1" xfId="0" applyNumberFormat="1" applyFont="1" applyFill="1" applyBorder="1"/>
    <xf numFmtId="0" fontId="6" fillId="5" borderId="4" xfId="0" applyFont="1" applyFill="1" applyBorder="1" applyAlignment="1">
      <alignment horizontal="center"/>
    </xf>
    <xf numFmtId="0" fontId="6" fillId="5" borderId="1" xfId="0" applyFont="1" applyFill="1" applyBorder="1"/>
    <xf numFmtId="0" fontId="6" fillId="0" borderId="4" xfId="0" applyFont="1" applyBorder="1" applyAlignment="1">
      <alignment horizontal="center" vertical="center"/>
    </xf>
    <xf numFmtId="0" fontId="6" fillId="0" borderId="1" xfId="0" applyFont="1" applyBorder="1" applyAlignment="1">
      <alignment horizontal="center" vertical="center"/>
    </xf>
    <xf numFmtId="169" fontId="0" fillId="0" borderId="5" xfId="0" applyNumberFormat="1" applyFont="1" applyBorder="1" applyAlignment="1">
      <alignment horizontal="center" vertical="center"/>
    </xf>
    <xf numFmtId="0" fontId="9" fillId="0" borderId="0" xfId="0" applyFont="1"/>
    <xf numFmtId="0" fontId="6" fillId="0" borderId="1" xfId="0" applyFont="1" applyBorder="1" applyAlignment="1"/>
    <xf numFmtId="0" fontId="9" fillId="0" borderId="1" xfId="0" applyFont="1" applyBorder="1" applyAlignment="1">
      <alignment horizontal="center" vertical="center"/>
    </xf>
    <xf numFmtId="0" fontId="6" fillId="0" borderId="1" xfId="0" applyFont="1" applyBorder="1" applyAlignment="1">
      <alignment horizontal="center" vertical="center"/>
    </xf>
    <xf numFmtId="0" fontId="11" fillId="0" borderId="1" xfId="0" applyFont="1" applyBorder="1" applyAlignment="1"/>
    <xf numFmtId="0" fontId="12" fillId="0" borderId="2" xfId="0" applyFont="1" applyBorder="1" applyAlignment="1">
      <alignment horizontal="center"/>
    </xf>
    <xf numFmtId="0" fontId="12" fillId="6" borderId="2" xfId="0" applyFont="1" applyFill="1" applyBorder="1" applyAlignment="1">
      <alignment horizontal="center"/>
    </xf>
    <xf numFmtId="0" fontId="11" fillId="0" borderId="4" xfId="0" applyFont="1" applyBorder="1" applyAlignment="1"/>
    <xf numFmtId="0" fontId="12" fillId="6" borderId="5" xfId="0" applyFont="1" applyFill="1" applyBorder="1" applyAlignment="1">
      <alignment horizontal="center"/>
    </xf>
    <xf numFmtId="0" fontId="12" fillId="6" borderId="5" xfId="0" applyFont="1" applyFill="1" applyBorder="1" applyAlignment="1">
      <alignment horizontal="center" vertical="center"/>
    </xf>
    <xf numFmtId="0" fontId="12" fillId="6" borderId="4" xfId="0" applyFont="1" applyFill="1" applyBorder="1" applyAlignment="1"/>
    <xf numFmtId="169" fontId="13" fillId="7" borderId="1" xfId="0" applyNumberFormat="1" applyFont="1" applyFill="1" applyBorder="1" applyAlignment="1">
      <alignment horizontal="center"/>
    </xf>
    <xf numFmtId="169" fontId="14" fillId="8" borderId="2" xfId="0" applyNumberFormat="1" applyFont="1" applyFill="1" applyBorder="1" applyAlignment="1">
      <alignment horizontal="center"/>
    </xf>
    <xf numFmtId="169" fontId="13" fillId="7" borderId="2" xfId="0" applyNumberFormat="1" applyFont="1" applyFill="1" applyBorder="1" applyAlignment="1">
      <alignment horizontal="center"/>
    </xf>
    <xf numFmtId="169" fontId="13" fillId="7" borderId="5" xfId="0" applyNumberFormat="1" applyFont="1" applyFill="1" applyBorder="1" applyAlignment="1">
      <alignment horizontal="center"/>
    </xf>
    <xf numFmtId="0" fontId="13" fillId="0" borderId="0" xfId="0" applyFont="1" applyAlignment="1"/>
    <xf numFmtId="169" fontId="14" fillId="10" borderId="5" xfId="0" applyNumberFormat="1" applyFont="1" applyFill="1" applyBorder="1" applyAlignment="1"/>
    <xf numFmtId="0" fontId="15" fillId="0" borderId="0" xfId="0" applyFont="1" applyAlignment="1"/>
    <xf numFmtId="169" fontId="13" fillId="0" borderId="5" xfId="0" applyNumberFormat="1" applyFont="1" applyBorder="1" applyAlignment="1">
      <alignment horizontal="right" vertical="center"/>
    </xf>
    <xf numFmtId="0" fontId="15" fillId="0" borderId="0" xfId="0" applyFont="1" applyAlignment="1">
      <alignment horizontal="center"/>
    </xf>
    <xf numFmtId="0" fontId="15" fillId="0" borderId="0" xfId="0" applyFont="1" applyAlignment="1">
      <alignment horizontal="center"/>
    </xf>
    <xf numFmtId="0" fontId="15" fillId="0" borderId="1" xfId="0" applyFont="1" applyBorder="1" applyAlignment="1">
      <alignment horizontal="center"/>
    </xf>
    <xf numFmtId="169" fontId="15" fillId="0" borderId="1" xfId="0" applyNumberFormat="1" applyFont="1" applyBorder="1" applyAlignment="1">
      <alignment horizontal="center"/>
    </xf>
    <xf numFmtId="169" fontId="15" fillId="0" borderId="1" xfId="0" applyNumberFormat="1" applyFont="1" applyBorder="1" applyAlignment="1">
      <alignment horizontal="center"/>
    </xf>
    <xf numFmtId="0" fontId="16" fillId="0" borderId="0" xfId="0" applyFont="1" applyAlignment="1">
      <alignment horizontal="center"/>
    </xf>
    <xf numFmtId="0" fontId="16" fillId="0" borderId="0" xfId="0" applyFont="1" applyAlignment="1"/>
    <xf numFmtId="0" fontId="6" fillId="5" borderId="12" xfId="0" applyFont="1" applyFill="1" applyBorder="1" applyAlignment="1">
      <alignment horizontal="center"/>
    </xf>
    <xf numFmtId="0" fontId="6" fillId="5" borderId="11" xfId="0" applyFont="1" applyFill="1" applyBorder="1"/>
    <xf numFmtId="169" fontId="6" fillId="5" borderId="11" xfId="0" applyNumberFormat="1" applyFont="1" applyFill="1" applyBorder="1" applyAlignment="1">
      <alignment horizontal="center"/>
    </xf>
    <xf numFmtId="0" fontId="6" fillId="14" borderId="13" xfId="0" applyFont="1" applyFill="1" applyBorder="1"/>
    <xf numFmtId="169" fontId="6" fillId="14" borderId="13" xfId="0" applyNumberFormat="1" applyFont="1" applyFill="1" applyBorder="1" applyAlignment="1">
      <alignment horizontal="center"/>
    </xf>
    <xf numFmtId="3" fontId="20" fillId="16" borderId="1" xfId="0" applyNumberFormat="1" applyFont="1" applyFill="1" applyBorder="1" applyAlignment="1">
      <alignment horizontal="center" vertical="top"/>
    </xf>
    <xf numFmtId="0" fontId="18" fillId="0" borderId="0" xfId="0" applyFont="1" applyAlignment="1"/>
    <xf numFmtId="0" fontId="18" fillId="0" borderId="0" xfId="0" applyFont="1"/>
    <xf numFmtId="169" fontId="18" fillId="0" borderId="0" xfId="0" applyNumberFormat="1" applyFont="1" applyAlignment="1"/>
    <xf numFmtId="10" fontId="18" fillId="0" borderId="0" xfId="0" applyNumberFormat="1" applyFont="1" applyAlignment="1"/>
    <xf numFmtId="169" fontId="19" fillId="15" borderId="1" xfId="0" applyNumberFormat="1" applyFont="1" applyFill="1" applyBorder="1" applyAlignment="1">
      <alignment horizontal="right" vertical="top"/>
    </xf>
    <xf numFmtId="169" fontId="20" fillId="16" borderId="1" xfId="0" applyNumberFormat="1" applyFont="1" applyFill="1" applyBorder="1" applyAlignment="1">
      <alignment horizontal="right" vertical="top"/>
    </xf>
    <xf numFmtId="170" fontId="20" fillId="16" borderId="1" xfId="0" applyNumberFormat="1" applyFont="1" applyFill="1" applyBorder="1" applyAlignment="1">
      <alignment horizontal="right" vertical="top"/>
    </xf>
    <xf numFmtId="170" fontId="18" fillId="0" borderId="0" xfId="0" applyNumberFormat="1" applyFont="1" applyAlignment="1"/>
    <xf numFmtId="170" fontId="18" fillId="0" borderId="0" xfId="0" applyNumberFormat="1" applyFont="1"/>
    <xf numFmtId="170" fontId="19" fillId="15" borderId="1" xfId="0" applyNumberFormat="1" applyFont="1" applyFill="1" applyBorder="1" applyAlignment="1">
      <alignment horizontal="center" vertical="top"/>
    </xf>
    <xf numFmtId="170" fontId="20" fillId="16" borderId="1" xfId="0" applyNumberFormat="1" applyFont="1" applyFill="1" applyBorder="1" applyAlignment="1">
      <alignment horizontal="right" vertical="top"/>
    </xf>
    <xf numFmtId="170" fontId="20" fillId="16" borderId="1" xfId="0" applyNumberFormat="1" applyFont="1" applyFill="1" applyBorder="1" applyAlignment="1">
      <alignment horizontal="right" vertical="top"/>
    </xf>
    <xf numFmtId="0" fontId="4" fillId="0" borderId="0" xfId="4" applyBorder="1"/>
    <xf numFmtId="169" fontId="19" fillId="15" borderId="1" xfId="0" applyNumberFormat="1" applyFont="1" applyFill="1" applyBorder="1" applyAlignment="1">
      <alignment horizontal="center" vertical="top"/>
    </xf>
    <xf numFmtId="10" fontId="0" fillId="0" borderId="13" xfId="1" applyNumberFormat="1" applyFont="1" applyBorder="1" applyAlignment="1">
      <alignment horizontal="center"/>
    </xf>
    <xf numFmtId="173" fontId="4" fillId="0" borderId="13" xfId="8" applyFont="1" applyBorder="1"/>
    <xf numFmtId="174" fontId="4" fillId="0" borderId="13" xfId="8" applyNumberFormat="1" applyFont="1" applyBorder="1"/>
    <xf numFmtId="174" fontId="4" fillId="0" borderId="13" xfId="4" applyNumberFormat="1" applyBorder="1"/>
    <xf numFmtId="0" fontId="4" fillId="17" borderId="13" xfId="4" applyFill="1" applyBorder="1"/>
    <xf numFmtId="0" fontId="4" fillId="0" borderId="15" xfId="4" applyBorder="1"/>
    <xf numFmtId="0" fontId="4" fillId="0" borderId="14" xfId="4" applyBorder="1"/>
    <xf numFmtId="174" fontId="4" fillId="0" borderId="15" xfId="4" applyNumberFormat="1" applyBorder="1"/>
    <xf numFmtId="174" fontId="4" fillId="0" borderId="17" xfId="8" applyNumberFormat="1" applyFont="1" applyBorder="1"/>
    <xf numFmtId="174" fontId="4" fillId="0" borderId="17" xfId="4" applyNumberFormat="1" applyBorder="1"/>
    <xf numFmtId="0" fontId="17" fillId="17" borderId="15" xfId="4" applyFont="1" applyFill="1" applyBorder="1"/>
    <xf numFmtId="0" fontId="4" fillId="17" borderId="17" xfId="4" applyFill="1" applyBorder="1"/>
    <xf numFmtId="174" fontId="17" fillId="0" borderId="15" xfId="4" applyNumberFormat="1" applyFont="1" applyBorder="1"/>
    <xf numFmtId="169" fontId="0" fillId="0" borderId="13" xfId="0" applyNumberFormat="1" applyFont="1" applyBorder="1" applyAlignment="1"/>
    <xf numFmtId="0" fontId="5" fillId="2" borderId="12" xfId="0" applyFont="1" applyFill="1" applyBorder="1" applyAlignment="1">
      <alignment horizontal="center" vertical="center" wrapText="1"/>
    </xf>
    <xf numFmtId="9" fontId="0" fillId="0" borderId="13" xfId="0" applyNumberFormat="1" applyFont="1" applyBorder="1" applyAlignment="1">
      <alignment horizontal="center"/>
    </xf>
    <xf numFmtId="0" fontId="0" fillId="0" borderId="13" xfId="0" applyFont="1" applyBorder="1" applyAlignment="1">
      <alignment horizontal="center"/>
    </xf>
    <xf numFmtId="9" fontId="0" fillId="0" borderId="13" xfId="1" applyFont="1" applyBorder="1" applyAlignment="1">
      <alignment horizontal="center"/>
    </xf>
    <xf numFmtId="169" fontId="0" fillId="0" borderId="13" xfId="0" applyNumberFormat="1" applyFont="1" applyBorder="1" applyAlignment="1">
      <alignment horizontal="center" vertical="center"/>
    </xf>
    <xf numFmtId="0" fontId="28" fillId="0" borderId="12" xfId="0" applyFont="1" applyFill="1" applyBorder="1" applyAlignment="1">
      <alignment horizontal="center" vertical="center"/>
    </xf>
    <xf numFmtId="169" fontId="28" fillId="0" borderId="7" xfId="0" applyNumberFormat="1" applyFont="1" applyBorder="1" applyAlignment="1">
      <alignment horizontal="center" vertical="center"/>
    </xf>
    <xf numFmtId="0" fontId="3" fillId="17" borderId="13" xfId="4" applyFont="1" applyFill="1" applyBorder="1"/>
    <xf numFmtId="0" fontId="21" fillId="0" borderId="0" xfId="0" applyFont="1" applyAlignment="1"/>
    <xf numFmtId="169" fontId="19" fillId="15" borderId="12" xfId="0" applyNumberFormat="1" applyFont="1" applyFill="1" applyBorder="1" applyAlignment="1">
      <alignment horizontal="center" vertical="top"/>
    </xf>
    <xf numFmtId="170" fontId="0" fillId="0" borderId="0" xfId="0" applyNumberFormat="1" applyFont="1" applyAlignment="1"/>
    <xf numFmtId="174" fontId="4" fillId="0" borderId="16" xfId="8" applyNumberFormat="1" applyFont="1" applyBorder="1"/>
    <xf numFmtId="0" fontId="3" fillId="17" borderId="13" xfId="4" applyFont="1" applyFill="1" applyBorder="1" applyAlignment="1">
      <alignment horizontal="center"/>
    </xf>
    <xf numFmtId="0" fontId="3" fillId="17" borderId="17" xfId="4" applyFont="1" applyFill="1" applyBorder="1"/>
    <xf numFmtId="0" fontId="3" fillId="17" borderId="17" xfId="4" applyFont="1" applyFill="1" applyBorder="1" applyAlignment="1">
      <alignment horizontal="center"/>
    </xf>
    <xf numFmtId="0" fontId="17" fillId="18" borderId="15" xfId="4" applyFont="1" applyFill="1" applyBorder="1" applyAlignment="1">
      <alignment horizontal="center"/>
    </xf>
    <xf numFmtId="0" fontId="17" fillId="19" borderId="0" xfId="4" applyFont="1" applyFill="1"/>
    <xf numFmtId="0" fontId="29" fillId="20" borderId="22" xfId="4" applyFont="1" applyFill="1" applyBorder="1"/>
    <xf numFmtId="0" fontId="29" fillId="20" borderId="23" xfId="4" applyFont="1" applyFill="1" applyBorder="1" applyAlignment="1">
      <alignment horizontal="center"/>
    </xf>
    <xf numFmtId="0" fontId="17" fillId="21" borderId="0" xfId="4" applyFont="1" applyFill="1"/>
    <xf numFmtId="0" fontId="17" fillId="20" borderId="19" xfId="4" applyFont="1" applyFill="1" applyBorder="1"/>
    <xf numFmtId="0" fontId="17" fillId="21" borderId="24" xfId="4" applyFont="1" applyFill="1" applyBorder="1"/>
    <xf numFmtId="0" fontId="3" fillId="0" borderId="22" xfId="4" applyFont="1" applyBorder="1"/>
    <xf numFmtId="174" fontId="4" fillId="0" borderId="16" xfId="4" applyNumberFormat="1" applyBorder="1"/>
    <xf numFmtId="174" fontId="17" fillId="0" borderId="18" xfId="4" applyNumberFormat="1" applyFont="1" applyBorder="1"/>
    <xf numFmtId="0" fontId="0" fillId="0" borderId="1" xfId="0" applyBorder="1" applyAlignment="1">
      <alignment vertical="center" wrapText="1"/>
    </xf>
    <xf numFmtId="0" fontId="31" fillId="0" borderId="1" xfId="0" applyFont="1" applyBorder="1" applyAlignment="1">
      <alignment horizontal="center" vertical="center" wrapText="1"/>
    </xf>
    <xf numFmtId="166" fontId="0" fillId="0" borderId="0" xfId="17" applyFont="1" applyAlignment="1"/>
    <xf numFmtId="0" fontId="3" fillId="0" borderId="0" xfId="4" applyFont="1"/>
    <xf numFmtId="0" fontId="3" fillId="0" borderId="19" xfId="4" applyFont="1" applyBorder="1"/>
    <xf numFmtId="0" fontId="3" fillId="0" borderId="20" xfId="4" applyFont="1" applyBorder="1"/>
    <xf numFmtId="180" fontId="3" fillId="0" borderId="20" xfId="4" applyNumberFormat="1" applyFont="1" applyBorder="1"/>
    <xf numFmtId="180" fontId="3" fillId="0" borderId="21" xfId="4" applyNumberFormat="1" applyFont="1" applyBorder="1"/>
    <xf numFmtId="0" fontId="3" fillId="0" borderId="23" xfId="4" applyFont="1" applyBorder="1"/>
    <xf numFmtId="0" fontId="3" fillId="0" borderId="22" xfId="4" applyFont="1" applyBorder="1" applyAlignment="1">
      <alignment horizontal="center"/>
    </xf>
    <xf numFmtId="0" fontId="3" fillId="0" borderId="24" xfId="4" applyFont="1" applyBorder="1"/>
    <xf numFmtId="0" fontId="3" fillId="0" borderId="25" xfId="4" applyFont="1" applyBorder="1"/>
    <xf numFmtId="166" fontId="3" fillId="0" borderId="0" xfId="4" applyNumberFormat="1" applyFont="1"/>
    <xf numFmtId="0" fontId="3" fillId="21" borderId="25" xfId="4" applyFont="1" applyFill="1" applyBorder="1"/>
    <xf numFmtId="0" fontId="3" fillId="0" borderId="21" xfId="4" applyFont="1" applyBorder="1"/>
    <xf numFmtId="49" fontId="3" fillId="0" borderId="22" xfId="4" applyNumberFormat="1" applyFont="1" applyBorder="1"/>
    <xf numFmtId="0" fontId="3" fillId="22" borderId="13" xfId="4" applyFont="1" applyFill="1" applyBorder="1"/>
    <xf numFmtId="164" fontId="3" fillId="22" borderId="13" xfId="4" applyNumberFormat="1" applyFont="1" applyFill="1" applyBorder="1"/>
    <xf numFmtId="10" fontId="3" fillId="22" borderId="13" xfId="4" applyNumberFormat="1" applyFont="1" applyFill="1" applyBorder="1"/>
    <xf numFmtId="178" fontId="3" fillId="22" borderId="13" xfId="4" applyNumberFormat="1" applyFont="1" applyFill="1" applyBorder="1"/>
    <xf numFmtId="179" fontId="3" fillId="22" borderId="13" xfId="4" applyNumberFormat="1" applyFont="1" applyFill="1" applyBorder="1"/>
    <xf numFmtId="175" fontId="3" fillId="22" borderId="13" xfId="4" applyNumberFormat="1" applyFont="1" applyFill="1" applyBorder="1"/>
    <xf numFmtId="0" fontId="32" fillId="0" borderId="0" xfId="0" applyFont="1" applyAlignment="1"/>
    <xf numFmtId="165" fontId="32" fillId="0" borderId="25" xfId="7" applyFont="1" applyBorder="1"/>
    <xf numFmtId="165" fontId="32" fillId="0" borderId="0" xfId="7" applyFont="1"/>
    <xf numFmtId="165" fontId="32" fillId="0" borderId="0" xfId="7" applyFont="1" applyBorder="1"/>
    <xf numFmtId="165" fontId="32" fillId="0" borderId="23" xfId="7" applyFont="1" applyBorder="1"/>
    <xf numFmtId="166" fontId="32" fillId="0" borderId="0" xfId="5" applyFont="1" applyBorder="1"/>
    <xf numFmtId="164" fontId="32" fillId="0" borderId="0" xfId="5" applyNumberFormat="1" applyFont="1" applyBorder="1"/>
    <xf numFmtId="176" fontId="32" fillId="0" borderId="0" xfId="5" applyNumberFormat="1" applyFont="1" applyBorder="1"/>
    <xf numFmtId="166" fontId="32" fillId="0" borderId="23" xfId="5" applyFont="1" applyBorder="1"/>
    <xf numFmtId="166" fontId="32" fillId="21" borderId="25" xfId="5" applyFont="1" applyFill="1" applyBorder="1"/>
    <xf numFmtId="166" fontId="32" fillId="0" borderId="20" xfId="5" applyFont="1" applyBorder="1"/>
    <xf numFmtId="166" fontId="32" fillId="0" borderId="21" xfId="5" applyFont="1" applyBorder="1"/>
    <xf numFmtId="164" fontId="32" fillId="0" borderId="23" xfId="5" applyNumberFormat="1" applyFont="1" applyBorder="1"/>
    <xf numFmtId="166" fontId="32" fillId="0" borderId="0" xfId="5" applyFont="1"/>
    <xf numFmtId="9" fontId="32" fillId="22" borderId="13" xfId="6" applyNumberFormat="1" applyFont="1" applyFill="1" applyBorder="1"/>
    <xf numFmtId="177" fontId="32" fillId="22" borderId="13" xfId="6" applyNumberFormat="1" applyFont="1" applyFill="1" applyBorder="1"/>
    <xf numFmtId="9" fontId="32" fillId="0" borderId="0" xfId="5" applyNumberFormat="1" applyFont="1"/>
    <xf numFmtId="175" fontId="17" fillId="21" borderId="0" xfId="18" applyNumberFormat="1" applyFont="1" applyFill="1"/>
    <xf numFmtId="0" fontId="3" fillId="0" borderId="19" xfId="4" applyFont="1" applyBorder="1" applyAlignment="1">
      <alignment horizontal="center"/>
    </xf>
    <xf numFmtId="9" fontId="3" fillId="0" borderId="0" xfId="1" applyFont="1" applyBorder="1" applyAlignment="1">
      <alignment horizontal="center"/>
    </xf>
    <xf numFmtId="165" fontId="3" fillId="0" borderId="0" xfId="18" applyFont="1" applyBorder="1"/>
    <xf numFmtId="165" fontId="3" fillId="0" borderId="0" xfId="4" applyNumberFormat="1" applyFont="1" applyBorder="1"/>
    <xf numFmtId="165" fontId="3" fillId="0" borderId="23" xfId="4" applyNumberFormat="1" applyFont="1" applyBorder="1"/>
    <xf numFmtId="0" fontId="3" fillId="0" borderId="0" xfId="4" applyFont="1" applyBorder="1"/>
    <xf numFmtId="0" fontId="3" fillId="0" borderId="24" xfId="4" applyFont="1" applyBorder="1" applyAlignment="1">
      <alignment horizontal="center"/>
    </xf>
    <xf numFmtId="9" fontId="3" fillId="0" borderId="25" xfId="1" applyFont="1" applyBorder="1" applyAlignment="1">
      <alignment horizontal="center"/>
    </xf>
    <xf numFmtId="165" fontId="32" fillId="0" borderId="25" xfId="18" applyFont="1" applyBorder="1"/>
    <xf numFmtId="165" fontId="3" fillId="0" borderId="25" xfId="18" applyFont="1" applyBorder="1"/>
    <xf numFmtId="165" fontId="3" fillId="0" borderId="26" xfId="18" applyFont="1" applyBorder="1"/>
    <xf numFmtId="0" fontId="30" fillId="20" borderId="0" xfId="4" applyFont="1" applyFill="1" applyBorder="1"/>
    <xf numFmtId="0" fontId="29" fillId="20" borderId="0" xfId="4" applyFont="1" applyFill="1" applyBorder="1" applyAlignment="1">
      <alignment horizontal="center"/>
    </xf>
    <xf numFmtId="9" fontId="3" fillId="0" borderId="0" xfId="4" applyNumberFormat="1" applyFont="1" applyBorder="1" applyAlignment="1">
      <alignment horizontal="center"/>
    </xf>
    <xf numFmtId="166" fontId="3" fillId="0" borderId="0" xfId="17" applyFont="1" applyBorder="1"/>
    <xf numFmtId="166" fontId="3" fillId="0" borderId="23" xfId="17" applyFont="1" applyBorder="1"/>
    <xf numFmtId="175" fontId="3" fillId="0" borderId="0" xfId="4" applyNumberFormat="1" applyFont="1" applyBorder="1"/>
    <xf numFmtId="175" fontId="3" fillId="0" borderId="23" xfId="4" applyNumberFormat="1" applyFont="1" applyBorder="1"/>
    <xf numFmtId="176" fontId="17" fillId="0" borderId="26" xfId="4" applyNumberFormat="1" applyFont="1" applyFill="1" applyBorder="1"/>
    <xf numFmtId="0" fontId="5" fillId="2" borderId="11"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0" fillId="0" borderId="13" xfId="0" applyFont="1" applyBorder="1" applyAlignment="1"/>
    <xf numFmtId="0" fontId="0" fillId="0" borderId="13" xfId="0" applyFont="1" applyBorder="1" applyAlignment="1">
      <alignment horizontal="center" vertical="center"/>
    </xf>
    <xf numFmtId="169" fontId="0" fillId="0" borderId="13" xfId="0" applyNumberFormat="1" applyFont="1" applyFill="1" applyBorder="1" applyAlignment="1"/>
    <xf numFmtId="0" fontId="6" fillId="0" borderId="13" xfId="0" applyFont="1" applyBorder="1" applyAlignment="1">
      <alignment horizontal="center" vertical="center"/>
    </xf>
    <xf numFmtId="0" fontId="21" fillId="16" borderId="1" xfId="0" applyFont="1" applyFill="1" applyBorder="1" applyAlignment="1">
      <alignment horizontal="left"/>
    </xf>
    <xf numFmtId="0" fontId="27" fillId="0" borderId="4" xfId="0" applyFont="1" applyBorder="1" applyAlignment="1">
      <alignment horizontal="center"/>
    </xf>
    <xf numFmtId="0" fontId="3" fillId="17" borderId="16" xfId="4" applyFont="1" applyFill="1" applyBorder="1" applyAlignment="1">
      <alignment horizontal="center"/>
    </xf>
    <xf numFmtId="0" fontId="21" fillId="0" borderId="13" xfId="0" applyFont="1" applyBorder="1" applyAlignment="1">
      <alignment horizontal="center" vertical="center"/>
    </xf>
    <xf numFmtId="0" fontId="27" fillId="0" borderId="1" xfId="0" applyFont="1" applyBorder="1" applyAlignment="1">
      <alignment horizontal="center"/>
    </xf>
    <xf numFmtId="0" fontId="21" fillId="0" borderId="5" xfId="0" applyFont="1" applyBorder="1" applyAlignment="1">
      <alignment wrapText="1"/>
    </xf>
    <xf numFmtId="0" fontId="21" fillId="0" borderId="4" xfId="0" applyFont="1" applyBorder="1" applyAlignment="1">
      <alignment horizontal="center" vertical="center"/>
    </xf>
    <xf numFmtId="0" fontId="21" fillId="0" borderId="1" xfId="0" applyFont="1" applyBorder="1" applyAlignment="1">
      <alignment vertical="center" wrapText="1"/>
    </xf>
    <xf numFmtId="0" fontId="27" fillId="0" borderId="4" xfId="0" applyFont="1" applyBorder="1" applyAlignment="1">
      <alignment horizontal="center" vertical="center"/>
    </xf>
    <xf numFmtId="0" fontId="31" fillId="0" borderId="1" xfId="0" applyFont="1" applyBorder="1" applyAlignment="1">
      <alignment wrapText="1"/>
    </xf>
    <xf numFmtId="0" fontId="21" fillId="0" borderId="1" xfId="0" applyFont="1" applyBorder="1" applyAlignment="1"/>
    <xf numFmtId="0" fontId="27" fillId="0" borderId="1" xfId="0" applyFont="1" applyBorder="1" applyAlignment="1"/>
    <xf numFmtId="0" fontId="0" fillId="0" borderId="0" xfId="0"/>
    <xf numFmtId="0" fontId="0" fillId="23" borderId="13" xfId="0" applyFill="1" applyBorder="1" applyAlignment="1">
      <alignment horizontal="center"/>
    </xf>
    <xf numFmtId="0" fontId="33" fillId="21" borderId="13" xfId="0" applyFont="1" applyFill="1" applyBorder="1" applyAlignment="1">
      <alignment horizontal="center"/>
    </xf>
    <xf numFmtId="0" fontId="0" fillId="23" borderId="13" xfId="0" applyFill="1" applyBorder="1"/>
    <xf numFmtId="174" fontId="0" fillId="0" borderId="13" xfId="0" applyNumberFormat="1" applyBorder="1"/>
    <xf numFmtId="10" fontId="33" fillId="0" borderId="13" xfId="1" applyNumberFormat="1" applyFont="1" applyFill="1" applyBorder="1"/>
    <xf numFmtId="0" fontId="0" fillId="0" borderId="13" xfId="0" applyBorder="1"/>
    <xf numFmtId="165" fontId="33" fillId="0" borderId="13" xfId="18" applyFont="1" applyFill="1" applyBorder="1"/>
    <xf numFmtId="174" fontId="0" fillId="0" borderId="13" xfId="19" applyNumberFormat="1" applyFont="1" applyBorder="1"/>
    <xf numFmtId="9" fontId="33" fillId="0" borderId="13" xfId="1" applyFont="1" applyFill="1" applyBorder="1"/>
    <xf numFmtId="180" fontId="33" fillId="0" borderId="13" xfId="1" applyNumberFormat="1" applyFont="1" applyFill="1" applyBorder="1"/>
    <xf numFmtId="174" fontId="33" fillId="0" borderId="13" xfId="1" applyNumberFormat="1" applyFont="1" applyFill="1" applyBorder="1"/>
    <xf numFmtId="0" fontId="17" fillId="27" borderId="13" xfId="0" applyFont="1" applyFill="1" applyBorder="1"/>
    <xf numFmtId="174" fontId="17" fillId="0" borderId="13" xfId="0" applyNumberFormat="1" applyFont="1" applyBorder="1"/>
    <xf numFmtId="167" fontId="0" fillId="0" borderId="13" xfId="19" applyFont="1" applyBorder="1"/>
    <xf numFmtId="174" fontId="17" fillId="0" borderId="13" xfId="19" applyNumberFormat="1" applyFont="1" applyBorder="1"/>
    <xf numFmtId="0" fontId="0" fillId="27" borderId="13" xfId="0" applyFill="1" applyBorder="1" applyAlignment="1">
      <alignment horizontal="center"/>
    </xf>
    <xf numFmtId="169" fontId="6" fillId="0" borderId="0" xfId="0" applyNumberFormat="1" applyFont="1"/>
    <xf numFmtId="174" fontId="0" fillId="0" borderId="0" xfId="0" applyNumberFormat="1"/>
    <xf numFmtId="172" fontId="0" fillId="0" borderId="0" xfId="0" applyNumberFormat="1"/>
    <xf numFmtId="181" fontId="0" fillId="0" borderId="0" xfId="0" applyNumberFormat="1"/>
    <xf numFmtId="9" fontId="0" fillId="0" borderId="0" xfId="0" applyNumberFormat="1"/>
    <xf numFmtId="0" fontId="3" fillId="0" borderId="13" xfId="4" applyFont="1" applyFill="1" applyBorder="1"/>
    <xf numFmtId="166" fontId="32" fillId="0" borderId="0" xfId="5" applyFont="1" applyFill="1"/>
    <xf numFmtId="2" fontId="3" fillId="0" borderId="13" xfId="4" applyNumberFormat="1" applyFont="1" applyFill="1" applyBorder="1"/>
    <xf numFmtId="165" fontId="3" fillId="0" borderId="13" xfId="4" applyNumberFormat="1" applyFont="1" applyFill="1" applyBorder="1"/>
    <xf numFmtId="176" fontId="3" fillId="0" borderId="13" xfId="4" applyNumberFormat="1" applyFont="1" applyFill="1" applyBorder="1"/>
    <xf numFmtId="0" fontId="2" fillId="0" borderId="13" xfId="4" applyFont="1" applyFill="1" applyBorder="1"/>
    <xf numFmtId="174" fontId="0" fillId="0" borderId="0" xfId="0" applyNumberFormat="1" applyFont="1" applyAlignment="1"/>
    <xf numFmtId="165" fontId="6" fillId="0" borderId="0" xfId="18" applyFont="1"/>
    <xf numFmtId="174" fontId="17" fillId="0" borderId="37" xfId="19" applyNumberFormat="1" applyFont="1" applyFill="1" applyBorder="1"/>
    <xf numFmtId="0" fontId="2" fillId="0" borderId="22" xfId="4" applyFont="1" applyBorder="1" applyAlignment="1">
      <alignment horizontal="center"/>
    </xf>
    <xf numFmtId="180" fontId="3" fillId="0" borderId="0" xfId="4" applyNumberFormat="1" applyFont="1" applyBorder="1"/>
    <xf numFmtId="165" fontId="0" fillId="0" borderId="0" xfId="18" applyFont="1" applyAlignment="1"/>
    <xf numFmtId="169" fontId="34" fillId="0" borderId="13" xfId="0" applyNumberFormat="1" applyFont="1" applyBorder="1" applyAlignment="1">
      <alignment horizontal="center" vertical="center"/>
    </xf>
    <xf numFmtId="0" fontId="35" fillId="13" borderId="13" xfId="0" applyFont="1" applyFill="1" applyBorder="1" applyAlignment="1">
      <alignment horizontal="center"/>
    </xf>
    <xf numFmtId="169" fontId="13" fillId="0" borderId="13" xfId="0" applyNumberFormat="1" applyFont="1" applyBorder="1" applyAlignment="1">
      <alignment horizontal="center"/>
    </xf>
    <xf numFmtId="169" fontId="15" fillId="0" borderId="13" xfId="0" applyNumberFormat="1" applyFont="1" applyBorder="1" applyAlignment="1">
      <alignment horizontal="center"/>
    </xf>
    <xf numFmtId="169" fontId="0" fillId="0" borderId="13" xfId="0" applyNumberFormat="1" applyFont="1" applyBorder="1" applyAlignment="1">
      <alignment horizontal="center"/>
    </xf>
    <xf numFmtId="165" fontId="32" fillId="0" borderId="0" xfId="18" applyFont="1" applyAlignment="1"/>
    <xf numFmtId="0" fontId="32" fillId="0" borderId="0" xfId="0" applyFont="1" applyAlignment="1">
      <alignment horizontal="center"/>
    </xf>
    <xf numFmtId="165" fontId="36" fillId="0" borderId="0" xfId="0" applyNumberFormat="1" applyFont="1" applyAlignment="1"/>
    <xf numFmtId="165" fontId="0" fillId="0" borderId="0" xfId="0" applyNumberFormat="1" applyFont="1" applyAlignment="1"/>
    <xf numFmtId="0" fontId="37" fillId="0" borderId="0" xfId="10" applyFont="1" applyAlignment="1">
      <alignment horizontal="center"/>
    </xf>
    <xf numFmtId="0" fontId="24" fillId="0" borderId="0" xfId="10"/>
    <xf numFmtId="172" fontId="24" fillId="0" borderId="0" xfId="10" applyNumberFormat="1"/>
    <xf numFmtId="172" fontId="0" fillId="0" borderId="0" xfId="20" applyFont="1"/>
    <xf numFmtId="172" fontId="0" fillId="0" borderId="0" xfId="20" applyFont="1" applyFill="1"/>
    <xf numFmtId="172" fontId="0" fillId="0" borderId="28" xfId="20" applyFont="1" applyBorder="1"/>
    <xf numFmtId="0" fontId="24" fillId="0" borderId="28" xfId="10" applyBorder="1"/>
    <xf numFmtId="172" fontId="0" fillId="14" borderId="0" xfId="20" applyFont="1" applyFill="1"/>
    <xf numFmtId="172" fontId="0" fillId="22" borderId="0" xfId="20" applyFont="1" applyFill="1"/>
    <xf numFmtId="172" fontId="37" fillId="0" borderId="0" xfId="10" applyNumberFormat="1" applyFont="1"/>
    <xf numFmtId="172" fontId="38" fillId="0" borderId="0" xfId="20" applyFont="1"/>
    <xf numFmtId="172" fontId="24" fillId="29" borderId="0" xfId="10" applyNumberFormat="1" applyFill="1"/>
    <xf numFmtId="172" fontId="38" fillId="0" borderId="0" xfId="20" applyFont="1" applyFill="1"/>
    <xf numFmtId="0" fontId="37" fillId="0" borderId="0" xfId="10" applyFont="1"/>
    <xf numFmtId="172" fontId="37" fillId="0" borderId="0" xfId="20" applyFont="1"/>
    <xf numFmtId="172" fontId="24" fillId="0" borderId="28" xfId="10" applyNumberFormat="1" applyBorder="1"/>
    <xf numFmtId="172" fontId="24" fillId="26" borderId="0" xfId="10" applyNumberFormat="1" applyFill="1"/>
    <xf numFmtId="172" fontId="24" fillId="30" borderId="0" xfId="10" applyNumberFormat="1" applyFill="1"/>
    <xf numFmtId="172" fontId="24" fillId="31" borderId="0" xfId="10" applyNumberFormat="1" applyFill="1"/>
    <xf numFmtId="172" fontId="0" fillId="31" borderId="0" xfId="20" applyFont="1" applyFill="1"/>
    <xf numFmtId="0" fontId="24" fillId="0" borderId="31" xfId="10" applyBorder="1"/>
    <xf numFmtId="172" fontId="24" fillId="0" borderId="31" xfId="10" applyNumberFormat="1" applyBorder="1"/>
    <xf numFmtId="172" fontId="24" fillId="32" borderId="0" xfId="10" applyNumberFormat="1" applyFill="1"/>
    <xf numFmtId="172" fontId="0" fillId="32" borderId="0" xfId="20" applyFont="1" applyFill="1"/>
    <xf numFmtId="172" fontId="38" fillId="32" borderId="0" xfId="20" applyFont="1" applyFill="1"/>
    <xf numFmtId="180" fontId="3" fillId="0" borderId="23" xfId="4" applyNumberFormat="1" applyFont="1" applyBorder="1"/>
    <xf numFmtId="176" fontId="32" fillId="0" borderId="23" xfId="5" applyNumberFormat="1" applyFont="1" applyBorder="1"/>
    <xf numFmtId="0" fontId="17" fillId="20" borderId="20" xfId="4" applyFont="1" applyFill="1" applyBorder="1"/>
    <xf numFmtId="165" fontId="17" fillId="20" borderId="20" xfId="18" applyFont="1" applyFill="1" applyBorder="1"/>
    <xf numFmtId="165" fontId="17" fillId="20" borderId="21" xfId="18" applyFont="1" applyFill="1" applyBorder="1"/>
    <xf numFmtId="165" fontId="32" fillId="21" borderId="25" xfId="18" applyFont="1" applyFill="1" applyBorder="1"/>
    <xf numFmtId="165" fontId="32" fillId="21" borderId="26" xfId="18" applyFont="1" applyFill="1" applyBorder="1"/>
    <xf numFmtId="169" fontId="19" fillId="15" borderId="11" xfId="0" applyNumberFormat="1" applyFont="1" applyFill="1" applyBorder="1" applyAlignment="1">
      <alignment horizontal="center" vertical="center" wrapText="1"/>
    </xf>
    <xf numFmtId="170" fontId="19" fillId="15" borderId="11" xfId="0" applyNumberFormat="1" applyFont="1" applyFill="1" applyBorder="1" applyAlignment="1">
      <alignment horizontal="center" vertical="center" wrapText="1"/>
    </xf>
    <xf numFmtId="169" fontId="20" fillId="16" borderId="13" xfId="0" applyNumberFormat="1" applyFont="1" applyFill="1" applyBorder="1" applyAlignment="1">
      <alignment horizontal="right" vertical="top"/>
    </xf>
    <xf numFmtId="170" fontId="20" fillId="16" borderId="13" xfId="0" applyNumberFormat="1" applyFont="1" applyFill="1" applyBorder="1" applyAlignment="1">
      <alignment horizontal="right" vertical="top"/>
    </xf>
    <xf numFmtId="0" fontId="20" fillId="0" borderId="13" xfId="0" applyFont="1" applyBorder="1" applyAlignment="1">
      <alignment horizontal="center"/>
    </xf>
    <xf numFmtId="0" fontId="20" fillId="0" borderId="13" xfId="0" applyFont="1" applyBorder="1" applyAlignment="1"/>
    <xf numFmtId="169" fontId="20" fillId="0" borderId="13" xfId="0" applyNumberFormat="1" applyFont="1" applyBorder="1" applyAlignment="1"/>
    <xf numFmtId="170" fontId="20" fillId="0" borderId="13" xfId="0" applyNumberFormat="1" applyFont="1" applyBorder="1" applyAlignment="1"/>
    <xf numFmtId="0" fontId="5" fillId="0" borderId="6" xfId="0" applyFont="1" applyBorder="1" applyAlignment="1">
      <alignment vertical="center"/>
    </xf>
    <xf numFmtId="0" fontId="7" fillId="0" borderId="7" xfId="0" applyFont="1" applyBorder="1" applyAlignment="1"/>
    <xf numFmtId="169" fontId="7" fillId="0" borderId="5" xfId="0" applyNumberFormat="1" applyFont="1" applyBorder="1" applyAlignment="1"/>
    <xf numFmtId="0" fontId="20" fillId="0" borderId="0" xfId="0" applyFont="1" applyAlignment="1">
      <alignment vertical="center"/>
    </xf>
    <xf numFmtId="0" fontId="19" fillId="6" borderId="13" xfId="0" applyFont="1" applyFill="1" applyBorder="1" applyAlignment="1">
      <alignment horizontal="center" vertical="center"/>
    </xf>
    <xf numFmtId="0" fontId="19" fillId="6" borderId="13" xfId="0" applyFont="1" applyFill="1" applyBorder="1" applyAlignment="1">
      <alignment vertical="center"/>
    </xf>
    <xf numFmtId="169" fontId="20" fillId="0" borderId="13" xfId="0" applyNumberFormat="1" applyFont="1" applyBorder="1" applyAlignment="1">
      <alignment vertical="center"/>
    </xf>
    <xf numFmtId="0" fontId="35" fillId="13" borderId="13" xfId="0" applyFont="1" applyFill="1" applyBorder="1" applyAlignment="1">
      <alignment horizontal="center" wrapText="1"/>
    </xf>
    <xf numFmtId="174" fontId="4" fillId="0" borderId="13" xfId="8" applyNumberFormat="1" applyFont="1" applyFill="1" applyBorder="1"/>
    <xf numFmtId="174" fontId="4" fillId="0" borderId="17" xfId="8" applyNumberFormat="1" applyFont="1" applyFill="1" applyBorder="1"/>
    <xf numFmtId="174" fontId="4" fillId="0" borderId="15" xfId="4" applyNumberFormat="1" applyFill="1" applyBorder="1"/>
    <xf numFmtId="174" fontId="4" fillId="0" borderId="13" xfId="4" applyNumberFormat="1" applyFill="1" applyBorder="1"/>
    <xf numFmtId="174" fontId="4" fillId="0" borderId="16" xfId="8" applyNumberFormat="1" applyFont="1" applyFill="1" applyBorder="1"/>
    <xf numFmtId="173" fontId="4" fillId="0" borderId="13" xfId="8" applyFont="1" applyFill="1" applyBorder="1"/>
    <xf numFmtId="0" fontId="4" fillId="0" borderId="32" xfId="4" applyBorder="1"/>
    <xf numFmtId="0" fontId="0" fillId="0" borderId="0" xfId="0" applyFont="1" applyBorder="1" applyAlignment="1"/>
    <xf numFmtId="0" fontId="4" fillId="0" borderId="28" xfId="4" applyBorder="1"/>
    <xf numFmtId="0" fontId="0" fillId="0" borderId="33" xfId="0" applyFont="1" applyBorder="1" applyAlignment="1"/>
    <xf numFmtId="0" fontId="1" fillId="22" borderId="13" xfId="4" applyFont="1" applyFill="1" applyBorder="1"/>
    <xf numFmtId="9" fontId="0" fillId="0" borderId="0" xfId="1" applyFont="1"/>
    <xf numFmtId="165" fontId="0" fillId="0" borderId="0" xfId="18" applyFont="1"/>
    <xf numFmtId="0" fontId="33" fillId="26" borderId="13" xfId="0" applyFont="1" applyFill="1" applyBorder="1" applyAlignment="1">
      <alignment horizontal="center"/>
    </xf>
    <xf numFmtId="0" fontId="34" fillId="3" borderId="8" xfId="0" applyFont="1" applyFill="1" applyBorder="1" applyAlignment="1">
      <alignment horizontal="center"/>
    </xf>
    <xf numFmtId="0" fontId="34" fillId="3" borderId="3" xfId="0" applyFont="1" applyFill="1" applyBorder="1" applyAlignment="1">
      <alignment horizontal="center"/>
    </xf>
    <xf numFmtId="0" fontId="34" fillId="3" borderId="2" xfId="0" applyFont="1" applyFill="1" applyBorder="1" applyAlignment="1">
      <alignment horizontal="center"/>
    </xf>
    <xf numFmtId="0" fontId="39" fillId="4" borderId="8" xfId="0" applyFont="1" applyFill="1" applyBorder="1" applyAlignment="1">
      <alignment horizontal="center"/>
    </xf>
    <xf numFmtId="0" fontId="39" fillId="4" borderId="3" xfId="0" applyFont="1" applyFill="1" applyBorder="1" applyAlignment="1">
      <alignment horizontal="center"/>
    </xf>
    <xf numFmtId="0" fontId="39" fillId="4" borderId="2" xfId="0" applyFont="1" applyFill="1" applyBorder="1" applyAlignment="1">
      <alignment horizontal="center"/>
    </xf>
    <xf numFmtId="0" fontId="10" fillId="0" borderId="8" xfId="0" applyFont="1" applyBorder="1" applyAlignment="1">
      <alignment horizontal="center"/>
    </xf>
    <xf numFmtId="0" fontId="7" fillId="0" borderId="3" xfId="0" applyFont="1" applyBorder="1"/>
    <xf numFmtId="0" fontId="7" fillId="0" borderId="2" xfId="0" applyFont="1" applyBorder="1"/>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12" fillId="6" borderId="3" xfId="0" applyFont="1" applyFill="1" applyBorder="1" applyAlignment="1">
      <alignment horizontal="center" vertical="center"/>
    </xf>
    <xf numFmtId="0" fontId="14" fillId="9" borderId="8" xfId="0" applyFont="1" applyFill="1" applyBorder="1" applyAlignment="1">
      <alignment horizontal="center"/>
    </xf>
    <xf numFmtId="0" fontId="14" fillId="11" borderId="11" xfId="0" applyFont="1" applyFill="1" applyBorder="1" applyAlignment="1">
      <alignment horizontal="center" vertical="center"/>
    </xf>
    <xf numFmtId="0" fontId="7" fillId="0" borderId="4" xfId="0" applyFont="1" applyBorder="1"/>
    <xf numFmtId="169" fontId="14" fillId="0" borderId="12" xfId="0" applyNumberFormat="1" applyFont="1" applyBorder="1" applyAlignment="1">
      <alignment horizontal="center" vertical="center"/>
    </xf>
    <xf numFmtId="0" fontId="13" fillId="7" borderId="8" xfId="0" applyFont="1" applyFill="1" applyBorder="1" applyAlignment="1">
      <alignment horizontal="left" vertical="center"/>
    </xf>
    <xf numFmtId="0" fontId="14" fillId="7" borderId="9" xfId="0" applyFont="1" applyFill="1" applyBorder="1" applyAlignment="1">
      <alignment horizontal="center" vertical="center"/>
    </xf>
    <xf numFmtId="0" fontId="7" fillId="0" borderId="10" xfId="0" applyFont="1" applyBorder="1"/>
    <xf numFmtId="0" fontId="7" fillId="0" borderId="6" xfId="0" applyFont="1" applyBorder="1"/>
    <xf numFmtId="0" fontId="7" fillId="0" borderId="5" xfId="0" applyFont="1" applyBorder="1"/>
    <xf numFmtId="0" fontId="14" fillId="11" borderId="9" xfId="0" applyFont="1" applyFill="1" applyBorder="1" applyAlignment="1">
      <alignment horizontal="center" vertical="center"/>
    </xf>
    <xf numFmtId="0" fontId="13" fillId="0" borderId="8" xfId="0" applyFont="1" applyBorder="1" applyAlignment="1">
      <alignment horizontal="center"/>
    </xf>
    <xf numFmtId="0" fontId="16" fillId="12" borderId="8" xfId="0" applyFont="1" applyFill="1" applyBorder="1" applyAlignment="1">
      <alignment horizontal="center"/>
    </xf>
    <xf numFmtId="0" fontId="16" fillId="0" borderId="8" xfId="0" applyFont="1" applyBorder="1" applyAlignment="1"/>
    <xf numFmtId="0" fontId="14" fillId="13" borderId="8" xfId="0" applyFont="1" applyFill="1" applyBorder="1" applyAlignment="1">
      <alignment horizontal="center" vertical="center"/>
    </xf>
    <xf numFmtId="0" fontId="7" fillId="0" borderId="3" xfId="0" applyFont="1" applyBorder="1" applyAlignment="1">
      <alignment vertical="center"/>
    </xf>
    <xf numFmtId="0" fontId="13" fillId="0" borderId="6" xfId="0" applyFont="1" applyBorder="1" applyAlignment="1">
      <alignment horizontal="center"/>
    </xf>
    <xf numFmtId="0" fontId="7" fillId="0" borderId="7" xfId="0" applyFont="1" applyBorder="1"/>
    <xf numFmtId="0" fontId="36" fillId="0" borderId="31" xfId="0" applyFont="1" applyBorder="1" applyAlignment="1">
      <alignment horizontal="center"/>
    </xf>
    <xf numFmtId="0" fontId="33" fillId="26" borderId="34" xfId="0" applyFont="1" applyFill="1" applyBorder="1" applyAlignment="1">
      <alignment horizontal="center"/>
    </xf>
    <xf numFmtId="0" fontId="33" fillId="26" borderId="35" xfId="0" applyFont="1" applyFill="1" applyBorder="1" applyAlignment="1">
      <alignment horizontal="center"/>
    </xf>
    <xf numFmtId="0" fontId="33" fillId="26" borderId="36" xfId="0" applyFont="1" applyFill="1" applyBorder="1" applyAlignment="1">
      <alignment horizontal="center"/>
    </xf>
    <xf numFmtId="0" fontId="26" fillId="0" borderId="28" xfId="4" applyFont="1" applyFill="1" applyBorder="1" applyAlignment="1">
      <alignment horizontal="center" vertical="center"/>
    </xf>
    <xf numFmtId="0" fontId="26" fillId="0" borderId="29" xfId="4" applyFont="1" applyFill="1" applyBorder="1" applyAlignment="1">
      <alignment horizontal="center" vertical="center"/>
    </xf>
    <xf numFmtId="0" fontId="26" fillId="0" borderId="31" xfId="4" applyFont="1" applyFill="1" applyBorder="1" applyAlignment="1">
      <alignment horizontal="center" vertical="center"/>
    </xf>
    <xf numFmtId="0" fontId="26" fillId="0" borderId="32" xfId="4" applyFont="1" applyFill="1" applyBorder="1" applyAlignment="1">
      <alignment horizontal="center" vertical="center"/>
    </xf>
    <xf numFmtId="0" fontId="26" fillId="23" borderId="14" xfId="0" applyFont="1" applyFill="1" applyBorder="1" applyAlignment="1">
      <alignment horizontal="center" vertical="center"/>
    </xf>
    <xf numFmtId="0" fontId="26" fillId="23" borderId="28" xfId="0" applyFont="1" applyFill="1" applyBorder="1" applyAlignment="1">
      <alignment horizontal="center" vertical="center"/>
    </xf>
    <xf numFmtId="0" fontId="26" fillId="23" borderId="29" xfId="0" applyFont="1" applyFill="1" applyBorder="1" applyAlignment="1">
      <alignment horizontal="center" vertical="center"/>
    </xf>
    <xf numFmtId="0" fontId="26" fillId="23" borderId="30" xfId="0" applyFont="1" applyFill="1" applyBorder="1" applyAlignment="1">
      <alignment horizontal="center" vertical="center"/>
    </xf>
    <xf numFmtId="0" fontId="26" fillId="23" borderId="31" xfId="0" applyFont="1" applyFill="1" applyBorder="1" applyAlignment="1">
      <alignment horizontal="center" vertical="center"/>
    </xf>
    <xf numFmtId="0" fontId="26" fillId="23" borderId="32" xfId="0" applyFont="1" applyFill="1" applyBorder="1" applyAlignment="1">
      <alignment horizontal="center" vertical="center"/>
    </xf>
    <xf numFmtId="0" fontId="33" fillId="24" borderId="33" xfId="0" applyFont="1" applyFill="1" applyBorder="1" applyAlignment="1">
      <alignment horizontal="center" vertical="center"/>
    </xf>
    <xf numFmtId="0" fontId="33" fillId="24" borderId="0" xfId="0" applyFont="1" applyFill="1" applyAlignment="1">
      <alignment horizontal="center" vertical="center"/>
    </xf>
    <xf numFmtId="0" fontId="33" fillId="25" borderId="30" xfId="0" applyFont="1" applyFill="1" applyBorder="1" applyAlignment="1">
      <alignment horizontal="center"/>
    </xf>
    <xf numFmtId="0" fontId="33" fillId="25" borderId="31" xfId="0" applyFont="1" applyFill="1" applyBorder="1" applyAlignment="1">
      <alignment horizontal="center"/>
    </xf>
    <xf numFmtId="0" fontId="17" fillId="17" borderId="13" xfId="0" applyFont="1" applyFill="1" applyBorder="1" applyAlignment="1">
      <alignment horizontal="center"/>
    </xf>
    <xf numFmtId="0" fontId="33" fillId="21" borderId="34" xfId="0" applyFont="1" applyFill="1" applyBorder="1" applyAlignment="1">
      <alignment horizontal="center"/>
    </xf>
    <xf numFmtId="0" fontId="33" fillId="21" borderId="35" xfId="0" applyFont="1" applyFill="1" applyBorder="1" applyAlignment="1">
      <alignment horizontal="center"/>
    </xf>
    <xf numFmtId="0" fontId="33" fillId="21" borderId="36" xfId="0" applyFont="1" applyFill="1" applyBorder="1" applyAlignment="1">
      <alignment horizontal="center"/>
    </xf>
    <xf numFmtId="0" fontId="33" fillId="25" borderId="34" xfId="0" applyFont="1" applyFill="1" applyBorder="1" applyAlignment="1">
      <alignment horizontal="center"/>
    </xf>
    <xf numFmtId="0" fontId="33" fillId="25" borderId="35" xfId="0" applyFont="1" applyFill="1" applyBorder="1" applyAlignment="1">
      <alignment horizontal="center"/>
    </xf>
    <xf numFmtId="0" fontId="0" fillId="0" borderId="0" xfId="0" applyAlignment="1">
      <alignment horizontal="center"/>
    </xf>
    <xf numFmtId="0" fontId="33" fillId="26" borderId="13" xfId="0" applyFont="1" applyFill="1" applyBorder="1" applyAlignment="1">
      <alignment horizontal="center"/>
    </xf>
    <xf numFmtId="0" fontId="0" fillId="28" borderId="13" xfId="0" applyFill="1" applyBorder="1" applyAlignment="1">
      <alignment horizontal="center"/>
    </xf>
    <xf numFmtId="0" fontId="26" fillId="18" borderId="13" xfId="4" applyFont="1" applyFill="1" applyBorder="1" applyAlignment="1">
      <alignment horizontal="center" vertical="center"/>
    </xf>
    <xf numFmtId="0" fontId="5" fillId="0" borderId="13" xfId="0" applyFont="1" applyBorder="1" applyAlignment="1">
      <alignment horizontal="center" vertical="center"/>
    </xf>
    <xf numFmtId="0" fontId="7" fillId="0" borderId="13" xfId="0" applyFont="1" applyBorder="1"/>
  </cellXfs>
  <cellStyles count="21">
    <cellStyle name="Comma 2" xfId="14"/>
    <cellStyle name="Currency [0] 2" xfId="12"/>
    <cellStyle name="Currency 2" xfId="15"/>
    <cellStyle name="Hyperlink 2" xfId="13"/>
    <cellStyle name="Millares [0]" xfId="17" builtinId="6"/>
    <cellStyle name="Millares [0] 2" xfId="5"/>
    <cellStyle name="Moneda" xfId="19" builtinId="4"/>
    <cellStyle name="Moneda [0]" xfId="18" builtinId="7"/>
    <cellStyle name="Moneda [0] 2" xfId="7"/>
    <cellStyle name="Moneda [0] 3" xfId="16"/>
    <cellStyle name="Moneda [0] 4" xfId="20"/>
    <cellStyle name="Moneda 2" xfId="6"/>
    <cellStyle name="Moneda 3" xfId="8"/>
    <cellStyle name="Normal" xfId="0" builtinId="0"/>
    <cellStyle name="Normal 2" xfId="2"/>
    <cellStyle name="Normal 2 2" xfId="10"/>
    <cellStyle name="Normal 3" xfId="3"/>
    <cellStyle name="Normal 4" xfId="4"/>
    <cellStyle name="Percent 2" xfId="11"/>
    <cellStyle name="Porcentaje 2" xfId="9"/>
    <cellStyle name="Porcentual"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milia/AppData/Roaming/Microsoft/Excel/Proyeccion%20Financiera%20Empresa%20ejemplo%20(version%201).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OMINA"/>
      <sheetName val="Costo produccion"/>
      <sheetName val="Prestamo"/>
      <sheetName val="Balance general 5 años"/>
      <sheetName val="FLUJO DE CAJA"/>
      <sheetName val="INVERSION INICIAL"/>
      <sheetName val="Hoja2"/>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outlinePr summaryBelow="0" summaryRight="0"/>
  </sheetPr>
  <dimension ref="A1:Z1000"/>
  <sheetViews>
    <sheetView workbookViewId="0">
      <pane ySplit="1" topLeftCell="A2" activePane="bottomLeft" state="frozen"/>
      <selection pane="bottomLeft" activeCell="C37" sqref="C37"/>
    </sheetView>
  </sheetViews>
  <sheetFormatPr baseColWidth="10" defaultColWidth="14.42578125" defaultRowHeight="15.75" customHeight="1"/>
  <cols>
    <col min="1" max="1" width="26.7109375" customWidth="1"/>
    <col min="2" max="2" width="85.140625" customWidth="1"/>
    <col min="3" max="3" width="12.85546875" customWidth="1"/>
    <col min="4" max="4" width="14.7109375" customWidth="1"/>
  </cols>
  <sheetData>
    <row r="1" spans="1:26" ht="12.75">
      <c r="A1" s="1" t="s">
        <v>0</v>
      </c>
      <c r="B1" s="2" t="s">
        <v>1</v>
      </c>
      <c r="C1" s="2" t="s">
        <v>2</v>
      </c>
      <c r="D1" s="3" t="s">
        <v>3</v>
      </c>
      <c r="E1" s="1" t="s">
        <v>4</v>
      </c>
      <c r="F1" s="4"/>
      <c r="G1" s="4"/>
      <c r="H1" s="4"/>
      <c r="I1" s="4"/>
      <c r="J1" s="4"/>
      <c r="K1" s="4"/>
      <c r="L1" s="4"/>
      <c r="M1" s="4"/>
      <c r="N1" s="4"/>
      <c r="O1" s="4"/>
      <c r="P1" s="4"/>
      <c r="Q1" s="4"/>
      <c r="R1" s="4"/>
      <c r="S1" s="4"/>
      <c r="T1" s="4"/>
      <c r="U1" s="4"/>
      <c r="V1" s="4"/>
      <c r="W1" s="4"/>
      <c r="X1" s="4"/>
      <c r="Y1" s="4"/>
      <c r="Z1" s="4"/>
    </row>
    <row r="2" spans="1:26" ht="12.75">
      <c r="A2" s="5" t="s">
        <v>5</v>
      </c>
      <c r="B2" s="6"/>
      <c r="C2" s="295" t="s">
        <v>5</v>
      </c>
      <c r="D2" s="296"/>
      <c r="E2" s="297"/>
      <c r="F2" s="4"/>
      <c r="G2" s="4"/>
      <c r="H2" s="4"/>
      <c r="I2" s="4"/>
      <c r="J2" s="4"/>
      <c r="K2" s="4"/>
      <c r="L2" s="4"/>
      <c r="M2" s="4"/>
      <c r="N2" s="4"/>
      <c r="O2" s="4"/>
      <c r="P2" s="4"/>
      <c r="Q2" s="4"/>
      <c r="R2" s="4"/>
      <c r="S2" s="4"/>
      <c r="T2" s="4"/>
      <c r="U2" s="4"/>
      <c r="V2" s="4"/>
      <c r="W2" s="4"/>
      <c r="X2" s="4"/>
      <c r="Y2" s="4"/>
      <c r="Z2" s="4"/>
    </row>
    <row r="3" spans="1:26" ht="15.75" customHeight="1">
      <c r="A3" s="273" t="s">
        <v>6</v>
      </c>
      <c r="B3" s="274"/>
      <c r="C3" s="304" t="s">
        <v>6</v>
      </c>
      <c r="D3" s="305"/>
      <c r="E3" s="275">
        <f>SUM(E4:E15)</f>
        <v>10338599</v>
      </c>
      <c r="F3" s="4"/>
      <c r="G3" s="4"/>
      <c r="H3" s="4"/>
      <c r="I3" s="4"/>
      <c r="J3" s="4"/>
      <c r="K3" s="4"/>
      <c r="L3" s="4"/>
      <c r="M3" s="4"/>
      <c r="N3" s="4"/>
      <c r="O3" s="4"/>
      <c r="P3" s="4"/>
      <c r="Q3" s="4"/>
      <c r="R3" s="4"/>
      <c r="S3" s="4"/>
      <c r="T3" s="4"/>
      <c r="U3" s="4"/>
      <c r="V3" s="4"/>
      <c r="W3" s="4"/>
      <c r="X3" s="4"/>
      <c r="Y3" s="4"/>
      <c r="Z3" s="4"/>
    </row>
    <row r="4" spans="1:26" ht="140.25" hidden="1">
      <c r="A4" s="7" t="s">
        <v>7</v>
      </c>
      <c r="B4" s="183" t="s">
        <v>245</v>
      </c>
      <c r="C4" s="9">
        <v>2</v>
      </c>
      <c r="D4" s="10">
        <v>139900</v>
      </c>
      <c r="E4" s="10">
        <f t="shared" ref="E4:E15" si="0">D4*C4</f>
        <v>279800</v>
      </c>
      <c r="F4" s="4"/>
      <c r="G4" s="4"/>
      <c r="H4" s="4"/>
      <c r="I4" s="4"/>
      <c r="J4" s="4"/>
      <c r="K4" s="4"/>
      <c r="L4" s="4"/>
      <c r="M4" s="4"/>
      <c r="N4" s="4"/>
      <c r="O4" s="4"/>
      <c r="P4" s="4"/>
      <c r="Q4" s="4"/>
      <c r="R4" s="4"/>
      <c r="S4" s="4"/>
      <c r="T4" s="4"/>
      <c r="U4" s="4"/>
      <c r="V4" s="4"/>
      <c r="W4" s="4"/>
      <c r="X4" s="4"/>
      <c r="Y4" s="4"/>
      <c r="Z4" s="4"/>
    </row>
    <row r="5" spans="1:26" ht="153" hidden="1">
      <c r="A5" s="7" t="s">
        <v>8</v>
      </c>
      <c r="B5" s="183" t="s">
        <v>246</v>
      </c>
      <c r="C5" s="9">
        <v>1</v>
      </c>
      <c r="D5" s="10">
        <v>930000</v>
      </c>
      <c r="E5" s="10">
        <f t="shared" si="0"/>
        <v>930000</v>
      </c>
      <c r="F5" s="4"/>
      <c r="G5" s="4"/>
      <c r="H5" s="4"/>
      <c r="I5" s="4"/>
      <c r="J5" s="4"/>
      <c r="K5" s="4"/>
      <c r="L5" s="4"/>
      <c r="M5" s="4"/>
      <c r="N5" s="4"/>
      <c r="O5" s="4"/>
      <c r="P5" s="4"/>
      <c r="Q5" s="4"/>
      <c r="R5" s="4"/>
      <c r="S5" s="4"/>
      <c r="T5" s="4"/>
      <c r="U5" s="4"/>
      <c r="V5" s="4"/>
      <c r="W5" s="4"/>
      <c r="X5" s="4"/>
      <c r="Y5" s="4"/>
      <c r="Z5" s="4"/>
    </row>
    <row r="6" spans="1:26" ht="114.75" hidden="1">
      <c r="A6" s="7" t="s">
        <v>9</v>
      </c>
      <c r="B6" s="183" t="s">
        <v>247</v>
      </c>
      <c r="C6" s="9">
        <v>1</v>
      </c>
      <c r="D6" s="10">
        <v>375900</v>
      </c>
      <c r="E6" s="10">
        <f t="shared" si="0"/>
        <v>375900</v>
      </c>
      <c r="F6" s="4"/>
      <c r="G6" s="4"/>
      <c r="H6" s="4"/>
      <c r="I6" s="4"/>
      <c r="J6" s="4"/>
      <c r="K6" s="4"/>
      <c r="L6" s="4"/>
      <c r="M6" s="4"/>
      <c r="N6" s="4"/>
      <c r="O6" s="4"/>
      <c r="P6" s="4"/>
      <c r="Q6" s="4"/>
      <c r="R6" s="4"/>
      <c r="S6" s="4"/>
      <c r="T6" s="4"/>
      <c r="U6" s="4"/>
      <c r="V6" s="4"/>
      <c r="W6" s="4"/>
      <c r="X6" s="4"/>
      <c r="Y6" s="4"/>
      <c r="Z6" s="4"/>
    </row>
    <row r="7" spans="1:26" ht="12.75" hidden="1">
      <c r="A7" s="184" t="s">
        <v>241</v>
      </c>
      <c r="B7" s="8" t="s">
        <v>10</v>
      </c>
      <c r="C7" s="9">
        <v>2</v>
      </c>
      <c r="D7" s="10">
        <v>327900</v>
      </c>
      <c r="E7" s="10">
        <f t="shared" si="0"/>
        <v>655800</v>
      </c>
      <c r="F7" s="4"/>
      <c r="G7" s="4"/>
      <c r="H7" s="4"/>
      <c r="I7" s="4"/>
      <c r="J7" s="4"/>
      <c r="K7" s="4"/>
      <c r="L7" s="4"/>
      <c r="M7" s="4"/>
      <c r="N7" s="4"/>
      <c r="O7" s="4"/>
      <c r="P7" s="4"/>
      <c r="Q7" s="4"/>
      <c r="R7" s="4"/>
      <c r="S7" s="4"/>
      <c r="T7" s="4"/>
      <c r="U7" s="4"/>
      <c r="V7" s="4"/>
      <c r="W7" s="4"/>
      <c r="X7" s="4"/>
      <c r="Y7" s="4"/>
      <c r="Z7" s="4"/>
    </row>
    <row r="8" spans="1:26" ht="204" hidden="1">
      <c r="A8" s="7" t="s">
        <v>11</v>
      </c>
      <c r="B8" s="183" t="s">
        <v>248</v>
      </c>
      <c r="C8" s="9">
        <v>2</v>
      </c>
      <c r="D8" s="10">
        <v>330900</v>
      </c>
      <c r="E8" s="10">
        <f t="shared" si="0"/>
        <v>661800</v>
      </c>
      <c r="F8" s="4"/>
      <c r="G8" s="4"/>
      <c r="H8" s="4"/>
      <c r="I8" s="4"/>
      <c r="J8" s="4"/>
      <c r="K8" s="4"/>
      <c r="L8" s="4"/>
      <c r="M8" s="4"/>
      <c r="N8" s="4"/>
      <c r="O8" s="4"/>
      <c r="P8" s="4"/>
      <c r="Q8" s="4"/>
      <c r="R8" s="4"/>
      <c r="S8" s="4"/>
      <c r="T8" s="4"/>
      <c r="U8" s="4"/>
      <c r="V8" s="4"/>
      <c r="W8" s="4"/>
      <c r="X8" s="4"/>
      <c r="Y8" s="4"/>
      <c r="Z8" s="4"/>
    </row>
    <row r="9" spans="1:26" ht="165.75" hidden="1">
      <c r="A9" s="184" t="s">
        <v>242</v>
      </c>
      <c r="B9" s="183" t="s">
        <v>249</v>
      </c>
      <c r="C9" s="9">
        <v>3</v>
      </c>
      <c r="D9" s="10">
        <v>39900</v>
      </c>
      <c r="E9" s="10">
        <f t="shared" si="0"/>
        <v>119700</v>
      </c>
      <c r="F9" s="4"/>
      <c r="G9" s="4"/>
      <c r="H9" s="4"/>
      <c r="I9" s="4"/>
      <c r="J9" s="4"/>
      <c r="K9" s="4"/>
      <c r="L9" s="4"/>
      <c r="M9" s="4"/>
      <c r="N9" s="4"/>
      <c r="O9" s="4"/>
      <c r="P9" s="4"/>
      <c r="Q9" s="4"/>
      <c r="R9" s="4"/>
      <c r="S9" s="4"/>
      <c r="T9" s="4"/>
      <c r="U9" s="4"/>
      <c r="V9" s="4"/>
      <c r="W9" s="4"/>
      <c r="X9" s="4"/>
      <c r="Y9" s="4"/>
      <c r="Z9" s="4"/>
    </row>
    <row r="10" spans="1:26" ht="63.75" hidden="1">
      <c r="A10" s="7" t="s">
        <v>12</v>
      </c>
      <c r="B10" s="183" t="s">
        <v>250</v>
      </c>
      <c r="C10" s="9">
        <v>1</v>
      </c>
      <c r="D10" s="10">
        <v>1000000</v>
      </c>
      <c r="E10" s="10">
        <f t="shared" si="0"/>
        <v>1000000</v>
      </c>
      <c r="F10" s="4"/>
      <c r="G10" s="4"/>
      <c r="H10" s="4"/>
      <c r="I10" s="4"/>
      <c r="J10" s="4"/>
      <c r="K10" s="4"/>
      <c r="L10" s="4"/>
      <c r="M10" s="4"/>
      <c r="N10" s="4"/>
      <c r="O10" s="4"/>
      <c r="P10" s="4"/>
      <c r="Q10" s="4"/>
      <c r="R10" s="4"/>
      <c r="S10" s="4"/>
      <c r="T10" s="4"/>
      <c r="U10" s="4"/>
      <c r="V10" s="4"/>
      <c r="W10" s="4"/>
      <c r="X10" s="4"/>
      <c r="Y10" s="4"/>
      <c r="Z10" s="4"/>
    </row>
    <row r="11" spans="1:26" ht="12.75" hidden="1">
      <c r="A11" s="7" t="s">
        <v>13</v>
      </c>
      <c r="B11" s="8" t="s">
        <v>14</v>
      </c>
      <c r="C11" s="9">
        <v>1</v>
      </c>
      <c r="D11" s="10">
        <v>629900</v>
      </c>
      <c r="E11" s="10">
        <f t="shared" si="0"/>
        <v>629900</v>
      </c>
      <c r="F11" s="4"/>
      <c r="G11" s="4"/>
      <c r="H11" s="4"/>
      <c r="I11" s="4"/>
      <c r="J11" s="4"/>
      <c r="K11" s="4"/>
      <c r="L11" s="4"/>
      <c r="M11" s="4"/>
      <c r="N11" s="4"/>
      <c r="O11" s="4"/>
      <c r="P11" s="4"/>
      <c r="Q11" s="4"/>
      <c r="R11" s="4"/>
      <c r="S11" s="4"/>
      <c r="T11" s="4"/>
      <c r="U11" s="4"/>
      <c r="V11" s="4"/>
      <c r="W11" s="4"/>
      <c r="X11" s="4"/>
      <c r="Y11" s="4"/>
      <c r="Z11" s="4"/>
    </row>
    <row r="12" spans="1:26" ht="12.75" hidden="1">
      <c r="A12" s="7" t="s">
        <v>15</v>
      </c>
      <c r="B12" s="8" t="s">
        <v>16</v>
      </c>
      <c r="C12" s="9">
        <v>1</v>
      </c>
      <c r="D12" s="10">
        <v>2499800</v>
      </c>
      <c r="E12" s="10">
        <f t="shared" si="0"/>
        <v>2499800</v>
      </c>
      <c r="F12" s="4"/>
      <c r="G12" s="4"/>
      <c r="H12" s="4"/>
      <c r="I12" s="4"/>
      <c r="J12" s="4"/>
      <c r="K12" s="4"/>
      <c r="L12" s="4"/>
      <c r="M12" s="4"/>
      <c r="N12" s="4"/>
      <c r="O12" s="4"/>
      <c r="P12" s="4"/>
      <c r="Q12" s="4"/>
      <c r="R12" s="4"/>
      <c r="S12" s="4"/>
      <c r="T12" s="4"/>
      <c r="U12" s="4"/>
      <c r="V12" s="4"/>
      <c r="W12" s="4"/>
      <c r="X12" s="4"/>
      <c r="Y12" s="4"/>
      <c r="Z12" s="4"/>
    </row>
    <row r="13" spans="1:26" ht="12.75" hidden="1">
      <c r="A13" s="7" t="s">
        <v>17</v>
      </c>
      <c r="B13" s="8" t="s">
        <v>18</v>
      </c>
      <c r="C13" s="9">
        <v>1</v>
      </c>
      <c r="D13" s="10">
        <v>1726000</v>
      </c>
      <c r="E13" s="10">
        <f t="shared" si="0"/>
        <v>1726000</v>
      </c>
      <c r="F13" s="4"/>
      <c r="G13" s="4"/>
      <c r="H13" s="4"/>
      <c r="I13" s="4"/>
      <c r="J13" s="4"/>
      <c r="K13" s="4"/>
      <c r="L13" s="4"/>
      <c r="M13" s="4"/>
      <c r="N13" s="4"/>
      <c r="O13" s="4"/>
      <c r="P13" s="4"/>
      <c r="Q13" s="4"/>
      <c r="R13" s="4"/>
      <c r="S13" s="4"/>
      <c r="T13" s="4"/>
      <c r="U13" s="4"/>
      <c r="V13" s="4"/>
      <c r="W13" s="4"/>
      <c r="X13" s="4"/>
      <c r="Y13" s="4"/>
      <c r="Z13" s="4"/>
    </row>
    <row r="14" spans="1:26" ht="12.75" hidden="1">
      <c r="A14" s="7" t="s">
        <v>19</v>
      </c>
      <c r="B14" s="8" t="s">
        <v>20</v>
      </c>
      <c r="C14" s="9">
        <v>1</v>
      </c>
      <c r="D14" s="10">
        <v>859900</v>
      </c>
      <c r="E14" s="10">
        <f t="shared" si="0"/>
        <v>859900</v>
      </c>
      <c r="F14" s="4"/>
      <c r="G14" s="4"/>
      <c r="H14" s="4"/>
      <c r="I14" s="4"/>
      <c r="J14" s="4"/>
      <c r="K14" s="4"/>
      <c r="L14" s="4"/>
      <c r="M14" s="4"/>
      <c r="N14" s="4"/>
      <c r="O14" s="4"/>
      <c r="P14" s="4"/>
      <c r="Q14" s="4"/>
      <c r="R14" s="4"/>
      <c r="S14" s="4"/>
      <c r="T14" s="4"/>
      <c r="U14" s="4"/>
      <c r="V14" s="4"/>
      <c r="W14" s="4"/>
      <c r="X14" s="4"/>
      <c r="Y14" s="4"/>
      <c r="Z14" s="4"/>
    </row>
    <row r="15" spans="1:26" ht="12.75" hidden="1">
      <c r="A15" s="7" t="s">
        <v>21</v>
      </c>
      <c r="B15" s="8" t="s">
        <v>22</v>
      </c>
      <c r="C15" s="9">
        <v>1</v>
      </c>
      <c r="D15" s="10">
        <v>599999</v>
      </c>
      <c r="E15" s="10">
        <f t="shared" si="0"/>
        <v>599999</v>
      </c>
      <c r="F15" s="207">
        <f>+SUM(E4:E15)</f>
        <v>10338599</v>
      </c>
      <c r="G15" s="4"/>
      <c r="H15" s="4"/>
      <c r="I15" s="4"/>
      <c r="J15" s="4"/>
      <c r="K15" s="4"/>
      <c r="L15" s="4"/>
      <c r="M15" s="4"/>
      <c r="N15" s="4"/>
      <c r="O15" s="4"/>
      <c r="P15" s="4"/>
      <c r="Q15" s="4"/>
      <c r="R15" s="4"/>
      <c r="S15" s="4"/>
      <c r="T15" s="4"/>
      <c r="U15" s="4"/>
      <c r="V15" s="4"/>
      <c r="W15" s="4"/>
      <c r="X15" s="4"/>
      <c r="Y15" s="4"/>
      <c r="Z15" s="4"/>
    </row>
    <row r="16" spans="1:26" ht="12.75">
      <c r="A16" s="273" t="s">
        <v>23</v>
      </c>
      <c r="B16" s="274"/>
      <c r="C16" s="304" t="s">
        <v>23</v>
      </c>
      <c r="D16" s="305"/>
      <c r="E16" s="275">
        <f>SUM(E17:E21)</f>
        <v>11299700</v>
      </c>
      <c r="F16" s="4"/>
      <c r="G16" s="4"/>
      <c r="H16" s="4"/>
      <c r="I16" s="4"/>
      <c r="J16" s="4"/>
      <c r="K16" s="4"/>
      <c r="L16" s="4"/>
      <c r="M16" s="4"/>
      <c r="N16" s="4"/>
      <c r="O16" s="4"/>
      <c r="P16" s="4"/>
      <c r="Q16" s="4"/>
      <c r="R16" s="4"/>
      <c r="S16" s="4"/>
      <c r="T16" s="4"/>
      <c r="U16" s="4"/>
      <c r="V16" s="4"/>
      <c r="W16" s="4"/>
      <c r="X16" s="4"/>
      <c r="Y16" s="4"/>
      <c r="Z16" s="4"/>
    </row>
    <row r="17" spans="1:26" ht="12.75" hidden="1">
      <c r="A17" s="7" t="s">
        <v>24</v>
      </c>
      <c r="B17" s="8" t="s">
        <v>25</v>
      </c>
      <c r="C17" s="11">
        <v>5</v>
      </c>
      <c r="D17" s="10">
        <v>1740000</v>
      </c>
      <c r="E17" s="10">
        <f t="shared" ref="E17:E23" si="1">D17*C17</f>
        <v>8700000</v>
      </c>
      <c r="F17" s="4"/>
      <c r="G17" s="4"/>
      <c r="H17" s="4"/>
      <c r="I17" s="4"/>
      <c r="J17" s="4"/>
      <c r="K17" s="4"/>
      <c r="L17" s="4"/>
      <c r="M17" s="4"/>
      <c r="N17" s="4"/>
      <c r="O17" s="4"/>
      <c r="P17" s="4"/>
      <c r="Q17" s="4"/>
      <c r="R17" s="4"/>
      <c r="S17" s="4"/>
      <c r="T17" s="4"/>
      <c r="U17" s="4"/>
      <c r="V17" s="4"/>
      <c r="W17" s="4"/>
      <c r="X17" s="4"/>
      <c r="Y17" s="4"/>
      <c r="Z17" s="4"/>
    </row>
    <row r="18" spans="1:26" ht="229.5" hidden="1">
      <c r="A18" s="7" t="s">
        <v>26</v>
      </c>
      <c r="B18" s="183" t="s">
        <v>251</v>
      </c>
      <c r="C18" s="11">
        <v>1</v>
      </c>
      <c r="D18" s="10">
        <v>749000</v>
      </c>
      <c r="E18" s="10">
        <f t="shared" si="1"/>
        <v>749000</v>
      </c>
      <c r="F18" s="4"/>
      <c r="G18" s="4"/>
      <c r="H18" s="4"/>
      <c r="I18" s="4"/>
      <c r="J18" s="4"/>
      <c r="K18" s="4"/>
      <c r="L18" s="4"/>
      <c r="M18" s="4"/>
      <c r="N18" s="4"/>
      <c r="O18" s="4"/>
      <c r="P18" s="4"/>
      <c r="Q18" s="4"/>
      <c r="R18" s="4"/>
      <c r="S18" s="4"/>
      <c r="T18" s="4"/>
      <c r="U18" s="4"/>
      <c r="V18" s="4"/>
      <c r="W18" s="4"/>
      <c r="X18" s="4"/>
      <c r="Y18" s="4"/>
      <c r="Z18" s="4"/>
    </row>
    <row r="19" spans="1:26" ht="63.75" hidden="1">
      <c r="A19" s="184" t="s">
        <v>237</v>
      </c>
      <c r="B19" s="183" t="s">
        <v>252</v>
      </c>
      <c r="C19" s="11">
        <v>5</v>
      </c>
      <c r="D19" s="10">
        <v>129000</v>
      </c>
      <c r="E19" s="10">
        <f t="shared" si="1"/>
        <v>645000</v>
      </c>
      <c r="F19" s="4"/>
      <c r="G19" s="4"/>
      <c r="H19" s="4"/>
      <c r="I19" s="4"/>
      <c r="J19" s="4"/>
      <c r="K19" s="4"/>
      <c r="L19" s="4"/>
      <c r="M19" s="4"/>
      <c r="N19" s="4"/>
      <c r="O19" s="4"/>
      <c r="P19" s="4"/>
      <c r="Q19" s="4"/>
      <c r="R19" s="4"/>
      <c r="S19" s="4"/>
      <c r="T19" s="4"/>
      <c r="U19" s="4"/>
      <c r="V19" s="4"/>
      <c r="W19" s="4"/>
      <c r="X19" s="4"/>
      <c r="Y19" s="4"/>
      <c r="Z19" s="4"/>
    </row>
    <row r="20" spans="1:26" ht="12.75" hidden="1">
      <c r="A20" s="7" t="s">
        <v>27</v>
      </c>
      <c r="B20" s="8" t="s">
        <v>28</v>
      </c>
      <c r="C20" s="11">
        <v>5</v>
      </c>
      <c r="D20" s="10">
        <v>210000</v>
      </c>
      <c r="E20" s="10">
        <f t="shared" si="1"/>
        <v>1050000</v>
      </c>
      <c r="F20" s="4"/>
      <c r="G20" s="4"/>
      <c r="H20" s="4"/>
      <c r="I20" s="4"/>
      <c r="J20" s="4"/>
      <c r="K20" s="4"/>
      <c r="L20" s="4"/>
      <c r="M20" s="4"/>
      <c r="N20" s="4"/>
      <c r="O20" s="4"/>
      <c r="P20" s="4"/>
      <c r="Q20" s="4"/>
      <c r="R20" s="4"/>
      <c r="S20" s="4"/>
      <c r="T20" s="4"/>
      <c r="U20" s="4"/>
      <c r="V20" s="4"/>
      <c r="W20" s="4"/>
      <c r="X20" s="4"/>
      <c r="Y20" s="4"/>
      <c r="Z20" s="4"/>
    </row>
    <row r="21" spans="1:26" ht="102" hidden="1">
      <c r="A21" s="184" t="s">
        <v>238</v>
      </c>
      <c r="B21" s="183" t="s">
        <v>253</v>
      </c>
      <c r="C21" s="11">
        <v>3</v>
      </c>
      <c r="D21" s="10">
        <v>51900</v>
      </c>
      <c r="E21" s="10">
        <f t="shared" si="1"/>
        <v>155700</v>
      </c>
      <c r="F21" s="4"/>
      <c r="G21" s="4"/>
      <c r="H21" s="4"/>
      <c r="I21" s="4"/>
      <c r="J21" s="4"/>
      <c r="K21" s="4"/>
      <c r="L21" s="4"/>
      <c r="M21" s="4"/>
      <c r="N21" s="4"/>
      <c r="O21" s="4"/>
      <c r="P21" s="4"/>
      <c r="Q21" s="4"/>
      <c r="R21" s="4"/>
      <c r="S21" s="4"/>
      <c r="T21" s="4"/>
      <c r="U21" s="4"/>
      <c r="V21" s="4"/>
      <c r="W21" s="4"/>
      <c r="X21" s="4"/>
      <c r="Y21" s="4"/>
      <c r="Z21" s="4"/>
    </row>
    <row r="22" spans="1:26" ht="12.75">
      <c r="A22" s="273" t="s">
        <v>319</v>
      </c>
      <c r="B22" s="274"/>
      <c r="C22" s="304" t="s">
        <v>319</v>
      </c>
      <c r="D22" s="305"/>
      <c r="E22" s="275">
        <f>+E23</f>
        <v>135000000</v>
      </c>
      <c r="F22" s="207">
        <f>+SUM(E17:E21)</f>
        <v>11299700</v>
      </c>
      <c r="G22" s="4"/>
      <c r="H22" s="4"/>
      <c r="I22" s="4"/>
      <c r="J22" s="4"/>
      <c r="K22" s="4"/>
      <c r="L22" s="4"/>
      <c r="M22" s="4"/>
      <c r="N22" s="4"/>
      <c r="O22" s="4"/>
      <c r="P22" s="4"/>
      <c r="Q22" s="4"/>
      <c r="R22" s="4"/>
      <c r="S22" s="4"/>
      <c r="T22" s="4"/>
      <c r="U22" s="4"/>
      <c r="V22" s="4"/>
      <c r="W22" s="4"/>
      <c r="X22" s="4"/>
      <c r="Y22" s="4"/>
      <c r="Z22" s="4"/>
    </row>
    <row r="23" spans="1:26" ht="114.75" hidden="1">
      <c r="A23" s="184" t="s">
        <v>239</v>
      </c>
      <c r="B23" s="183" t="s">
        <v>254</v>
      </c>
      <c r="C23" s="11">
        <v>1</v>
      </c>
      <c r="D23" s="10">
        <v>135000000</v>
      </c>
      <c r="E23" s="10">
        <f t="shared" si="1"/>
        <v>135000000</v>
      </c>
      <c r="F23" s="4"/>
      <c r="G23" s="4"/>
      <c r="H23" s="4"/>
      <c r="I23" s="4"/>
      <c r="J23" s="4"/>
      <c r="K23" s="4"/>
      <c r="L23" s="4"/>
      <c r="M23" s="4"/>
      <c r="N23" s="4"/>
      <c r="O23" s="4"/>
      <c r="P23" s="4"/>
      <c r="Q23" s="4"/>
      <c r="R23" s="4"/>
      <c r="S23" s="4"/>
      <c r="T23" s="4"/>
      <c r="U23" s="4"/>
      <c r="V23" s="4"/>
      <c r="W23" s="4"/>
      <c r="X23" s="4"/>
      <c r="Y23" s="4"/>
      <c r="Z23" s="4"/>
    </row>
    <row r="24" spans="1:26" ht="12.75">
      <c r="A24" s="273" t="s">
        <v>29</v>
      </c>
      <c r="B24" s="274"/>
      <c r="C24" s="304" t="s">
        <v>29</v>
      </c>
      <c r="D24" s="305"/>
      <c r="E24" s="275">
        <f>+E25</f>
        <v>1080000</v>
      </c>
      <c r="F24" s="207"/>
      <c r="G24" s="4"/>
      <c r="H24" s="4"/>
      <c r="I24" s="4"/>
      <c r="J24" s="4"/>
      <c r="K24" s="4"/>
      <c r="L24" s="4"/>
      <c r="M24" s="4"/>
      <c r="N24" s="4"/>
      <c r="O24" s="4"/>
      <c r="P24" s="4"/>
      <c r="Q24" s="4"/>
      <c r="R24" s="4"/>
      <c r="S24" s="4"/>
      <c r="T24" s="4"/>
      <c r="U24" s="4"/>
      <c r="V24" s="4"/>
      <c r="W24" s="4"/>
      <c r="X24" s="4"/>
      <c r="Y24" s="4"/>
      <c r="Z24" s="4"/>
    </row>
    <row r="25" spans="1:26" ht="12.75" hidden="1">
      <c r="A25" s="184" t="s">
        <v>240</v>
      </c>
      <c r="B25" s="8" t="s">
        <v>30</v>
      </c>
      <c r="C25" s="11">
        <v>1</v>
      </c>
      <c r="D25" s="10">
        <v>1080000</v>
      </c>
      <c r="E25" s="10">
        <f>D25*C25</f>
        <v>1080000</v>
      </c>
      <c r="F25" s="4"/>
      <c r="G25" s="4"/>
      <c r="H25" s="4"/>
      <c r="I25" s="4"/>
      <c r="J25" s="4"/>
      <c r="K25" s="4"/>
      <c r="L25" s="4"/>
      <c r="M25" s="4"/>
      <c r="N25" s="4"/>
      <c r="O25" s="4"/>
      <c r="P25" s="4"/>
      <c r="Q25" s="4"/>
      <c r="R25" s="4"/>
      <c r="S25" s="4"/>
      <c r="T25" s="4"/>
      <c r="U25" s="4"/>
      <c r="V25" s="4"/>
      <c r="W25" s="4"/>
      <c r="X25" s="4"/>
      <c r="Y25" s="4"/>
      <c r="Z25" s="4"/>
    </row>
    <row r="26" spans="1:26" ht="12.75">
      <c r="A26" s="5" t="s">
        <v>31</v>
      </c>
      <c r="B26" s="5"/>
      <c r="C26" s="5"/>
      <c r="D26" s="5"/>
      <c r="E26" s="12">
        <f>+E24+E22+E16+E3</f>
        <v>157718299</v>
      </c>
      <c r="F26" s="4"/>
      <c r="G26" s="4"/>
      <c r="H26" s="4"/>
      <c r="I26" s="4"/>
      <c r="J26" s="4"/>
      <c r="K26" s="4"/>
      <c r="L26" s="4"/>
      <c r="M26" s="4"/>
      <c r="N26" s="4"/>
      <c r="O26" s="4"/>
      <c r="P26" s="4"/>
      <c r="Q26" s="4"/>
      <c r="R26" s="4"/>
      <c r="S26" s="4"/>
      <c r="T26" s="4"/>
      <c r="U26" s="4"/>
      <c r="V26" s="4"/>
      <c r="W26" s="4"/>
      <c r="X26" s="4"/>
      <c r="Y26" s="4"/>
      <c r="Z26" s="4"/>
    </row>
    <row r="27" spans="1:26" ht="12.75">
      <c r="A27" s="13" t="s">
        <v>32</v>
      </c>
      <c r="B27" s="14"/>
      <c r="C27" s="298" t="s">
        <v>32</v>
      </c>
      <c r="D27" s="299"/>
      <c r="E27" s="300"/>
      <c r="F27" s="4"/>
      <c r="G27" s="4"/>
      <c r="H27" s="4"/>
      <c r="I27" s="4"/>
      <c r="J27" s="4"/>
      <c r="K27" s="4"/>
      <c r="L27" s="4"/>
      <c r="M27" s="4"/>
      <c r="N27" s="4"/>
      <c r="O27" s="4"/>
      <c r="P27" s="4"/>
      <c r="Q27" s="4"/>
      <c r="R27" s="4"/>
      <c r="S27" s="4"/>
      <c r="T27" s="4"/>
      <c r="U27" s="4"/>
      <c r="V27" s="4"/>
      <c r="W27" s="4"/>
      <c r="X27" s="4"/>
      <c r="Y27" s="4"/>
      <c r="Z27" s="4"/>
    </row>
    <row r="28" spans="1:26" ht="12.75" hidden="1">
      <c r="A28" s="15" t="s">
        <v>33</v>
      </c>
      <c r="B28" s="16"/>
      <c r="C28" s="17">
        <v>1</v>
      </c>
      <c r="D28" s="10">
        <v>5000000</v>
      </c>
      <c r="E28" s="10">
        <f t="shared" ref="E28:E35" si="2">D28*C28</f>
        <v>5000000</v>
      </c>
      <c r="F28" s="4"/>
      <c r="G28" s="4"/>
      <c r="H28" s="4"/>
      <c r="I28" s="4"/>
      <c r="J28" s="4"/>
      <c r="K28" s="4"/>
      <c r="L28" s="4"/>
      <c r="M28" s="4"/>
      <c r="N28" s="4"/>
      <c r="O28" s="4"/>
      <c r="P28" s="4"/>
      <c r="Q28" s="4"/>
      <c r="R28" s="4"/>
      <c r="S28" s="4"/>
      <c r="T28" s="4"/>
      <c r="U28" s="4"/>
      <c r="V28" s="4"/>
      <c r="W28" s="4"/>
      <c r="X28" s="4"/>
      <c r="Y28" s="4"/>
      <c r="Z28" s="4"/>
    </row>
    <row r="29" spans="1:26" ht="12.75" hidden="1">
      <c r="A29" s="15" t="s">
        <v>34</v>
      </c>
      <c r="B29" s="16"/>
      <c r="C29" s="17">
        <v>1</v>
      </c>
      <c r="D29" s="10">
        <v>1200000</v>
      </c>
      <c r="E29" s="10">
        <f t="shared" si="2"/>
        <v>1200000</v>
      </c>
      <c r="F29" s="4"/>
      <c r="G29" s="4"/>
      <c r="H29" s="4"/>
      <c r="I29" s="4"/>
      <c r="J29" s="4"/>
      <c r="K29" s="4"/>
      <c r="L29" s="4"/>
      <c r="M29" s="4"/>
      <c r="N29" s="4"/>
      <c r="O29" s="4"/>
      <c r="P29" s="4"/>
      <c r="Q29" s="4"/>
      <c r="R29" s="4"/>
      <c r="S29" s="4"/>
      <c r="T29" s="4"/>
      <c r="U29" s="4"/>
      <c r="V29" s="4"/>
      <c r="W29" s="4"/>
      <c r="X29" s="4"/>
      <c r="Y29" s="4"/>
      <c r="Z29" s="4"/>
    </row>
    <row r="30" spans="1:26" ht="12.75" hidden="1">
      <c r="A30" s="15" t="s">
        <v>35</v>
      </c>
      <c r="B30" s="178" t="s">
        <v>230</v>
      </c>
      <c r="C30" s="18">
        <v>1</v>
      </c>
      <c r="D30" s="10">
        <f>290000000*0.7%</f>
        <v>2029999.9999999998</v>
      </c>
      <c r="E30" s="10">
        <f t="shared" si="2"/>
        <v>2029999.9999999998</v>
      </c>
      <c r="F30" s="4"/>
      <c r="G30" s="4"/>
      <c r="H30" s="4"/>
      <c r="I30" s="4"/>
      <c r="J30" s="4"/>
      <c r="K30" s="4"/>
      <c r="L30" s="4"/>
      <c r="M30" s="4"/>
      <c r="N30" s="4"/>
      <c r="O30" s="4"/>
      <c r="P30" s="4"/>
      <c r="Q30" s="4"/>
      <c r="R30" s="4"/>
      <c r="S30" s="4"/>
      <c r="T30" s="4"/>
      <c r="U30" s="4"/>
      <c r="V30" s="4"/>
      <c r="W30" s="4"/>
      <c r="X30" s="4"/>
      <c r="Y30" s="4"/>
      <c r="Z30" s="4"/>
    </row>
    <row r="31" spans="1:26" ht="12.75" hidden="1">
      <c r="A31" s="15"/>
      <c r="B31" s="111" t="s">
        <v>231</v>
      </c>
      <c r="C31" s="19">
        <v>1</v>
      </c>
      <c r="D31" s="25">
        <f>290000000*0.4%</f>
        <v>1160000</v>
      </c>
      <c r="E31" s="25">
        <f t="shared" si="2"/>
        <v>1160000</v>
      </c>
      <c r="F31" s="4"/>
      <c r="G31" s="4"/>
      <c r="H31" s="4"/>
      <c r="I31" s="4"/>
      <c r="J31" s="4"/>
      <c r="K31" s="4"/>
      <c r="L31" s="4"/>
      <c r="M31" s="4"/>
      <c r="N31" s="4"/>
      <c r="O31" s="4"/>
      <c r="P31" s="4"/>
      <c r="Q31" s="4"/>
      <c r="R31" s="4"/>
      <c r="S31" s="4"/>
      <c r="T31" s="4"/>
      <c r="U31" s="4"/>
      <c r="V31" s="4"/>
      <c r="W31" s="4"/>
      <c r="X31" s="4"/>
      <c r="Y31" s="4"/>
      <c r="Z31" s="4"/>
    </row>
    <row r="32" spans="1:26" ht="12.75" hidden="1">
      <c r="A32" s="15"/>
      <c r="B32" s="185" t="s">
        <v>255</v>
      </c>
      <c r="C32" s="19">
        <v>1</v>
      </c>
      <c r="D32" s="25">
        <f>290000000*19%</f>
        <v>55100000</v>
      </c>
      <c r="E32" s="25">
        <f t="shared" si="2"/>
        <v>55100000</v>
      </c>
      <c r="F32" s="4"/>
      <c r="G32" s="4"/>
      <c r="H32" s="4"/>
      <c r="I32" s="4"/>
      <c r="J32" s="4"/>
      <c r="K32" s="4"/>
      <c r="L32" s="4"/>
      <c r="M32" s="4"/>
      <c r="N32" s="4"/>
      <c r="O32" s="4"/>
      <c r="P32" s="4"/>
      <c r="Q32" s="4"/>
      <c r="R32" s="4"/>
      <c r="S32" s="4"/>
      <c r="T32" s="4"/>
      <c r="U32" s="4"/>
      <c r="V32" s="4"/>
      <c r="W32" s="4"/>
      <c r="X32" s="4"/>
      <c r="Y32" s="4"/>
      <c r="Z32" s="4"/>
    </row>
    <row r="33" spans="1:26" ht="12.75" hidden="1">
      <c r="A33" s="179" t="s">
        <v>256</v>
      </c>
      <c r="B33" s="111"/>
      <c r="C33" s="112">
        <v>3</v>
      </c>
      <c r="D33" s="25">
        <v>15000000</v>
      </c>
      <c r="E33" s="25">
        <f t="shared" si="2"/>
        <v>45000000</v>
      </c>
      <c r="F33" s="4"/>
      <c r="G33" s="4"/>
      <c r="H33" s="4"/>
      <c r="I33" s="4"/>
      <c r="J33" s="4"/>
      <c r="K33" s="4"/>
      <c r="L33" s="4"/>
      <c r="M33" s="4"/>
      <c r="N33" s="4"/>
      <c r="O33" s="4"/>
      <c r="P33" s="4"/>
      <c r="Q33" s="4"/>
      <c r="R33" s="4"/>
      <c r="S33" s="4"/>
      <c r="T33" s="4"/>
      <c r="U33" s="4"/>
      <c r="V33" s="4"/>
      <c r="W33" s="4"/>
      <c r="X33" s="4"/>
      <c r="Y33" s="4"/>
      <c r="Z33" s="4"/>
    </row>
    <row r="34" spans="1:26" ht="12.75" hidden="1">
      <c r="A34" s="15" t="s">
        <v>216</v>
      </c>
      <c r="B34" s="111"/>
      <c r="C34" s="112">
        <v>3</v>
      </c>
      <c r="D34" s="25">
        <v>10000000</v>
      </c>
      <c r="E34" s="25">
        <f t="shared" si="2"/>
        <v>30000000</v>
      </c>
      <c r="F34" s="4"/>
      <c r="G34" s="4"/>
      <c r="H34" s="4"/>
      <c r="I34" s="4"/>
      <c r="J34" s="4"/>
      <c r="K34" s="4"/>
      <c r="L34" s="4"/>
      <c r="M34" s="4"/>
      <c r="N34" s="4"/>
      <c r="O34" s="4"/>
      <c r="P34" s="4"/>
      <c r="Q34" s="4"/>
      <c r="R34" s="4"/>
      <c r="S34" s="4"/>
      <c r="T34" s="4"/>
      <c r="U34" s="4"/>
      <c r="V34" s="4"/>
      <c r="W34" s="4"/>
      <c r="X34" s="4"/>
      <c r="Y34" s="4"/>
      <c r="Z34" s="4"/>
    </row>
    <row r="35" spans="1:26" ht="12.75" hidden="1">
      <c r="A35" s="19" t="s">
        <v>36</v>
      </c>
      <c r="B35" s="16"/>
      <c r="C35" s="17">
        <v>1</v>
      </c>
      <c r="D35" s="10">
        <v>7000000</v>
      </c>
      <c r="E35" s="10">
        <f t="shared" si="2"/>
        <v>7000000</v>
      </c>
      <c r="F35" s="4"/>
      <c r="G35" s="4"/>
      <c r="H35" s="4"/>
      <c r="I35" s="4"/>
      <c r="J35" s="4"/>
      <c r="K35" s="4"/>
      <c r="L35" s="4"/>
      <c r="M35" s="4"/>
      <c r="N35" s="4"/>
      <c r="O35" s="4"/>
      <c r="P35" s="4"/>
      <c r="Q35" s="4"/>
      <c r="R35" s="4"/>
      <c r="S35" s="4"/>
      <c r="T35" s="4"/>
      <c r="U35" s="4"/>
      <c r="V35" s="4"/>
      <c r="W35" s="4"/>
      <c r="X35" s="4"/>
      <c r="Y35" s="4"/>
      <c r="Z35" s="4"/>
    </row>
    <row r="36" spans="1:26" ht="12.75">
      <c r="A36" s="13" t="s">
        <v>37</v>
      </c>
      <c r="B36" s="14"/>
      <c r="C36" s="298" t="s">
        <v>37</v>
      </c>
      <c r="D36" s="300"/>
      <c r="E36" s="20">
        <f>SUM(E28:E35)</f>
        <v>146490000</v>
      </c>
      <c r="F36" s="4"/>
      <c r="G36" s="4"/>
      <c r="H36" s="4"/>
      <c r="I36" s="4"/>
      <c r="J36" s="4"/>
      <c r="K36" s="4"/>
      <c r="L36" s="4"/>
      <c r="M36" s="4"/>
      <c r="N36" s="4"/>
      <c r="O36" s="4"/>
      <c r="P36" s="4"/>
      <c r="Q36" s="4"/>
      <c r="R36" s="4"/>
      <c r="S36" s="4"/>
      <c r="T36" s="4"/>
      <c r="U36" s="4"/>
      <c r="V36" s="4"/>
      <c r="W36" s="4"/>
      <c r="X36" s="4"/>
      <c r="Y36" s="4"/>
      <c r="Z36" s="4"/>
    </row>
    <row r="37" spans="1:26" ht="12.75">
      <c r="A37" s="21" t="s">
        <v>38</v>
      </c>
      <c r="B37" s="22"/>
      <c r="C37" s="22"/>
      <c r="D37" s="22"/>
      <c r="E37" s="22"/>
      <c r="F37" s="4"/>
      <c r="G37" s="4"/>
      <c r="H37" s="4"/>
      <c r="I37" s="4"/>
      <c r="J37" s="4"/>
      <c r="K37" s="4"/>
      <c r="L37" s="4"/>
      <c r="M37" s="4"/>
      <c r="N37" s="4"/>
      <c r="O37" s="4"/>
      <c r="P37" s="4"/>
      <c r="Q37" s="4"/>
      <c r="R37" s="4"/>
      <c r="S37" s="4"/>
      <c r="T37" s="4"/>
      <c r="U37" s="4"/>
      <c r="V37" s="4"/>
      <c r="W37" s="4"/>
      <c r="X37" s="4"/>
      <c r="Y37" s="4"/>
      <c r="Z37" s="4"/>
    </row>
    <row r="38" spans="1:26" ht="63.75">
      <c r="A38" s="186" t="s">
        <v>257</v>
      </c>
      <c r="B38" s="187" t="s">
        <v>269</v>
      </c>
      <c r="C38" s="24">
        <v>3</v>
      </c>
      <c r="D38" s="25">
        <v>916666.66666666663</v>
      </c>
      <c r="E38" s="10">
        <f>D38*C38</f>
        <v>2750000</v>
      </c>
      <c r="F38" s="4"/>
      <c r="G38" s="4"/>
      <c r="H38" s="4"/>
      <c r="I38" s="4"/>
      <c r="J38" s="4"/>
      <c r="K38" s="4"/>
      <c r="L38" s="4"/>
      <c r="M38" s="4"/>
      <c r="N38" s="4"/>
      <c r="O38" s="4"/>
      <c r="P38" s="4"/>
      <c r="Q38" s="4"/>
      <c r="R38" s="4"/>
      <c r="S38" s="4"/>
      <c r="T38" s="4"/>
      <c r="U38" s="4"/>
      <c r="V38" s="4"/>
      <c r="W38" s="4"/>
      <c r="X38" s="4"/>
      <c r="Y38" s="4"/>
      <c r="Z38" s="4"/>
    </row>
    <row r="39" spans="1:26" ht="12.75">
      <c r="A39" s="23" t="s">
        <v>39</v>
      </c>
      <c r="B39" s="188" t="s">
        <v>258</v>
      </c>
      <c r="C39" s="24">
        <v>3</v>
      </c>
      <c r="D39" s="10">
        <v>7000000</v>
      </c>
      <c r="E39" s="10">
        <f>D39*C39</f>
        <v>21000000</v>
      </c>
      <c r="F39" s="26"/>
      <c r="G39" s="4"/>
      <c r="H39" s="4"/>
      <c r="I39" s="4"/>
      <c r="J39" s="4"/>
      <c r="K39" s="4"/>
      <c r="L39" s="4"/>
      <c r="M39" s="4"/>
      <c r="N39" s="4"/>
      <c r="O39" s="4"/>
      <c r="P39" s="4"/>
      <c r="Q39" s="4"/>
      <c r="R39" s="4"/>
      <c r="S39" s="4"/>
      <c r="T39" s="4"/>
      <c r="U39" s="4"/>
      <c r="V39" s="4"/>
      <c r="W39" s="4"/>
      <c r="X39" s="4"/>
      <c r="Y39" s="4"/>
      <c r="Z39" s="4"/>
    </row>
    <row r="40" spans="1:26" ht="12.75">
      <c r="A40" s="19" t="s">
        <v>40</v>
      </c>
      <c r="B40" s="16" t="s">
        <v>41</v>
      </c>
      <c r="C40" s="24">
        <v>3</v>
      </c>
      <c r="D40" s="10">
        <v>21282409</v>
      </c>
      <c r="E40" s="10">
        <f>D40*C40</f>
        <v>63847227</v>
      </c>
      <c r="F40" s="4"/>
      <c r="G40" s="4"/>
      <c r="H40" s="4"/>
      <c r="I40" s="4"/>
      <c r="J40" s="4"/>
      <c r="K40" s="4"/>
      <c r="L40" s="4"/>
      <c r="M40" s="4"/>
      <c r="N40" s="4"/>
      <c r="O40" s="4"/>
      <c r="P40" s="4"/>
      <c r="Q40" s="4"/>
      <c r="R40" s="4"/>
      <c r="S40" s="4"/>
      <c r="T40" s="4"/>
      <c r="U40" s="4"/>
      <c r="V40" s="4"/>
      <c r="W40" s="4"/>
      <c r="X40" s="4"/>
      <c r="Y40" s="4"/>
      <c r="Z40" s="4"/>
    </row>
    <row r="41" spans="1:26" ht="12.75">
      <c r="A41" s="301" t="s">
        <v>42</v>
      </c>
      <c r="B41" s="302"/>
      <c r="C41" s="302"/>
      <c r="D41" s="302"/>
      <c r="E41" s="303"/>
      <c r="F41" s="4"/>
      <c r="G41" s="4"/>
      <c r="H41" s="4"/>
      <c r="I41" s="4"/>
      <c r="J41" s="4"/>
      <c r="K41" s="4"/>
      <c r="L41" s="4"/>
      <c r="M41" s="4"/>
      <c r="N41" s="4"/>
      <c r="O41" s="4"/>
      <c r="P41" s="4"/>
      <c r="Q41" s="4"/>
      <c r="R41" s="4"/>
      <c r="S41" s="4"/>
      <c r="T41" s="4"/>
      <c r="U41" s="4"/>
      <c r="V41" s="4"/>
      <c r="W41" s="4"/>
      <c r="X41" s="4"/>
      <c r="Y41" s="4"/>
      <c r="Z41" s="4"/>
    </row>
    <row r="42" spans="1:26" ht="12.75">
      <c r="A42" s="19" t="s">
        <v>43</v>
      </c>
      <c r="B42" s="27" t="s">
        <v>44</v>
      </c>
      <c r="C42" s="24">
        <v>1</v>
      </c>
      <c r="D42" s="10">
        <v>710924</v>
      </c>
      <c r="E42" s="10">
        <f t="shared" ref="E42:E67" si="3">D42*C42</f>
        <v>710924</v>
      </c>
      <c r="F42" s="4"/>
      <c r="G42" s="4"/>
      <c r="H42" s="4"/>
      <c r="I42" s="4"/>
      <c r="J42" s="4"/>
      <c r="K42" s="4"/>
      <c r="L42" s="4"/>
      <c r="M42" s="4"/>
      <c r="N42" s="4"/>
      <c r="O42" s="4"/>
      <c r="P42" s="4"/>
      <c r="Q42" s="4"/>
      <c r="R42" s="4"/>
      <c r="S42" s="4"/>
      <c r="T42" s="4"/>
      <c r="U42" s="4"/>
      <c r="V42" s="4"/>
      <c r="W42" s="4"/>
      <c r="X42" s="4"/>
      <c r="Y42" s="4"/>
      <c r="Z42" s="4"/>
    </row>
    <row r="43" spans="1:26" ht="12.75">
      <c r="A43" s="19" t="s">
        <v>45</v>
      </c>
      <c r="B43" s="27" t="s">
        <v>46</v>
      </c>
      <c r="C43" s="24">
        <v>10</v>
      </c>
      <c r="D43" s="10">
        <v>22000</v>
      </c>
      <c r="E43" s="10">
        <f t="shared" si="3"/>
        <v>220000</v>
      </c>
      <c r="F43" s="4"/>
      <c r="G43" s="4"/>
      <c r="H43" s="4"/>
      <c r="I43" s="4"/>
      <c r="J43" s="4"/>
      <c r="K43" s="4"/>
      <c r="L43" s="4"/>
      <c r="M43" s="4"/>
      <c r="N43" s="4"/>
      <c r="O43" s="4"/>
      <c r="P43" s="4"/>
      <c r="Q43" s="4"/>
      <c r="R43" s="4"/>
      <c r="S43" s="4"/>
      <c r="T43" s="4"/>
      <c r="U43" s="4"/>
      <c r="V43" s="4"/>
      <c r="W43" s="4"/>
      <c r="X43" s="4"/>
      <c r="Y43" s="4"/>
      <c r="Z43" s="4"/>
    </row>
    <row r="44" spans="1:26" ht="12.75">
      <c r="A44" s="19" t="s">
        <v>47</v>
      </c>
      <c r="B44" s="189" t="s">
        <v>259</v>
      </c>
      <c r="C44" s="24">
        <v>230</v>
      </c>
      <c r="D44" s="10">
        <v>64622</v>
      </c>
      <c r="E44" s="10">
        <f t="shared" si="3"/>
        <v>14863060</v>
      </c>
      <c r="F44" s="4"/>
      <c r="G44" s="4"/>
      <c r="H44" s="4"/>
      <c r="I44" s="4"/>
      <c r="J44" s="4"/>
      <c r="K44" s="4"/>
      <c r="L44" s="4"/>
      <c r="M44" s="4"/>
      <c r="N44" s="4"/>
      <c r="O44" s="4"/>
      <c r="P44" s="4"/>
      <c r="Q44" s="4"/>
      <c r="R44" s="4"/>
      <c r="S44" s="4"/>
      <c r="T44" s="4"/>
      <c r="U44" s="4"/>
      <c r="V44" s="4"/>
      <c r="W44" s="4"/>
      <c r="X44" s="4"/>
      <c r="Y44" s="4"/>
      <c r="Z44" s="4"/>
    </row>
    <row r="45" spans="1:26" ht="12.75">
      <c r="A45" s="19" t="s">
        <v>48</v>
      </c>
      <c r="B45" s="189" t="s">
        <v>260</v>
      </c>
      <c r="C45" s="24">
        <v>432</v>
      </c>
      <c r="D45" s="10">
        <v>450</v>
      </c>
      <c r="E45" s="10">
        <f t="shared" si="3"/>
        <v>194400</v>
      </c>
      <c r="F45" s="4"/>
      <c r="G45" s="4"/>
      <c r="H45" s="4"/>
      <c r="I45" s="4"/>
      <c r="J45" s="4"/>
      <c r="K45" s="4"/>
      <c r="L45" s="4"/>
      <c r="M45" s="4"/>
      <c r="N45" s="4"/>
      <c r="O45" s="4"/>
      <c r="P45" s="4"/>
      <c r="Q45" s="4"/>
      <c r="R45" s="4"/>
      <c r="S45" s="4"/>
      <c r="T45" s="4"/>
      <c r="U45" s="4"/>
      <c r="V45" s="4"/>
      <c r="W45" s="4"/>
      <c r="X45" s="4"/>
      <c r="Y45" s="4"/>
      <c r="Z45" s="4"/>
    </row>
    <row r="46" spans="1:26" ht="12.75">
      <c r="A46" s="19" t="s">
        <v>49</v>
      </c>
      <c r="B46" s="189" t="s">
        <v>261</v>
      </c>
      <c r="C46" s="28">
        <v>5</v>
      </c>
      <c r="D46" s="10">
        <v>59900</v>
      </c>
      <c r="E46" s="10">
        <f t="shared" si="3"/>
        <v>299500</v>
      </c>
      <c r="F46" s="4"/>
      <c r="G46" s="4"/>
      <c r="H46" s="4"/>
      <c r="I46" s="4"/>
      <c r="J46" s="4"/>
      <c r="K46" s="4"/>
      <c r="L46" s="4"/>
      <c r="M46" s="4"/>
      <c r="N46" s="4"/>
      <c r="O46" s="4"/>
      <c r="P46" s="4"/>
      <c r="Q46" s="4"/>
      <c r="R46" s="4"/>
      <c r="S46" s="4"/>
      <c r="T46" s="4"/>
      <c r="U46" s="4"/>
      <c r="V46" s="4"/>
      <c r="W46" s="4"/>
      <c r="X46" s="4"/>
      <c r="Y46" s="4"/>
      <c r="Z46" s="4"/>
    </row>
    <row r="47" spans="1:26" ht="12.75">
      <c r="A47" s="19" t="s">
        <v>50</v>
      </c>
      <c r="B47" s="27" t="s">
        <v>51</v>
      </c>
      <c r="C47" s="28">
        <v>10</v>
      </c>
      <c r="D47" s="10">
        <v>117618</v>
      </c>
      <c r="E47" s="10">
        <f t="shared" si="3"/>
        <v>1176180</v>
      </c>
      <c r="F47" s="4"/>
      <c r="G47" s="4"/>
      <c r="H47" s="4"/>
      <c r="I47" s="4"/>
      <c r="J47" s="4"/>
      <c r="K47" s="4"/>
      <c r="L47" s="4"/>
      <c r="M47" s="4"/>
      <c r="N47" s="4"/>
      <c r="O47" s="4"/>
      <c r="P47" s="4"/>
      <c r="Q47" s="4"/>
      <c r="R47" s="4"/>
      <c r="S47" s="4"/>
      <c r="T47" s="4"/>
      <c r="U47" s="4"/>
      <c r="V47" s="4"/>
      <c r="W47" s="4"/>
      <c r="X47" s="4"/>
      <c r="Y47" s="4"/>
      <c r="Z47" s="4"/>
    </row>
    <row r="48" spans="1:26" ht="12.75">
      <c r="A48" s="19" t="s">
        <v>52</v>
      </c>
      <c r="B48" s="27" t="s">
        <v>53</v>
      </c>
      <c r="C48" s="28">
        <v>3</v>
      </c>
      <c r="D48" s="10">
        <v>120084</v>
      </c>
      <c r="E48" s="10">
        <f t="shared" si="3"/>
        <v>360252</v>
      </c>
      <c r="F48" s="4"/>
      <c r="G48" s="4"/>
      <c r="H48" s="4"/>
      <c r="I48" s="4"/>
      <c r="J48" s="4"/>
      <c r="K48" s="4"/>
      <c r="L48" s="4"/>
      <c r="M48" s="4"/>
      <c r="N48" s="4"/>
      <c r="O48" s="4"/>
      <c r="P48" s="4"/>
      <c r="Q48" s="4"/>
      <c r="R48" s="4"/>
      <c r="S48" s="4"/>
      <c r="T48" s="4"/>
      <c r="U48" s="4"/>
      <c r="V48" s="4"/>
      <c r="W48" s="4"/>
      <c r="X48" s="4"/>
      <c r="Y48" s="4"/>
      <c r="Z48" s="4"/>
    </row>
    <row r="49" spans="1:26" ht="12.75">
      <c r="A49" s="19" t="s">
        <v>54</v>
      </c>
      <c r="B49" s="27" t="s">
        <v>55</v>
      </c>
      <c r="C49" s="28">
        <v>3</v>
      </c>
      <c r="D49" s="10">
        <v>104584</v>
      </c>
      <c r="E49" s="10">
        <f t="shared" si="3"/>
        <v>313752</v>
      </c>
      <c r="F49" s="4"/>
      <c r="G49" s="4"/>
      <c r="H49" s="4"/>
      <c r="I49" s="4"/>
      <c r="J49" s="4"/>
      <c r="K49" s="4"/>
      <c r="L49" s="4"/>
      <c r="M49" s="4"/>
      <c r="N49" s="4"/>
      <c r="O49" s="4"/>
      <c r="P49" s="4"/>
      <c r="Q49" s="4"/>
      <c r="R49" s="4"/>
      <c r="S49" s="4"/>
      <c r="T49" s="4"/>
      <c r="U49" s="4"/>
      <c r="V49" s="4"/>
      <c r="W49" s="4"/>
      <c r="X49" s="4"/>
      <c r="Y49" s="4"/>
      <c r="Z49" s="4"/>
    </row>
    <row r="50" spans="1:26" ht="12.75">
      <c r="A50" s="19" t="s">
        <v>56</v>
      </c>
      <c r="B50" s="27" t="s">
        <v>57</v>
      </c>
      <c r="C50" s="28">
        <v>16</v>
      </c>
      <c r="D50" s="10">
        <v>31235</v>
      </c>
      <c r="E50" s="10">
        <f t="shared" si="3"/>
        <v>499760</v>
      </c>
      <c r="F50" s="4"/>
      <c r="G50" s="4"/>
      <c r="H50" s="4"/>
      <c r="I50" s="4"/>
      <c r="J50" s="4"/>
      <c r="K50" s="4"/>
      <c r="L50" s="4"/>
      <c r="M50" s="4"/>
      <c r="N50" s="4"/>
      <c r="O50" s="4"/>
      <c r="P50" s="4"/>
      <c r="Q50" s="4"/>
      <c r="R50" s="4"/>
      <c r="S50" s="4"/>
      <c r="T50" s="4"/>
      <c r="U50" s="4"/>
      <c r="V50" s="4"/>
      <c r="W50" s="4"/>
      <c r="X50" s="4"/>
      <c r="Y50" s="4"/>
      <c r="Z50" s="4"/>
    </row>
    <row r="51" spans="1:26" ht="12.75">
      <c r="A51" s="19" t="s">
        <v>58</v>
      </c>
      <c r="B51" s="27" t="s">
        <v>59</v>
      </c>
      <c r="C51" s="28">
        <v>450</v>
      </c>
      <c r="D51" s="10">
        <v>1059</v>
      </c>
      <c r="E51" s="10">
        <f t="shared" si="3"/>
        <v>476550</v>
      </c>
      <c r="F51" s="4"/>
      <c r="G51" s="4"/>
      <c r="H51" s="4"/>
      <c r="I51" s="4"/>
      <c r="J51" s="4"/>
      <c r="K51" s="4"/>
      <c r="L51" s="4"/>
      <c r="M51" s="4"/>
      <c r="N51" s="4"/>
      <c r="O51" s="4"/>
      <c r="P51" s="4"/>
      <c r="Q51" s="4"/>
      <c r="R51" s="4"/>
      <c r="S51" s="4"/>
      <c r="T51" s="4"/>
      <c r="U51" s="4"/>
      <c r="V51" s="4"/>
      <c r="W51" s="4"/>
      <c r="X51" s="4"/>
      <c r="Y51" s="4"/>
      <c r="Z51" s="4"/>
    </row>
    <row r="52" spans="1:26" ht="12.75">
      <c r="A52" s="19" t="s">
        <v>60</v>
      </c>
      <c r="B52" s="27" t="s">
        <v>57</v>
      </c>
      <c r="C52" s="28">
        <v>12</v>
      </c>
      <c r="D52" s="10">
        <v>23277</v>
      </c>
      <c r="E52" s="10">
        <f t="shared" si="3"/>
        <v>279324</v>
      </c>
      <c r="F52" s="4"/>
      <c r="G52" s="4"/>
      <c r="H52" s="4"/>
      <c r="I52" s="4"/>
      <c r="J52" s="4"/>
      <c r="K52" s="4"/>
      <c r="L52" s="4"/>
      <c r="M52" s="4"/>
      <c r="N52" s="4"/>
      <c r="O52" s="4"/>
      <c r="P52" s="4"/>
      <c r="Q52" s="4"/>
      <c r="R52" s="4"/>
      <c r="S52" s="4"/>
      <c r="T52" s="4"/>
      <c r="U52" s="4"/>
      <c r="V52" s="4"/>
      <c r="W52" s="4"/>
      <c r="X52" s="4"/>
      <c r="Y52" s="4"/>
      <c r="Z52" s="4"/>
    </row>
    <row r="53" spans="1:26" ht="12.75">
      <c r="A53" s="29" t="s">
        <v>61</v>
      </c>
      <c r="B53" s="27" t="s">
        <v>62</v>
      </c>
      <c r="C53" s="28">
        <v>24</v>
      </c>
      <c r="D53" s="10">
        <v>132000</v>
      </c>
      <c r="E53" s="10">
        <f t="shared" si="3"/>
        <v>3168000</v>
      </c>
      <c r="F53" s="4"/>
      <c r="G53" s="4"/>
      <c r="H53" s="4"/>
      <c r="I53" s="4"/>
      <c r="J53" s="4"/>
      <c r="K53" s="4"/>
      <c r="L53" s="4"/>
      <c r="M53" s="4"/>
      <c r="N53" s="4"/>
      <c r="O53" s="4"/>
      <c r="P53" s="4"/>
      <c r="Q53" s="4"/>
      <c r="R53" s="4"/>
      <c r="S53" s="4"/>
      <c r="T53" s="4"/>
      <c r="U53" s="4"/>
      <c r="V53" s="4"/>
      <c r="W53" s="4"/>
      <c r="X53" s="4"/>
      <c r="Y53" s="4"/>
      <c r="Z53" s="4"/>
    </row>
    <row r="54" spans="1:26" ht="12.75">
      <c r="A54" s="19" t="s">
        <v>63</v>
      </c>
      <c r="B54" s="27" t="s">
        <v>64</v>
      </c>
      <c r="C54" s="24">
        <v>50</v>
      </c>
      <c r="D54" s="10">
        <v>9615</v>
      </c>
      <c r="E54" s="10">
        <f t="shared" si="3"/>
        <v>480750</v>
      </c>
      <c r="F54" s="4"/>
      <c r="G54" s="4"/>
      <c r="H54" s="4"/>
      <c r="I54" s="4"/>
      <c r="J54" s="4"/>
      <c r="K54" s="4"/>
      <c r="L54" s="4"/>
      <c r="M54" s="4"/>
      <c r="N54" s="4"/>
      <c r="O54" s="4"/>
      <c r="P54" s="4"/>
      <c r="Q54" s="4"/>
      <c r="R54" s="4"/>
      <c r="S54" s="4"/>
      <c r="T54" s="4"/>
      <c r="U54" s="4"/>
      <c r="V54" s="4"/>
      <c r="W54" s="4"/>
      <c r="X54" s="4"/>
      <c r="Y54" s="4"/>
      <c r="Z54" s="4"/>
    </row>
    <row r="55" spans="1:26" ht="12.75">
      <c r="A55" s="182" t="s">
        <v>262</v>
      </c>
      <c r="B55" s="189" t="s">
        <v>268</v>
      </c>
      <c r="C55" s="28">
        <v>32</v>
      </c>
      <c r="D55" s="10">
        <v>35000</v>
      </c>
      <c r="E55" s="10">
        <f t="shared" si="3"/>
        <v>1120000</v>
      </c>
      <c r="F55" s="4"/>
      <c r="G55" s="4"/>
      <c r="H55" s="4"/>
      <c r="I55" s="4"/>
      <c r="J55" s="4"/>
      <c r="K55" s="4"/>
      <c r="L55" s="4"/>
      <c r="M55" s="4"/>
      <c r="N55" s="4"/>
      <c r="O55" s="4"/>
      <c r="P55" s="4"/>
      <c r="Q55" s="4"/>
      <c r="R55" s="4"/>
      <c r="S55" s="4"/>
      <c r="T55" s="4"/>
      <c r="U55" s="4"/>
      <c r="V55" s="4"/>
      <c r="W55" s="4"/>
      <c r="X55" s="4"/>
      <c r="Y55" s="4"/>
      <c r="Z55" s="4"/>
    </row>
    <row r="56" spans="1:26" ht="12.75">
      <c r="A56" s="19" t="s">
        <v>65</v>
      </c>
      <c r="B56" s="189" t="s">
        <v>263</v>
      </c>
      <c r="C56" s="28">
        <v>950</v>
      </c>
      <c r="D56" s="10">
        <v>2160</v>
      </c>
      <c r="E56" s="10">
        <f t="shared" si="3"/>
        <v>2052000</v>
      </c>
      <c r="F56" s="4"/>
      <c r="G56" s="4"/>
      <c r="H56" s="4"/>
      <c r="I56" s="4"/>
      <c r="J56" s="4"/>
      <c r="K56" s="4"/>
      <c r="L56" s="4"/>
      <c r="M56" s="4"/>
      <c r="N56" s="4"/>
      <c r="O56" s="4"/>
      <c r="P56" s="4"/>
      <c r="Q56" s="4"/>
      <c r="R56" s="4"/>
      <c r="S56" s="4"/>
      <c r="T56" s="4"/>
      <c r="U56" s="4"/>
      <c r="V56" s="4"/>
      <c r="W56" s="4"/>
      <c r="X56" s="4"/>
      <c r="Y56" s="4"/>
      <c r="Z56" s="4"/>
    </row>
    <row r="57" spans="1:26" ht="12.75">
      <c r="A57" s="19" t="s">
        <v>66</v>
      </c>
      <c r="B57" s="27" t="s">
        <v>67</v>
      </c>
      <c r="C57" s="28">
        <v>2700</v>
      </c>
      <c r="D57" s="10">
        <v>127.81</v>
      </c>
      <c r="E57" s="10">
        <f t="shared" si="3"/>
        <v>345087</v>
      </c>
      <c r="F57" s="4"/>
      <c r="G57" s="4"/>
      <c r="H57" s="4"/>
      <c r="I57" s="4"/>
      <c r="J57" s="4"/>
      <c r="K57" s="4"/>
      <c r="L57" s="4"/>
      <c r="M57" s="4"/>
      <c r="N57" s="4"/>
      <c r="O57" s="4"/>
      <c r="P57" s="4"/>
      <c r="Q57" s="4"/>
      <c r="R57" s="4"/>
      <c r="S57" s="4"/>
      <c r="T57" s="4"/>
      <c r="U57" s="4"/>
      <c r="V57" s="4"/>
      <c r="W57" s="4"/>
      <c r="X57" s="4"/>
      <c r="Y57" s="4"/>
      <c r="Z57" s="4"/>
    </row>
    <row r="58" spans="1:26" ht="12.75">
      <c r="A58" s="19" t="s">
        <v>68</v>
      </c>
      <c r="B58" s="27" t="s">
        <v>67</v>
      </c>
      <c r="C58" s="28">
        <v>2700</v>
      </c>
      <c r="D58" s="10">
        <v>22</v>
      </c>
      <c r="E58" s="10">
        <f t="shared" si="3"/>
        <v>59400</v>
      </c>
      <c r="F58" s="4"/>
      <c r="G58" s="4"/>
      <c r="H58" s="4"/>
      <c r="I58" s="4"/>
      <c r="J58" s="4"/>
      <c r="K58" s="4"/>
      <c r="L58" s="4"/>
      <c r="M58" s="4"/>
      <c r="N58" s="4"/>
      <c r="O58" s="4"/>
      <c r="P58" s="4"/>
      <c r="Q58" s="4"/>
      <c r="R58" s="4"/>
      <c r="S58" s="4"/>
      <c r="T58" s="4"/>
      <c r="U58" s="4"/>
      <c r="V58" s="4"/>
      <c r="W58" s="4"/>
      <c r="X58" s="4"/>
      <c r="Y58" s="4"/>
      <c r="Z58" s="4"/>
    </row>
    <row r="59" spans="1:26" ht="12.75">
      <c r="A59" s="19" t="s">
        <v>69</v>
      </c>
      <c r="B59" s="27" t="s">
        <v>67</v>
      </c>
      <c r="C59" s="28">
        <v>2700</v>
      </c>
      <c r="D59" s="10">
        <v>36.409999999999997</v>
      </c>
      <c r="E59" s="10">
        <f t="shared" si="3"/>
        <v>98306.999999999985</v>
      </c>
      <c r="F59" s="4"/>
      <c r="G59" s="4"/>
      <c r="H59" s="4"/>
      <c r="I59" s="4"/>
      <c r="J59" s="4"/>
      <c r="K59" s="4"/>
      <c r="L59" s="4"/>
      <c r="M59" s="4"/>
      <c r="N59" s="4"/>
      <c r="O59" s="4"/>
      <c r="P59" s="4"/>
      <c r="Q59" s="4"/>
      <c r="R59" s="4"/>
      <c r="S59" s="4"/>
      <c r="T59" s="4"/>
      <c r="U59" s="4"/>
      <c r="V59" s="4"/>
      <c r="W59" s="4"/>
      <c r="X59" s="4"/>
      <c r="Y59" s="4"/>
      <c r="Z59" s="4"/>
    </row>
    <row r="60" spans="1:26" ht="12.75">
      <c r="A60" s="19" t="s">
        <v>70</v>
      </c>
      <c r="B60" s="27" t="s">
        <v>71</v>
      </c>
      <c r="C60" s="28">
        <v>15</v>
      </c>
      <c r="D60" s="10">
        <v>2250</v>
      </c>
      <c r="E60" s="10">
        <f t="shared" si="3"/>
        <v>33750</v>
      </c>
      <c r="F60" s="4"/>
      <c r="G60" s="4"/>
      <c r="H60" s="4"/>
      <c r="I60" s="4"/>
      <c r="J60" s="4"/>
      <c r="K60" s="4"/>
      <c r="L60" s="4"/>
      <c r="M60" s="4"/>
      <c r="N60" s="4"/>
      <c r="O60" s="4"/>
      <c r="P60" s="4"/>
      <c r="Q60" s="4"/>
      <c r="R60" s="4"/>
      <c r="S60" s="4"/>
      <c r="T60" s="4"/>
      <c r="U60" s="4"/>
      <c r="V60" s="4"/>
      <c r="W60" s="4"/>
      <c r="X60" s="4"/>
      <c r="Y60" s="4"/>
      <c r="Z60" s="4"/>
    </row>
    <row r="61" spans="1:26" ht="12.75">
      <c r="A61" s="19" t="s">
        <v>72</v>
      </c>
      <c r="B61" s="27" t="s">
        <v>73</v>
      </c>
      <c r="C61" s="28">
        <v>1350</v>
      </c>
      <c r="D61" s="10">
        <v>1250</v>
      </c>
      <c r="E61" s="10">
        <f t="shared" si="3"/>
        <v>1687500</v>
      </c>
      <c r="F61" s="4"/>
      <c r="G61" s="4"/>
      <c r="H61" s="4"/>
      <c r="I61" s="4"/>
      <c r="J61" s="4"/>
      <c r="K61" s="4"/>
      <c r="L61" s="4"/>
      <c r="M61" s="4"/>
      <c r="N61" s="4"/>
      <c r="O61" s="4"/>
      <c r="P61" s="4"/>
      <c r="Q61" s="4"/>
      <c r="R61" s="4"/>
      <c r="S61" s="4"/>
      <c r="T61" s="4"/>
      <c r="U61" s="4"/>
      <c r="V61" s="4"/>
      <c r="W61" s="4"/>
      <c r="X61" s="4"/>
      <c r="Y61" s="4"/>
      <c r="Z61" s="4"/>
    </row>
    <row r="62" spans="1:26" ht="12.75">
      <c r="A62" s="19" t="s">
        <v>74</v>
      </c>
      <c r="B62" s="27" t="s">
        <v>75</v>
      </c>
      <c r="C62" s="28">
        <v>113</v>
      </c>
      <c r="D62" s="10">
        <v>1850</v>
      </c>
      <c r="E62" s="10">
        <f t="shared" si="3"/>
        <v>209050</v>
      </c>
      <c r="F62" s="4"/>
      <c r="G62" s="4"/>
      <c r="H62" s="4"/>
      <c r="I62" s="4"/>
      <c r="J62" s="4"/>
      <c r="K62" s="4"/>
      <c r="L62" s="4"/>
      <c r="M62" s="4"/>
      <c r="N62" s="4"/>
      <c r="O62" s="4"/>
      <c r="P62" s="4"/>
      <c r="Q62" s="4"/>
      <c r="R62" s="4"/>
      <c r="S62" s="4"/>
      <c r="T62" s="4"/>
      <c r="U62" s="4"/>
      <c r="V62" s="4"/>
      <c r="W62" s="4"/>
      <c r="X62" s="4"/>
      <c r="Y62" s="4"/>
      <c r="Z62" s="4"/>
    </row>
    <row r="63" spans="1:26" ht="12.75">
      <c r="A63" s="19" t="s">
        <v>76</v>
      </c>
      <c r="B63" s="27" t="s">
        <v>77</v>
      </c>
      <c r="C63" s="28">
        <v>15</v>
      </c>
      <c r="D63" s="10">
        <v>3500</v>
      </c>
      <c r="E63" s="10">
        <f t="shared" si="3"/>
        <v>52500</v>
      </c>
      <c r="F63" s="4"/>
      <c r="G63" s="4"/>
      <c r="H63" s="4"/>
      <c r="I63" s="4"/>
      <c r="J63" s="4"/>
      <c r="K63" s="4"/>
      <c r="L63" s="4"/>
      <c r="M63" s="4"/>
      <c r="N63" s="4"/>
      <c r="O63" s="4"/>
      <c r="P63" s="4"/>
      <c r="Q63" s="4"/>
      <c r="R63" s="4"/>
      <c r="S63" s="4"/>
      <c r="T63" s="4"/>
      <c r="U63" s="4"/>
      <c r="V63" s="4"/>
      <c r="W63" s="4"/>
      <c r="X63" s="4"/>
      <c r="Y63" s="4"/>
      <c r="Z63" s="4"/>
    </row>
    <row r="64" spans="1:26" ht="12.75">
      <c r="A64" s="19" t="s">
        <v>78</v>
      </c>
      <c r="B64" s="189" t="s">
        <v>264</v>
      </c>
      <c r="C64" s="28">
        <v>1500</v>
      </c>
      <c r="D64" s="10">
        <v>1500</v>
      </c>
      <c r="E64" s="10">
        <f t="shared" si="3"/>
        <v>2250000</v>
      </c>
      <c r="F64" s="4"/>
      <c r="G64" s="4"/>
      <c r="H64" s="4"/>
      <c r="I64" s="4"/>
      <c r="J64" s="4"/>
      <c r="K64" s="4"/>
      <c r="L64" s="4"/>
      <c r="M64" s="4"/>
      <c r="N64" s="4"/>
      <c r="O64" s="4"/>
      <c r="P64" s="4"/>
      <c r="Q64" s="4"/>
      <c r="R64" s="4"/>
      <c r="S64" s="4"/>
      <c r="T64" s="4"/>
      <c r="U64" s="4"/>
      <c r="V64" s="4"/>
      <c r="W64" s="4"/>
      <c r="X64" s="4"/>
      <c r="Y64" s="4"/>
      <c r="Z64" s="4"/>
    </row>
    <row r="65" spans="1:26" ht="12.75">
      <c r="A65" s="19" t="s">
        <v>79</v>
      </c>
      <c r="B65" s="27" t="s">
        <v>80</v>
      </c>
      <c r="C65" s="28">
        <v>32</v>
      </c>
      <c r="D65" s="10">
        <v>4500</v>
      </c>
      <c r="E65" s="10">
        <f t="shared" si="3"/>
        <v>144000</v>
      </c>
      <c r="F65" s="4"/>
      <c r="G65" s="4"/>
      <c r="H65" s="4"/>
      <c r="I65" s="4"/>
      <c r="J65" s="4"/>
      <c r="K65" s="4"/>
      <c r="L65" s="4"/>
      <c r="M65" s="4"/>
      <c r="N65" s="4"/>
      <c r="O65" s="4"/>
      <c r="P65" s="4"/>
      <c r="Q65" s="4"/>
      <c r="R65" s="4"/>
      <c r="S65" s="4"/>
      <c r="T65" s="4"/>
      <c r="U65" s="4"/>
      <c r="V65" s="4"/>
      <c r="W65" s="4"/>
      <c r="X65" s="4"/>
      <c r="Y65" s="4"/>
      <c r="Z65" s="4"/>
    </row>
    <row r="66" spans="1:26" ht="12.75">
      <c r="A66" s="182" t="s">
        <v>265</v>
      </c>
      <c r="B66" s="27" t="s">
        <v>80</v>
      </c>
      <c r="C66" s="28">
        <v>32</v>
      </c>
      <c r="D66" s="10">
        <v>8500</v>
      </c>
      <c r="E66" s="10">
        <f t="shared" si="3"/>
        <v>272000</v>
      </c>
      <c r="F66" s="4"/>
      <c r="G66" s="4"/>
      <c r="H66" s="4"/>
      <c r="I66" s="4"/>
      <c r="J66" s="4"/>
      <c r="K66" s="4"/>
      <c r="L66" s="4"/>
      <c r="M66" s="4"/>
      <c r="N66" s="4"/>
      <c r="O66" s="4"/>
      <c r="P66" s="4"/>
      <c r="Q66" s="4"/>
      <c r="R66" s="4"/>
      <c r="S66" s="4"/>
      <c r="T66" s="4"/>
      <c r="U66" s="4"/>
      <c r="V66" s="4"/>
      <c r="W66" s="4"/>
      <c r="X66" s="4"/>
      <c r="Y66" s="4"/>
      <c r="Z66" s="4"/>
    </row>
    <row r="67" spans="1:26" ht="12.75">
      <c r="A67" s="182" t="s">
        <v>266</v>
      </c>
      <c r="B67" s="189" t="s">
        <v>267</v>
      </c>
      <c r="C67" s="28">
        <v>450</v>
      </c>
      <c r="D67" s="10">
        <v>4454</v>
      </c>
      <c r="E67" s="10">
        <f t="shared" si="3"/>
        <v>2004300</v>
      </c>
      <c r="F67" s="4"/>
      <c r="G67" s="4"/>
      <c r="H67" s="4"/>
      <c r="I67" s="4"/>
      <c r="J67" s="4"/>
      <c r="K67" s="4"/>
      <c r="L67" s="4"/>
      <c r="M67" s="4"/>
      <c r="N67" s="4"/>
      <c r="O67" s="4"/>
      <c r="P67" s="4"/>
      <c r="Q67" s="4"/>
      <c r="R67" s="4"/>
      <c r="S67" s="4"/>
      <c r="T67" s="4"/>
      <c r="U67" s="4"/>
      <c r="V67" s="4"/>
      <c r="W67" s="4"/>
      <c r="X67" s="4"/>
      <c r="Y67" s="4"/>
      <c r="Z67" s="4"/>
    </row>
    <row r="68" spans="1:26" ht="12.75">
      <c r="A68" s="52" t="s">
        <v>81</v>
      </c>
      <c r="B68" s="53"/>
      <c r="C68" s="53"/>
      <c r="D68" s="53"/>
      <c r="E68" s="54">
        <f>SUM(E42:E67,E38:E40)</f>
        <v>120967573</v>
      </c>
      <c r="F68" s="207"/>
      <c r="G68" s="4"/>
      <c r="H68" s="4"/>
      <c r="I68" s="4"/>
      <c r="J68" s="4"/>
      <c r="K68" s="4"/>
      <c r="L68" s="4"/>
      <c r="M68" s="4"/>
      <c r="N68" s="4"/>
      <c r="O68" s="4"/>
      <c r="P68" s="4"/>
      <c r="Q68" s="4"/>
      <c r="R68" s="4"/>
      <c r="S68" s="4"/>
      <c r="T68" s="4"/>
      <c r="U68" s="4"/>
      <c r="V68" s="4"/>
      <c r="W68" s="4"/>
      <c r="X68" s="4"/>
      <c r="Y68" s="4"/>
      <c r="Z68" s="4"/>
    </row>
    <row r="69" spans="1:26" ht="12.75">
      <c r="A69" s="55" t="s">
        <v>134</v>
      </c>
      <c r="B69" s="55"/>
      <c r="C69" s="55"/>
      <c r="D69" s="55"/>
      <c r="E69" s="56">
        <f>+SUM(E68+E36+E26)</f>
        <v>425175872</v>
      </c>
      <c r="F69" s="219"/>
      <c r="G69" s="4"/>
      <c r="H69" s="4"/>
      <c r="I69" s="4"/>
      <c r="J69" s="4"/>
      <c r="K69" s="4"/>
      <c r="L69" s="4"/>
      <c r="M69" s="4"/>
      <c r="N69" s="4"/>
      <c r="O69" s="4"/>
      <c r="P69" s="4"/>
      <c r="Q69" s="4"/>
      <c r="R69" s="4"/>
      <c r="S69" s="4"/>
      <c r="T69" s="4"/>
      <c r="U69" s="4"/>
      <c r="V69" s="4"/>
      <c r="W69" s="4"/>
      <c r="X69" s="4"/>
      <c r="Y69" s="4"/>
      <c r="Z69" s="4"/>
    </row>
    <row r="70" spans="1:26" ht="12.75">
      <c r="A70" s="4"/>
      <c r="B70" s="4"/>
      <c r="C70" s="4"/>
      <c r="D70" s="4"/>
      <c r="E70" s="4"/>
      <c r="F70" s="219"/>
      <c r="G70" s="219"/>
      <c r="H70" s="219"/>
      <c r="I70" s="219"/>
      <c r="J70" s="219"/>
      <c r="K70" s="4"/>
      <c r="L70" s="4"/>
      <c r="M70" s="4"/>
      <c r="N70" s="4"/>
      <c r="O70" s="4"/>
      <c r="P70" s="4"/>
      <c r="Q70" s="4"/>
      <c r="R70" s="4"/>
      <c r="S70" s="4"/>
      <c r="T70" s="4"/>
      <c r="U70" s="4"/>
      <c r="V70" s="4"/>
      <c r="W70" s="4"/>
      <c r="X70" s="4"/>
      <c r="Y70" s="4"/>
      <c r="Z70" s="4"/>
    </row>
    <row r="71" spans="1:26" ht="12.75">
      <c r="A71" s="4"/>
      <c r="B71" s="4"/>
      <c r="C71" s="4"/>
      <c r="D71" s="4"/>
      <c r="E71" s="4"/>
      <c r="F71" s="4"/>
      <c r="G71" s="4"/>
      <c r="H71" s="4"/>
      <c r="I71" s="4"/>
      <c r="J71" s="4"/>
      <c r="K71" s="4"/>
      <c r="L71" s="4"/>
      <c r="M71" s="4"/>
      <c r="N71" s="4"/>
      <c r="O71" s="4"/>
      <c r="P71" s="4"/>
      <c r="Q71" s="4"/>
      <c r="R71" s="4"/>
      <c r="S71" s="4"/>
      <c r="T71" s="4"/>
      <c r="U71" s="4"/>
      <c r="V71" s="4"/>
      <c r="W71" s="4"/>
      <c r="X71" s="4"/>
    </row>
    <row r="72" spans="1:26" ht="12.75">
      <c r="A72" s="4"/>
      <c r="B72" s="4"/>
      <c r="C72" s="4"/>
      <c r="D72" s="4"/>
      <c r="E72" s="4"/>
      <c r="F72" s="4"/>
      <c r="G72" s="4"/>
      <c r="H72" s="4"/>
      <c r="I72" s="4"/>
      <c r="J72" s="4"/>
      <c r="K72" s="4"/>
      <c r="L72" s="4"/>
      <c r="M72" s="4"/>
      <c r="N72" s="4"/>
      <c r="O72" s="4"/>
      <c r="P72" s="4"/>
      <c r="Q72" s="4"/>
      <c r="R72" s="4"/>
      <c r="S72" s="4"/>
      <c r="T72" s="4"/>
      <c r="U72" s="4"/>
      <c r="V72" s="4"/>
      <c r="W72" s="4"/>
      <c r="X72" s="4"/>
    </row>
    <row r="73" spans="1:26" ht="12.7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2.7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2.7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2.7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2.7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2.7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2.7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2.7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2.7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2.7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2.7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2.7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2.7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2.7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2.7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2.7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2.7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2.7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2.7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2.7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2.7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2.7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2.7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2.7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2.7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2.7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2.7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2.7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2.7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2.7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2.7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2.7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2.7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2.7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2.7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2.7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2.7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2.7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2.7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2.7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2.7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2.7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2.7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2.7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2.7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2.7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2.7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2.7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2.7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2.7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2.7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2.7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2.7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2.7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2.7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2.7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2.7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2.7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2.7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2.7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2.7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2.7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2.7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2.7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2.7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2.7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2.7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2.7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2.7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2.7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2.7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2.7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2.7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2.7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2.7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2.7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2.7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2.7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2.7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2.7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2.7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2.7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2.7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2.7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2.7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2.7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2.7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2.7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2.7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2.7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2.7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2.7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2.7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2.7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2.7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2.7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2.7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2.7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2.7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2.7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2.7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2.7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2.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2.7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2.7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2.7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2.7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2.7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2.7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2.7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2.7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2.7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2.7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2.7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2.7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2.7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2.7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2.7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2.7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2.7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2.7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2.7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2.7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2.7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2.7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2.7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2.7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2.7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2.7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2.7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2.7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2.7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2.7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2.7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2.7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2.7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2.7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2.7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2.7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2.7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2.7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2.7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2.7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2.7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2.7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2.7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2.7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2.7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2.7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2.7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2.7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2.7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2.7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2.7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2.7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2.7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2.7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2.7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2.7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2.7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2.7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2.7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2.7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2.7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2.7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2.7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2.7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2.7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2.7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2.7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2.7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2.7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2.7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2.7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2.7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2.7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2.7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2.7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2.7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2.7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2.7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2.7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2.7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2.7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2.7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2.7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2.7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2.7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2.7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2.7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2.7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2.7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2.7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2.7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2.7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2.7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2.7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2.7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2.7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2.7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2.7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2.7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2.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2.7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2.7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2.7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2.7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2.7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2.7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2.7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2.7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2.7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2.7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2.7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2.7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2.7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2.7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2.7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2.7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2.7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2.7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2.7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2.7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2.7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2.7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2.7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2.7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2.7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2.7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2.7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2.7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2.7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2.7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2.7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2.7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2.7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2.7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2.7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2.7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2.7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2.7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2.7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2.7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2.7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2.7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2.7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2.7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2.7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2.7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2.7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2.7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2.7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2.7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2.7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2.7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2.7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2.7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2.7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2.7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2.7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2.7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2.7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2.7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2.7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2.7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2.7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2.7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2.7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2.7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2.7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2.7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2.7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2.7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2.7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2.7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2.7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2.7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2.7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2.7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2.7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2.7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2.7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2.7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2.7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2.7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2.7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2.7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2.7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2.7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2.7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2.7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2.7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2.7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2.7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2.7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2.7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2.7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2.7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2.7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2.7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2.7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2.7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2.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2.7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2.7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2.7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2.7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2.7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2.7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2.7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2.7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2.7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2.7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2.7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2.7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2.7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2.7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2.7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2.7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2.7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2.7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2.7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2.7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2.7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2.7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2.7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2.7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2.7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2.7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2.7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2.7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2.7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2.7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2.7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2.7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2.7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2.7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2.7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2.7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2.7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2.7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2.7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2.7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2.7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2.7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2.7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2.7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2.7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2.7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2.7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2.7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2.7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2.7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2.7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2.7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2.7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2.7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2.7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2.7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2.7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2.7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2.7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2.7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2.7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2.7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2.7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2.7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2.7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2.7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2.7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2.7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2.7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2.7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2.7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2.7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2.7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2.7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2.7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2.7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2.7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2.7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2.7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2.7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2.7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2.7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2.7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2.7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2.7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2.7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2.7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2.7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2.7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2.7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2.7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2.7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2.7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2.7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2.7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2.7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2.7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2.7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2.7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2.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2.7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2.7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2.7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2.7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2.7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2.7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2.7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2.7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2.7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2.7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2.7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2.7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2.7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2.7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2.7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2.7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2.7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2.7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2.7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2.7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2.7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2.7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2.7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2.7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2.7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2.7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2.7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2.7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2.7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2.7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2.7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2.7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2.7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2.7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2.7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2.7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2.7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2.7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2.7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2.7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2.7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2.7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2.7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2.7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2.7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2.7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2.7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2.7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2.7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2.7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2.7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2.7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2.7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2.7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2.7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2.7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2.7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2.7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2.7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2.7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2.7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2.7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2.7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2.7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2.7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2.7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2.7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2.7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2.7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2.7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2.7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2.7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2.7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2.7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2.7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2.7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2.7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2.7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2.7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2.7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2.7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2.7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2.7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2.7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2.7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2.7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2.7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2.7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2.7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2.7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2.7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2.7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2.7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2.7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2.7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2.7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2.7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2.7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2.7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2.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2.7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2.7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2.7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2.7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2.7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2.7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2.7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2.7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2.7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2.7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2.7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2.7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2.7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2.7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2.7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2.7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2.7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2.7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2.7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2.7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2.7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2.7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2.7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2.7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2.7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2.7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2.7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2.7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2.7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2.7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2.7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2.7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2.7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2.7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2.7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2.7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2.7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2.7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2.7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2.7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2.7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2.7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2.7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2.7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2.7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2.7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2.7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2.7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2.7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2.7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2.7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2.7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2.7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2.7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2.7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2.7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2.7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2.7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2.7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2.7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2.7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2.7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2.7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2.7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2.7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2.7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2.7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2.7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2.7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2.7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2.7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2.7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2.7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2.7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2.7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2.7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2.7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2.7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2.7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2.7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2.7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2.7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2.7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2.7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2.7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2.7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2.7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2.7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2.7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2.7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2.7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2.7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2.7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2.7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2.7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2.7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2.7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2.7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2.7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2.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2.7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2.7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2.7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2.7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2.7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2.7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2.7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2.7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2.7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2.7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2.7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2.7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2.7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2.7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2.7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2.7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2.7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2.7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2.7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2.7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2.7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2.7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2.7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2.7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2.7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2.7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2.7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2.7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2.7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2.7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2.7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2.7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2.7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2.7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2.7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2.7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2.7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2.7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2.7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2.7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2.7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2.7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2.7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2.7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2.7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2.7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2.7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2.7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2.7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2.7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2.7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2.7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2.7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2.7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2.7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2.7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2.7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2.7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2.7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2.7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2.7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2.7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2.7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2.7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2.7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2.7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2.7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2.7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2.7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2.7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2.7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2.7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2.7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2.7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2.7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2.7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2.7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2.7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2.7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2.7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2.7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2.7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2.7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2.7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2.7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2.7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2.7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2.7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2.7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2.7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2.7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2.7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2.7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2.7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2.7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2.7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2.7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2.7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2.7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2.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2.7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2.7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2.7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2.7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2.7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2.7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2.7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2.7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2.7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2.7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2.7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2.7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2.7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2.7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2.7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2.7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2.7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2.7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2.7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2.7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2.7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2.7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2.7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2.7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2.7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2.7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2.7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2.7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2.7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2.7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2.7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2.7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2.7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2.7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2.7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2.7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2.7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2.7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2.7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2.7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2.7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2.7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2.7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2.7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2.7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2.7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2.7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2.7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2.7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2.7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2.7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2.7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2.7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2.7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2.7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2.7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2.7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2.7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2.7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2.7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2.7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2.7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2.7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2.7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2.7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2.7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2.7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2.7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2.7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2.7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2.7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2.7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2.7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2.7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2.7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2.7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2.7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2.7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2.7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2.7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2.7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2.7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2.7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2.7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2.7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2.7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2.7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2.7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2.7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2.7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2.7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2.7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2.7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2.7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2.7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2.7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2.7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2.7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2.7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2.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2.7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2.7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2.7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2.7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2.7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2.7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2.7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2.7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2.7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2.7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2.7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2.7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2.7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2.7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2.7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2.7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2.7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2.7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2.7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2.7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2.7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2.7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2.7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2.7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2.7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2.7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2.7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2.7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2.7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2.7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2.7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2.7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2.7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2.7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2.7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2.7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2.7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2.7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2.7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2.7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2.7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2.7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2.7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2.7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2.7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2.7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2.7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2.7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2.7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2.7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2.7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2.7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2.7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2.7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2.7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2.7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2.7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2.7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2.7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2.7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2.7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2.7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2.7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2.7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2.7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2.7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2.7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2.7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2.7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2.7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2.7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2.7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2.7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2.7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2.7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2.7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2.7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2.7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2.7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2.7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2.7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2.7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2.7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2.7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2.7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2.7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2.7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2.7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2.7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2.7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2.7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2.7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2.7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2.7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2.7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2.7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2.7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2.7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2.7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2.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2.7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2.7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2.7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2.7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2.7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2.7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2.7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2.7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2.7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2.7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2.7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2.7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2.7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2.7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2.7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2.7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2.7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2.7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2.7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2.7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2.7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2.7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2.7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2.7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2.7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8">
    <mergeCell ref="C2:E2"/>
    <mergeCell ref="C27:E27"/>
    <mergeCell ref="C36:D36"/>
    <mergeCell ref="A41:E41"/>
    <mergeCell ref="C16:D16"/>
    <mergeCell ref="C3:D3"/>
    <mergeCell ref="C22:D22"/>
    <mergeCell ref="C24:D24"/>
  </mergeCells>
  <pageMargins left="0.7" right="0.7" top="0.75" bottom="0.75" header="0.3" footer="0.3"/>
  <pageSetup paperSize="9" orientation="portrait" horizontalDpi="0" verticalDpi="0" r:id="rId1"/>
  <ignoredErrors>
    <ignoredError sqref="E22 E16 E24" formula="1"/>
  </ignoredErrors>
</worksheet>
</file>

<file path=xl/worksheets/sheet10.xml><?xml version="1.0" encoding="utf-8"?>
<worksheet xmlns="http://schemas.openxmlformats.org/spreadsheetml/2006/main" xmlns:r="http://schemas.openxmlformats.org/officeDocument/2006/relationships">
  <dimension ref="A1:AR72"/>
  <sheetViews>
    <sheetView zoomScale="73" zoomScaleNormal="75" workbookViewId="0"/>
  </sheetViews>
  <sheetFormatPr baseColWidth="10" defaultRowHeight="15"/>
  <cols>
    <col min="1" max="1" width="18.140625" style="234" bestFit="1" customWidth="1"/>
    <col min="2" max="2" width="17.5703125" style="234" bestFit="1" customWidth="1"/>
    <col min="3" max="3" width="1.5703125" style="234" customWidth="1"/>
    <col min="4" max="4" width="16.28515625" style="234" bestFit="1" customWidth="1"/>
    <col min="5" max="5" width="18.140625" style="234" bestFit="1" customWidth="1"/>
    <col min="6" max="6" width="2.140625" style="234" customWidth="1"/>
    <col min="7" max="8" width="16.28515625" style="234" bestFit="1" customWidth="1"/>
    <col min="9" max="9" width="2.140625" style="234" customWidth="1"/>
    <col min="10" max="10" width="18.42578125" style="234" bestFit="1" customWidth="1"/>
    <col min="11" max="11" width="16" style="234" bestFit="1" customWidth="1"/>
    <col min="12" max="12" width="1.7109375" style="234" customWidth="1"/>
    <col min="13" max="13" width="16.28515625" style="234" bestFit="1" customWidth="1"/>
    <col min="14" max="14" width="13.85546875" style="234" bestFit="1" customWidth="1"/>
    <col min="15" max="15" width="2.28515625" style="234" customWidth="1"/>
    <col min="16" max="16" width="17.42578125" style="234" bestFit="1" customWidth="1"/>
    <col min="17" max="17" width="16.28515625" style="234" bestFit="1" customWidth="1"/>
    <col min="18" max="18" width="2.42578125" style="234" customWidth="1"/>
    <col min="19" max="19" width="18.140625" style="234" bestFit="1" customWidth="1"/>
    <col min="20" max="20" width="16.28515625" style="234" bestFit="1" customWidth="1"/>
    <col min="21" max="21" width="2.140625" style="234" customWidth="1"/>
    <col min="22" max="22" width="16.28515625" style="234" bestFit="1" customWidth="1"/>
    <col min="23" max="23" width="15.42578125" style="234" bestFit="1" customWidth="1"/>
    <col min="24" max="24" width="17.140625" style="234" bestFit="1" customWidth="1"/>
    <col min="25" max="25" width="16.28515625" style="234" bestFit="1" customWidth="1"/>
    <col min="26" max="26" width="15.85546875" style="234" bestFit="1" customWidth="1"/>
    <col min="27" max="27" width="18.140625" style="234" bestFit="1" customWidth="1"/>
    <col min="28" max="28" width="16.28515625" style="234" bestFit="1" customWidth="1"/>
    <col min="29" max="29" width="1.85546875" style="234" customWidth="1"/>
    <col min="30" max="32" width="18.140625" style="234" bestFit="1" customWidth="1"/>
    <col min="33" max="33" width="11.42578125" style="234"/>
    <col min="34" max="34" width="17.42578125" style="234" bestFit="1" customWidth="1"/>
    <col min="35" max="35" width="17.85546875" style="234" bestFit="1" customWidth="1"/>
    <col min="36" max="36" width="11.42578125" style="234"/>
    <col min="37" max="37" width="17.7109375" style="234" bestFit="1" customWidth="1"/>
    <col min="38" max="38" width="17.5703125" style="234" bestFit="1" customWidth="1"/>
    <col min="39" max="39" width="11.42578125" style="234"/>
    <col min="40" max="41" width="17.5703125" style="234" bestFit="1" customWidth="1"/>
    <col min="42" max="42" width="11.42578125" style="234"/>
    <col min="43" max="44" width="17.5703125" style="234" bestFit="1" customWidth="1"/>
    <col min="45" max="16384" width="11.42578125" style="234"/>
  </cols>
  <sheetData>
    <row r="1" spans="1:44" s="233" customFormat="1" ht="15.75">
      <c r="A1" s="233" t="s">
        <v>275</v>
      </c>
      <c r="D1" s="233" t="s">
        <v>334</v>
      </c>
      <c r="G1" s="233" t="s">
        <v>335</v>
      </c>
      <c r="J1" s="233" t="s">
        <v>336</v>
      </c>
      <c r="M1" s="233" t="s">
        <v>337</v>
      </c>
      <c r="P1" s="233" t="s">
        <v>286</v>
      </c>
      <c r="S1" s="233" t="s">
        <v>338</v>
      </c>
      <c r="V1" s="233" t="s">
        <v>289</v>
      </c>
      <c r="AE1" s="233" t="s">
        <v>109</v>
      </c>
      <c r="AH1" s="233" t="s">
        <v>110</v>
      </c>
      <c r="AK1" s="233" t="s">
        <v>111</v>
      </c>
      <c r="AN1" s="233" t="s">
        <v>112</v>
      </c>
      <c r="AQ1" s="233" t="s">
        <v>113</v>
      </c>
    </row>
    <row r="2" spans="1:44">
      <c r="A2" s="234" t="s">
        <v>339</v>
      </c>
      <c r="B2" s="234" t="s">
        <v>340</v>
      </c>
      <c r="D2" s="234" t="s">
        <v>339</v>
      </c>
      <c r="E2" s="234" t="s">
        <v>340</v>
      </c>
      <c r="G2" s="234" t="s">
        <v>339</v>
      </c>
      <c r="H2" s="234" t="s">
        <v>340</v>
      </c>
      <c r="J2" s="234" t="s">
        <v>339</v>
      </c>
      <c r="K2" s="234" t="s">
        <v>340</v>
      </c>
      <c r="M2" s="234" t="s">
        <v>339</v>
      </c>
      <c r="N2" s="234" t="s">
        <v>340</v>
      </c>
      <c r="P2" s="234" t="s">
        <v>339</v>
      </c>
      <c r="Q2" s="234" t="s">
        <v>340</v>
      </c>
      <c r="S2" s="234" t="s">
        <v>339</v>
      </c>
      <c r="T2" s="234" t="s">
        <v>340</v>
      </c>
      <c r="V2" s="234" t="s">
        <v>339</v>
      </c>
      <c r="W2" s="234" t="s">
        <v>340</v>
      </c>
      <c r="AD2" s="234" t="s">
        <v>275</v>
      </c>
      <c r="AE2" s="235">
        <f>A10+A32</f>
        <v>430038155</v>
      </c>
      <c r="AH2" s="235">
        <f>+AE2+A42</f>
        <v>732798937.71366835</v>
      </c>
      <c r="AK2" s="235">
        <f>+AH2+A52</f>
        <v>207706143.96634507</v>
      </c>
      <c r="AN2" s="235">
        <f>+AK2+A61</f>
        <v>701428937.3659035</v>
      </c>
      <c r="AQ2" s="235">
        <f>+AN2+A72</f>
        <v>1268626909.7695718</v>
      </c>
    </row>
    <row r="3" spans="1:44">
      <c r="A3" s="236">
        <v>290000000</v>
      </c>
      <c r="B3" s="236"/>
      <c r="C3" s="236"/>
      <c r="D3" s="236"/>
      <c r="E3" s="236">
        <f>A3</f>
        <v>290000000</v>
      </c>
      <c r="F3" s="236"/>
      <c r="G3" s="236"/>
      <c r="H3" s="236"/>
      <c r="I3" s="236"/>
      <c r="J3" s="236">
        <v>10338599</v>
      </c>
      <c r="K3" s="236"/>
      <c r="M3" s="236">
        <v>11299700</v>
      </c>
      <c r="N3" s="236"/>
      <c r="O3" s="236"/>
      <c r="P3" s="236">
        <v>135000000</v>
      </c>
      <c r="Q3" s="236"/>
      <c r="S3" s="236">
        <v>33370346</v>
      </c>
      <c r="T3" s="236"/>
      <c r="U3" s="236"/>
      <c r="V3" s="236">
        <v>1080000</v>
      </c>
      <c r="W3" s="236"/>
      <c r="AD3" s="234" t="s">
        <v>336</v>
      </c>
      <c r="AE3" s="235">
        <f>+J9</f>
        <v>10338599</v>
      </c>
      <c r="AH3" s="235">
        <f>+AE3</f>
        <v>10338599</v>
      </c>
      <c r="AK3" s="235">
        <f>+AH3</f>
        <v>10338599</v>
      </c>
      <c r="AN3" s="235">
        <f>+AK3</f>
        <v>10338599</v>
      </c>
      <c r="AQ3" s="235">
        <f>+AN3</f>
        <v>10338599</v>
      </c>
    </row>
    <row r="4" spans="1:44">
      <c r="A4" s="236">
        <v>212587936</v>
      </c>
      <c r="B4" s="236">
        <f>V3</f>
        <v>1080000</v>
      </c>
      <c r="C4" s="236"/>
      <c r="D4" s="236"/>
      <c r="E4" s="236"/>
      <c r="F4" s="236"/>
      <c r="G4" s="236"/>
      <c r="H4" s="236">
        <f>A4</f>
        <v>212587936</v>
      </c>
      <c r="I4" s="236"/>
      <c r="J4" s="236"/>
      <c r="K4" s="236"/>
      <c r="M4" s="236"/>
      <c r="N4" s="236"/>
      <c r="O4" s="236"/>
      <c r="P4" s="236"/>
      <c r="Q4" s="236"/>
      <c r="S4" s="237"/>
      <c r="T4" s="236"/>
      <c r="U4" s="236"/>
      <c r="V4" s="236"/>
      <c r="W4" s="236"/>
      <c r="AD4" s="234" t="s">
        <v>337</v>
      </c>
      <c r="AE4" s="235">
        <f>+M9</f>
        <v>11299700</v>
      </c>
      <c r="AH4" s="235">
        <f>+AE4</f>
        <v>11299700</v>
      </c>
      <c r="AK4" s="235">
        <f>+AH4</f>
        <v>11299700</v>
      </c>
      <c r="AN4" s="235">
        <f>+AK4</f>
        <v>11299700</v>
      </c>
      <c r="AQ4" s="235">
        <f>+AN4</f>
        <v>11299700</v>
      </c>
    </row>
    <row r="5" spans="1:44">
      <c r="A5" s="236"/>
      <c r="B5" s="236">
        <f>J3</f>
        <v>10338599</v>
      </c>
      <c r="C5" s="236"/>
      <c r="D5" s="236"/>
      <c r="E5" s="236"/>
      <c r="F5" s="236"/>
      <c r="G5" s="236"/>
      <c r="H5" s="236"/>
      <c r="I5" s="236"/>
      <c r="J5" s="236"/>
      <c r="K5" s="236"/>
      <c r="M5" s="236"/>
      <c r="N5" s="236"/>
      <c r="O5" s="236"/>
      <c r="P5" s="236"/>
      <c r="Q5" s="236"/>
      <c r="S5" s="236"/>
      <c r="T5" s="236"/>
      <c r="U5" s="236"/>
      <c r="V5" s="236"/>
      <c r="W5" s="236"/>
      <c r="AD5" s="234" t="s">
        <v>286</v>
      </c>
      <c r="AE5" s="235">
        <f>+P9</f>
        <v>135000000</v>
      </c>
      <c r="AH5" s="235">
        <f>+AE5</f>
        <v>135000000</v>
      </c>
      <c r="AK5" s="235">
        <f>+AH5</f>
        <v>135000000</v>
      </c>
      <c r="AN5" s="235">
        <f>+AK5</f>
        <v>135000000</v>
      </c>
      <c r="AQ5" s="235">
        <f>+AN5</f>
        <v>135000000</v>
      </c>
    </row>
    <row r="6" spans="1:44">
      <c r="A6" s="236"/>
      <c r="B6" s="236">
        <f>M3</f>
        <v>11299700</v>
      </c>
      <c r="C6" s="236"/>
      <c r="D6" s="236"/>
      <c r="E6" s="236"/>
      <c r="F6" s="236"/>
      <c r="G6" s="236"/>
      <c r="H6" s="236"/>
      <c r="I6" s="236"/>
      <c r="J6" s="236"/>
      <c r="K6" s="236"/>
      <c r="M6" s="236"/>
      <c r="N6" s="236"/>
      <c r="O6" s="236"/>
      <c r="P6" s="236"/>
      <c r="Q6" s="236"/>
      <c r="S6" s="236"/>
      <c r="T6" s="236"/>
      <c r="U6" s="236"/>
      <c r="V6" s="236"/>
      <c r="W6" s="236"/>
      <c r="AD6" s="234" t="s">
        <v>338</v>
      </c>
      <c r="AE6" s="235">
        <f>+S10+S15-T15</f>
        <v>73838206</v>
      </c>
      <c r="AH6" s="235">
        <f>+AE6+S43-T43</f>
        <v>106033208.35079999</v>
      </c>
      <c r="AK6" s="235">
        <f>+AH6-T49+S49</f>
        <v>56058784.284159958</v>
      </c>
      <c r="AN6" s="235">
        <f>+AK6-T57+S57</f>
        <v>45001484.796203941</v>
      </c>
      <c r="AQ6" s="235">
        <f>+AN6+S68-T68</f>
        <v>41278455.359452277</v>
      </c>
    </row>
    <row r="7" spans="1:44">
      <c r="A7" s="236"/>
      <c r="B7" s="236">
        <f>P3</f>
        <v>135000000</v>
      </c>
      <c r="C7" s="236"/>
      <c r="D7" s="236"/>
      <c r="E7" s="236"/>
      <c r="F7" s="236"/>
      <c r="G7" s="236"/>
      <c r="H7" s="236"/>
      <c r="I7" s="236"/>
      <c r="J7" s="236"/>
      <c r="K7" s="236"/>
      <c r="M7" s="236"/>
      <c r="N7" s="236"/>
      <c r="O7" s="236"/>
      <c r="P7" s="236"/>
      <c r="Q7" s="236"/>
      <c r="S7" s="236"/>
      <c r="T7" s="236"/>
      <c r="U7" s="236"/>
      <c r="V7" s="236"/>
      <c r="W7" s="236"/>
      <c r="AD7" s="234" t="s">
        <v>341</v>
      </c>
      <c r="AE7" s="235"/>
      <c r="AH7" s="235"/>
      <c r="AK7" s="235">
        <f>+B50</f>
        <v>980000000</v>
      </c>
      <c r="AN7" s="235">
        <f>+AK7</f>
        <v>980000000</v>
      </c>
      <c r="AQ7" s="235">
        <f>+AN7</f>
        <v>980000000</v>
      </c>
    </row>
    <row r="8" spans="1:44">
      <c r="A8" s="236"/>
      <c r="B8" s="236">
        <f>S3</f>
        <v>33370346</v>
      </c>
      <c r="C8" s="236"/>
      <c r="D8" s="236"/>
      <c r="E8" s="236"/>
      <c r="F8" s="236"/>
      <c r="G8" s="236"/>
      <c r="H8" s="236"/>
      <c r="I8" s="236"/>
      <c r="J8" s="236"/>
      <c r="K8" s="236"/>
      <c r="M8" s="236"/>
      <c r="N8" s="236"/>
      <c r="O8" s="236"/>
      <c r="P8" s="236"/>
      <c r="Q8" s="236"/>
      <c r="S8" s="236"/>
      <c r="T8" s="236"/>
      <c r="U8" s="236"/>
      <c r="V8" s="236"/>
      <c r="W8" s="236"/>
      <c r="AD8" s="234" t="s">
        <v>342</v>
      </c>
      <c r="AE8" s="235">
        <f>+V3</f>
        <v>1080000</v>
      </c>
      <c r="AH8" s="235">
        <f>+AE8</f>
        <v>1080000</v>
      </c>
      <c r="AK8" s="235">
        <f>+AH8</f>
        <v>1080000</v>
      </c>
      <c r="AN8" s="235">
        <f>+AK8</f>
        <v>1080000</v>
      </c>
      <c r="AQ8" s="235">
        <f>+AN8</f>
        <v>1080000</v>
      </c>
    </row>
    <row r="9" spans="1:44">
      <c r="A9" s="238">
        <f>SUM(A3:A8)</f>
        <v>502587936</v>
      </c>
      <c r="B9" s="238">
        <f>SUM(B3:B8)</f>
        <v>191088645</v>
      </c>
      <c r="C9" s="238"/>
      <c r="D9" s="238">
        <f>SUM(D3:D8)</f>
        <v>0</v>
      </c>
      <c r="E9" s="238">
        <f>SUM(E3:E8)</f>
        <v>290000000</v>
      </c>
      <c r="F9" s="238"/>
      <c r="G9" s="238">
        <f>SUM(G3:G8)</f>
        <v>0</v>
      </c>
      <c r="H9" s="238">
        <f>SUM(H3:H8)</f>
        <v>212587936</v>
      </c>
      <c r="I9" s="238"/>
      <c r="J9" s="238">
        <f>SUM(J3:J8)</f>
        <v>10338599</v>
      </c>
      <c r="K9" s="238">
        <f>SUM(K3:K8)</f>
        <v>0</v>
      </c>
      <c r="L9" s="239"/>
      <c r="M9" s="238">
        <f>SUM(M3:M8)</f>
        <v>11299700</v>
      </c>
      <c r="N9" s="238">
        <f>SUM(N3:N8)</f>
        <v>0</v>
      </c>
      <c r="O9" s="238"/>
      <c r="P9" s="238">
        <f>SUM(P3:P8)</f>
        <v>135000000</v>
      </c>
      <c r="Q9" s="238">
        <f>SUM(Q3:Q8)</f>
        <v>0</v>
      </c>
      <c r="R9" s="239"/>
      <c r="S9" s="238">
        <f>SUM(S3:S8)</f>
        <v>33370346</v>
      </c>
      <c r="T9" s="238">
        <f>SUM(T3:T8)</f>
        <v>0</v>
      </c>
      <c r="U9" s="238"/>
      <c r="V9" s="238">
        <f>SUM(V3:V8)</f>
        <v>1080000</v>
      </c>
      <c r="W9" s="238">
        <f>SUM(W3:W8)</f>
        <v>0</v>
      </c>
      <c r="X9" s="235">
        <f>A10+J10+M10+P10+S10+V10</f>
        <v>502587936</v>
      </c>
      <c r="AD9" s="234" t="s">
        <v>343</v>
      </c>
      <c r="AE9" s="235">
        <f>+J32</f>
        <v>291546000</v>
      </c>
      <c r="AH9" s="235">
        <f>+J41</f>
        <v>331283719.80000001</v>
      </c>
      <c r="AK9" s="235">
        <f>+J51</f>
        <v>376053523.56000006</v>
      </c>
      <c r="AN9" s="235">
        <f>+J60</f>
        <v>426464450.87400013</v>
      </c>
      <c r="AQ9" s="235">
        <f>+J71</f>
        <v>478587021.43032014</v>
      </c>
    </row>
    <row r="10" spans="1:44" ht="16.5" customHeight="1">
      <c r="A10" s="236">
        <f>A9-B9</f>
        <v>311499291</v>
      </c>
      <c r="B10" s="236"/>
      <c r="C10" s="236"/>
      <c r="D10" s="240">
        <f>D9-E9</f>
        <v>-290000000</v>
      </c>
      <c r="E10" s="236"/>
      <c r="F10" s="236"/>
      <c r="G10" s="236">
        <f>G9-H9</f>
        <v>-212587936</v>
      </c>
      <c r="H10" s="236"/>
      <c r="I10" s="236"/>
      <c r="J10" s="236">
        <f>J9-K9</f>
        <v>10338599</v>
      </c>
      <c r="K10" s="236"/>
      <c r="M10" s="236">
        <f>M9-N9</f>
        <v>11299700</v>
      </c>
      <c r="N10" s="236"/>
      <c r="O10" s="236"/>
      <c r="P10" s="236">
        <f>P9-Q9</f>
        <v>135000000</v>
      </c>
      <c r="Q10" s="236"/>
      <c r="S10" s="241">
        <f>S9-T9</f>
        <v>33370346</v>
      </c>
      <c r="T10" s="236"/>
      <c r="U10" s="236"/>
      <c r="V10" s="236">
        <f>V9-W9</f>
        <v>1080000</v>
      </c>
      <c r="W10" s="236"/>
      <c r="X10" s="235">
        <f>D10+G10</f>
        <v>-502587936</v>
      </c>
      <c r="Y10" s="235">
        <f>X9+X10</f>
        <v>0</v>
      </c>
      <c r="AD10" s="234" t="s">
        <v>344</v>
      </c>
      <c r="AE10" s="234">
        <v>0</v>
      </c>
      <c r="AF10" s="242">
        <f>SUM(AE2:AE11)</f>
        <v>942815660</v>
      </c>
      <c r="AH10" s="234">
        <v>0</v>
      </c>
      <c r="AK10" s="234">
        <v>0</v>
      </c>
      <c r="AN10" s="234">
        <v>0</v>
      </c>
      <c r="AQ10" s="234">
        <v>0</v>
      </c>
    </row>
    <row r="11" spans="1:44" ht="15.75">
      <c r="A11" s="236"/>
      <c r="B11" s="236"/>
      <c r="C11" s="236"/>
      <c r="D11" s="240"/>
      <c r="E11" s="236"/>
      <c r="F11" s="236"/>
      <c r="G11" s="236"/>
      <c r="H11" s="236"/>
      <c r="I11" s="236"/>
      <c r="J11" s="236"/>
      <c r="K11" s="236"/>
      <c r="M11" s="236"/>
      <c r="N11" s="236"/>
      <c r="O11" s="236"/>
      <c r="P11" s="236"/>
      <c r="Q11" s="236"/>
      <c r="S11" s="237"/>
      <c r="T11" s="236"/>
      <c r="U11" s="236"/>
      <c r="V11" s="236"/>
      <c r="W11" s="236"/>
      <c r="X11" s="235"/>
      <c r="Y11" s="235"/>
      <c r="AD11" s="234" t="s">
        <v>345</v>
      </c>
      <c r="AE11" s="235">
        <f>-V27</f>
        <v>-10325000</v>
      </c>
      <c r="AH11" s="235">
        <f>+AE11</f>
        <v>-10325000</v>
      </c>
      <c r="AI11" s="242">
        <f>SUM(AH2:AH11)</f>
        <v>1317509164.8644683</v>
      </c>
      <c r="AK11" s="235">
        <f>+AH11</f>
        <v>-10325000</v>
      </c>
      <c r="AL11" s="242">
        <f>SUM(AK2:AK11)</f>
        <v>1767211750.8105049</v>
      </c>
      <c r="AN11" s="235">
        <f>+AK11</f>
        <v>-10325000</v>
      </c>
      <c r="AO11" s="242">
        <f>SUM(AN2:AN11)</f>
        <v>2300288172.0361075</v>
      </c>
      <c r="AQ11" s="235">
        <f>+AN11</f>
        <v>-10325000</v>
      </c>
      <c r="AR11" s="242">
        <f>SUM(AQ2:AQ11)</f>
        <v>2915885685.5593443</v>
      </c>
    </row>
    <row r="12" spans="1:44">
      <c r="A12" s="236"/>
      <c r="B12" s="236"/>
      <c r="C12" s="236"/>
      <c r="D12" s="236"/>
      <c r="E12" s="236"/>
      <c r="F12" s="236"/>
      <c r="G12" s="236"/>
      <c r="H12" s="236"/>
      <c r="I12" s="236"/>
      <c r="J12" s="236"/>
      <c r="K12" s="243">
        <v>-1268560</v>
      </c>
      <c r="M12" s="236"/>
      <c r="N12" s="243">
        <v>-2090440</v>
      </c>
      <c r="O12" s="236"/>
      <c r="P12" s="236"/>
      <c r="Q12" s="243">
        <v>-6750000</v>
      </c>
      <c r="S12" s="236"/>
      <c r="T12" s="236"/>
      <c r="U12" s="236"/>
      <c r="V12" s="236"/>
      <c r="W12" s="243">
        <v>-216000</v>
      </c>
      <c r="X12" s="235" t="s">
        <v>346</v>
      </c>
    </row>
    <row r="13" spans="1:44">
      <c r="A13" s="236"/>
      <c r="B13" s="236"/>
      <c r="C13" s="236"/>
      <c r="D13" s="236"/>
      <c r="E13" s="236"/>
      <c r="F13" s="236"/>
      <c r="G13" s="236"/>
      <c r="H13" s="236"/>
      <c r="I13" s="236"/>
      <c r="J13" s="236">
        <f>J10+K12</f>
        <v>9070039</v>
      </c>
      <c r="K13" s="236"/>
      <c r="M13" s="236">
        <f>M10-N12</f>
        <v>13390140</v>
      </c>
      <c r="N13" s="236"/>
      <c r="O13" s="236"/>
      <c r="P13" s="236">
        <f>P10-Q12</f>
        <v>141750000</v>
      </c>
      <c r="Q13" s="236"/>
      <c r="S13" s="236"/>
      <c r="T13" s="236"/>
      <c r="U13" s="236"/>
      <c r="V13" s="236">
        <f>V10-W12</f>
        <v>1296000</v>
      </c>
      <c r="W13" s="236"/>
      <c r="X13" s="244">
        <f>J13+M13+P13+V13+S10</f>
        <v>198876525</v>
      </c>
      <c r="Y13" s="234" t="s">
        <v>347</v>
      </c>
      <c r="AD13" s="234" t="s">
        <v>348</v>
      </c>
      <c r="AE13" s="235">
        <f>H9-G31</f>
        <v>182553786</v>
      </c>
      <c r="AH13" s="235">
        <f>+AE13-G41</f>
        <v>147276075.82290685</v>
      </c>
      <c r="AK13" s="235">
        <f>+AH13-G51</f>
        <v>105839350.70819324</v>
      </c>
      <c r="AN13" s="235">
        <f>+AK13-G60</f>
        <v>57168329.272475496</v>
      </c>
      <c r="AQ13" s="235">
        <f>+AN13-G71</f>
        <v>0.42799970507621765</v>
      </c>
    </row>
    <row r="14" spans="1:44">
      <c r="A14" s="236"/>
      <c r="B14" s="236"/>
      <c r="C14" s="236"/>
      <c r="D14" s="236"/>
      <c r="E14" s="236"/>
      <c r="F14" s="236"/>
      <c r="G14" s="236"/>
      <c r="H14" s="236"/>
      <c r="I14" s="236"/>
      <c r="J14" s="236"/>
      <c r="K14" s="236"/>
      <c r="M14" s="236"/>
      <c r="N14" s="236"/>
      <c r="O14" s="236"/>
      <c r="P14" s="236"/>
      <c r="Q14" s="236"/>
      <c r="S14" s="236"/>
      <c r="T14" s="236"/>
      <c r="U14" s="236"/>
      <c r="V14" s="236"/>
      <c r="W14" s="236"/>
      <c r="X14" s="235"/>
      <c r="AD14" s="234" t="s">
        <v>349</v>
      </c>
      <c r="AE14" s="235">
        <f>+AB21</f>
        <v>155186418.42000002</v>
      </c>
      <c r="AF14" s="235">
        <f>+AE13+AE14</f>
        <v>337740204.42000002</v>
      </c>
      <c r="AH14" s="235">
        <f>+AB41</f>
        <v>186502019.04231524</v>
      </c>
      <c r="AI14" s="235">
        <f>+AH13+AH14</f>
        <v>333778094.8652221</v>
      </c>
      <c r="AK14" s="235">
        <f>+AB44</f>
        <v>223621638.93401167</v>
      </c>
      <c r="AL14" s="235">
        <f>+AK13+AK14</f>
        <v>329460989.64220488</v>
      </c>
      <c r="AN14" s="235">
        <f>+AB54</f>
        <v>265771796.92645955</v>
      </c>
      <c r="AO14" s="235">
        <f>+AN13+AN14</f>
        <v>322940126.19893503</v>
      </c>
      <c r="AQ14" s="235">
        <f>+AB64</f>
        <v>309717420.9670769</v>
      </c>
      <c r="AR14" s="235">
        <f>+AQ13+AQ14</f>
        <v>309717421.39507663</v>
      </c>
    </row>
    <row r="15" spans="1:44">
      <c r="A15" s="236"/>
      <c r="B15" s="236"/>
      <c r="C15" s="236"/>
      <c r="D15" s="236"/>
      <c r="E15" s="236"/>
      <c r="F15" s="236"/>
      <c r="G15" s="236"/>
      <c r="H15" s="236"/>
      <c r="I15" s="236"/>
      <c r="J15" s="236"/>
      <c r="K15" s="236"/>
      <c r="M15" s="236"/>
      <c r="N15" s="236"/>
      <c r="O15" s="236"/>
      <c r="P15" s="236"/>
      <c r="Q15" s="236"/>
      <c r="S15" s="245">
        <v>133481384</v>
      </c>
      <c r="T15" s="243">
        <v>93013524</v>
      </c>
      <c r="U15" s="236"/>
      <c r="V15" s="236"/>
      <c r="W15" s="236"/>
      <c r="X15" s="235"/>
    </row>
    <row r="16" spans="1:44">
      <c r="A16" s="236"/>
      <c r="B16" s="236"/>
      <c r="C16" s="236"/>
      <c r="D16" s="236"/>
      <c r="E16" s="236"/>
      <c r="F16" s="236"/>
      <c r="G16" s="236"/>
      <c r="H16" s="236"/>
      <c r="I16" s="236"/>
      <c r="J16" s="236"/>
      <c r="K16" s="236"/>
      <c r="M16" s="236"/>
      <c r="N16" s="236"/>
      <c r="O16" s="236"/>
      <c r="P16" s="236"/>
      <c r="Q16" s="236"/>
      <c r="S16" s="236"/>
      <c r="T16" s="236"/>
      <c r="U16" s="236"/>
      <c r="V16" s="236"/>
      <c r="W16" s="236"/>
      <c r="X16" s="235"/>
      <c r="AD16" s="234" t="s">
        <v>334</v>
      </c>
      <c r="AE16" s="235">
        <f>E9</f>
        <v>290000000</v>
      </c>
      <c r="AH16" s="235">
        <f>+AE16</f>
        <v>290000000</v>
      </c>
      <c r="AK16" s="235">
        <f>+AH16</f>
        <v>290000000</v>
      </c>
      <c r="AN16" s="235">
        <f>+AK16</f>
        <v>290000000</v>
      </c>
      <c r="AQ16" s="235">
        <f>+AN16</f>
        <v>290000000</v>
      </c>
    </row>
    <row r="17" spans="1:44">
      <c r="A17" s="236"/>
      <c r="B17" s="236"/>
      <c r="C17" s="236"/>
      <c r="D17" s="236"/>
      <c r="E17" s="236"/>
      <c r="F17" s="236"/>
      <c r="G17" s="236"/>
      <c r="H17" s="236"/>
      <c r="I17" s="236"/>
      <c r="J17" s="236"/>
      <c r="K17" s="236"/>
      <c r="M17" s="236"/>
      <c r="N17" s="236"/>
      <c r="O17" s="236"/>
      <c r="P17" s="236"/>
      <c r="Q17" s="236"/>
      <c r="S17" s="236"/>
      <c r="T17" s="236"/>
      <c r="U17" s="236"/>
      <c r="V17" s="236"/>
      <c r="W17" s="236"/>
      <c r="X17" s="235"/>
      <c r="AD17" s="234" t="s">
        <v>350</v>
      </c>
      <c r="AE17" s="235">
        <f>+(E21-P31-V31)-Y21</f>
        <v>315075455.57999998</v>
      </c>
      <c r="AF17" s="235">
        <f>+AE17+AE16</f>
        <v>605075455.57999992</v>
      </c>
      <c r="AH17" s="235">
        <f>+E35-P41-V41-Y41</f>
        <v>378655614.41924608</v>
      </c>
      <c r="AI17" s="235">
        <f>+AH16+AH17+AH18+AH19</f>
        <v>983731069.99924612</v>
      </c>
      <c r="AK17" s="235">
        <f>+E44-P51-V51-AB44</f>
        <v>454019691.16905391</v>
      </c>
      <c r="AL17" s="235">
        <f>+AK16+AK17+AK18+AK19</f>
        <v>1437750761.1683002</v>
      </c>
      <c r="AN17" s="235">
        <f>+E54-P60-V60-Y54</f>
        <v>539597284.66887236</v>
      </c>
      <c r="AO17" s="235">
        <f>+AN16+AN17+AN18+AN19</f>
        <v>1977348045.8371725</v>
      </c>
      <c r="AQ17" s="235">
        <f>+E64-P71-V71-Y64</f>
        <v>628820218.32709551</v>
      </c>
      <c r="AR17" s="235">
        <f>+AQ16+AQ17+AQ18+AQ19</f>
        <v>2606168264.164268</v>
      </c>
    </row>
    <row r="18" spans="1:44">
      <c r="A18" s="236"/>
      <c r="B18" s="236"/>
      <c r="C18" s="236"/>
      <c r="D18" s="236"/>
      <c r="E18" s="236"/>
      <c r="F18" s="236"/>
      <c r="G18" s="236"/>
      <c r="H18" s="236"/>
      <c r="I18" s="236"/>
      <c r="J18" s="236"/>
      <c r="K18" s="236"/>
      <c r="M18" s="236"/>
      <c r="N18" s="236"/>
      <c r="O18" s="236"/>
      <c r="P18" s="236"/>
      <c r="Q18" s="236"/>
      <c r="S18" s="236"/>
      <c r="T18" s="236"/>
      <c r="U18" s="236"/>
      <c r="V18" s="236"/>
      <c r="W18" s="236"/>
      <c r="X18" s="235"/>
      <c r="AD18" s="234" t="s">
        <v>351</v>
      </c>
      <c r="AH18" s="235">
        <f>+AE17</f>
        <v>315075455.57999998</v>
      </c>
      <c r="AK18" s="235">
        <f>+AH18+AH17</f>
        <v>693731069.99924612</v>
      </c>
      <c r="AN18" s="235">
        <f>+AK17+AK18</f>
        <v>1147750761.1683002</v>
      </c>
      <c r="AQ18" s="235">
        <f>+AN18+AN17</f>
        <v>1687348045.8371725</v>
      </c>
    </row>
    <row r="19" spans="1:44" ht="15.75">
      <c r="A19" s="236"/>
      <c r="B19" s="236"/>
      <c r="C19" s="236"/>
      <c r="D19" s="236"/>
      <c r="E19" s="236"/>
      <c r="F19" s="236"/>
      <c r="G19" s="236"/>
      <c r="H19" s="236"/>
      <c r="I19" s="236"/>
      <c r="J19" s="236"/>
      <c r="K19" s="236"/>
      <c r="M19" s="236"/>
      <c r="N19" s="236"/>
      <c r="O19" s="236"/>
      <c r="P19" s="236" t="s">
        <v>352</v>
      </c>
      <c r="Q19" s="236"/>
      <c r="S19" s="236" t="s">
        <v>353</v>
      </c>
      <c r="T19" s="236"/>
      <c r="U19" s="236"/>
      <c r="V19" s="236"/>
      <c r="W19" s="236"/>
      <c r="X19" s="235"/>
      <c r="AD19" s="246" t="s">
        <v>354</v>
      </c>
      <c r="AF19" s="242">
        <f>+AF17+AF14</f>
        <v>942815660</v>
      </c>
      <c r="AH19" s="235"/>
      <c r="AI19" s="242">
        <f>+AI17+AI14</f>
        <v>1317509164.8644681</v>
      </c>
      <c r="AL19" s="242">
        <f>+AL17+AL14</f>
        <v>1767211750.8105049</v>
      </c>
      <c r="AO19" s="242">
        <f>+AO17+AO14</f>
        <v>2300288172.0361075</v>
      </c>
      <c r="AR19" s="242">
        <f>+AR17+AR14</f>
        <v>2915885685.5593448</v>
      </c>
    </row>
    <row r="20" spans="1:44" ht="15.75">
      <c r="A20" s="247" t="str">
        <f>A1</f>
        <v>Caja</v>
      </c>
      <c r="B20" s="236"/>
      <c r="C20" s="236"/>
      <c r="D20" s="247" t="s">
        <v>173</v>
      </c>
      <c r="E20" s="236"/>
      <c r="F20" s="236"/>
      <c r="G20" s="233" t="s">
        <v>335</v>
      </c>
      <c r="H20" s="236"/>
      <c r="I20" s="236"/>
      <c r="J20" s="247" t="s">
        <v>355</v>
      </c>
      <c r="K20" s="236"/>
      <c r="M20" s="247" t="s">
        <v>356</v>
      </c>
      <c r="N20" s="236"/>
      <c r="O20" s="236"/>
      <c r="P20" s="247" t="s">
        <v>357</v>
      </c>
      <c r="Q20" s="236"/>
      <c r="S20" s="247" t="s">
        <v>344</v>
      </c>
      <c r="T20" s="236"/>
      <c r="U20" s="236"/>
      <c r="V20" s="247" t="s">
        <v>358</v>
      </c>
      <c r="W20" s="236"/>
      <c r="Y20" s="246" t="s">
        <v>359</v>
      </c>
      <c r="AA20" s="246" t="s">
        <v>349</v>
      </c>
      <c r="AF20" s="235">
        <f>AF10-AF19</f>
        <v>0</v>
      </c>
      <c r="AI20" s="235">
        <f>+AI11-AI14-AI17</f>
        <v>0</v>
      </c>
      <c r="AL20" s="235">
        <f>+AL11-AL14-AL17</f>
        <v>0</v>
      </c>
      <c r="AO20" s="235">
        <f>+AO11-AO14-AO17</f>
        <v>0</v>
      </c>
      <c r="AR20" s="235">
        <f>+AR11-AR14-AR17</f>
        <v>0</v>
      </c>
    </row>
    <row r="21" spans="1:44">
      <c r="A21" s="241">
        <f>E21-J21</f>
        <v>680274000</v>
      </c>
      <c r="B21" s="237">
        <f>G21+V29</f>
        <v>62308124</v>
      </c>
      <c r="C21" s="237"/>
      <c r="E21" s="241">
        <v>971820000</v>
      </c>
      <c r="F21" s="237"/>
      <c r="G21" s="237">
        <v>30034150</v>
      </c>
      <c r="H21" s="237"/>
      <c r="I21" s="237"/>
      <c r="J21" s="241">
        <f>E21*0.3</f>
        <v>291546000</v>
      </c>
      <c r="K21" s="237"/>
      <c r="M21" s="237">
        <f>T22</f>
        <v>234550809</v>
      </c>
      <c r="N21" s="237"/>
      <c r="O21" s="237"/>
      <c r="P21" s="237">
        <f>T15</f>
        <v>93013524</v>
      </c>
      <c r="Q21" s="234" t="s">
        <v>360</v>
      </c>
      <c r="S21" s="237">
        <v>234550809</v>
      </c>
      <c r="T21" s="237"/>
      <c r="U21" s="237"/>
      <c r="V21" s="237">
        <v>10500000</v>
      </c>
      <c r="W21" s="234" t="s">
        <v>361</v>
      </c>
      <c r="Y21" s="236">
        <f>(E21-P31-V31)*0.33</f>
        <v>155186418.42000002</v>
      </c>
      <c r="AB21" s="235">
        <f>Y21</f>
        <v>155186418.42000002</v>
      </c>
    </row>
    <row r="22" spans="1:44">
      <c r="A22" s="237"/>
      <c r="B22" s="237">
        <f>V26</f>
        <v>122608343</v>
      </c>
      <c r="C22" s="237"/>
      <c r="D22" s="237"/>
      <c r="E22" s="237"/>
      <c r="F22" s="237"/>
      <c r="H22" s="237"/>
      <c r="I22" s="237"/>
      <c r="J22" s="237"/>
      <c r="K22" s="237"/>
      <c r="M22" s="237"/>
      <c r="N22" s="237"/>
      <c r="O22" s="237"/>
      <c r="P22" s="237">
        <v>132770565</v>
      </c>
      <c r="Q22" s="237" t="s">
        <v>362</v>
      </c>
      <c r="S22" s="237"/>
      <c r="T22" s="237">
        <f>S21</f>
        <v>234550809</v>
      </c>
      <c r="U22" s="237"/>
      <c r="V22" s="237">
        <v>2500000</v>
      </c>
      <c r="W22" s="234" t="s">
        <v>363</v>
      </c>
      <c r="Y22" s="236"/>
    </row>
    <row r="23" spans="1:44">
      <c r="A23" s="237"/>
      <c r="B23" s="237">
        <f>V21</f>
        <v>10500000</v>
      </c>
      <c r="C23" s="237"/>
      <c r="D23" s="237"/>
      <c r="E23" s="237"/>
      <c r="F23" s="237"/>
      <c r="G23" s="237"/>
      <c r="H23" s="237"/>
      <c r="I23" s="237"/>
      <c r="J23" s="237"/>
      <c r="K23" s="237"/>
      <c r="M23" s="237"/>
      <c r="N23" s="237"/>
      <c r="O23" s="237"/>
      <c r="P23" s="237">
        <v>8766720</v>
      </c>
      <c r="Q23" s="237" t="s">
        <v>364</v>
      </c>
      <c r="S23" s="237"/>
      <c r="T23" s="237"/>
      <c r="U23" s="237"/>
      <c r="V23" s="237">
        <v>1200000</v>
      </c>
      <c r="W23" s="234" t="s">
        <v>365</v>
      </c>
      <c r="Y23" s="236"/>
    </row>
    <row r="24" spans="1:44">
      <c r="A24" s="237"/>
      <c r="B24" s="237">
        <f>V22</f>
        <v>2500000</v>
      </c>
      <c r="C24" s="237"/>
      <c r="D24" s="237"/>
      <c r="E24" s="237"/>
      <c r="F24" s="237"/>
      <c r="G24" s="237"/>
      <c r="H24" s="237"/>
      <c r="I24" s="237"/>
      <c r="J24" s="237"/>
      <c r="K24" s="237"/>
      <c r="M24" s="237"/>
      <c r="N24" s="237"/>
      <c r="O24" s="237"/>
      <c r="P24" s="237"/>
      <c r="Q24" s="237">
        <v>234550809</v>
      </c>
      <c r="S24" s="237"/>
      <c r="T24" s="237"/>
      <c r="U24" s="237"/>
      <c r="V24" s="237">
        <v>3600000</v>
      </c>
      <c r="W24" s="234" t="s">
        <v>232</v>
      </c>
      <c r="Y24" s="236"/>
    </row>
    <row r="25" spans="1:44">
      <c r="A25" s="237"/>
      <c r="B25" s="237">
        <f>V23</f>
        <v>1200000</v>
      </c>
      <c r="C25" s="237"/>
      <c r="D25" s="237"/>
      <c r="E25" s="237"/>
      <c r="F25" s="237"/>
      <c r="G25" s="237"/>
      <c r="H25" s="237"/>
      <c r="I25" s="237"/>
      <c r="J25" s="237"/>
      <c r="K25" s="237"/>
      <c r="M25" s="237"/>
      <c r="N25" s="237"/>
      <c r="O25" s="237"/>
      <c r="P25" s="237"/>
      <c r="Q25" s="237"/>
      <c r="S25" s="237"/>
      <c r="T25" s="237"/>
      <c r="U25" s="237"/>
      <c r="V25" s="237">
        <v>84000000</v>
      </c>
      <c r="W25" s="234" t="s">
        <v>39</v>
      </c>
    </row>
    <row r="26" spans="1:44">
      <c r="A26" s="237"/>
      <c r="B26" s="237">
        <f>V24</f>
        <v>3600000</v>
      </c>
      <c r="C26" s="237"/>
      <c r="D26" s="237"/>
      <c r="E26" s="237"/>
      <c r="F26" s="237"/>
      <c r="G26" s="237"/>
      <c r="H26" s="237"/>
      <c r="I26" s="237"/>
      <c r="J26" s="237"/>
      <c r="K26" s="237"/>
      <c r="S26" s="237"/>
      <c r="T26" s="237"/>
      <c r="U26" s="237"/>
      <c r="V26" s="237">
        <f>255378908-P22</f>
        <v>122608343</v>
      </c>
      <c r="W26" s="234" t="s">
        <v>40</v>
      </c>
    </row>
    <row r="27" spans="1:44">
      <c r="A27" s="237"/>
      <c r="B27" s="237">
        <f>V25</f>
        <v>84000000</v>
      </c>
      <c r="C27" s="237"/>
      <c r="D27" s="237"/>
      <c r="E27" s="237"/>
      <c r="F27" s="237"/>
      <c r="G27" s="237"/>
      <c r="H27" s="237"/>
      <c r="I27" s="237"/>
      <c r="J27" s="237"/>
      <c r="K27" s="237"/>
      <c r="S27" s="237"/>
      <c r="T27" s="237"/>
      <c r="U27" s="237"/>
      <c r="V27" s="237">
        <f>-(K12+N12+Q12+W12)</f>
        <v>10325000</v>
      </c>
      <c r="W27" s="234" t="s">
        <v>366</v>
      </c>
    </row>
    <row r="28" spans="1:44">
      <c r="A28" s="237"/>
      <c r="B28" s="237">
        <f>S15</f>
        <v>133481384</v>
      </c>
      <c r="C28" s="237"/>
      <c r="D28" s="237"/>
      <c r="E28" s="237"/>
      <c r="F28" s="237"/>
      <c r="G28" s="237"/>
      <c r="H28" s="237"/>
      <c r="I28" s="237"/>
      <c r="J28" s="237"/>
      <c r="K28" s="237"/>
      <c r="R28" s="235">
        <f>+O28</f>
        <v>0</v>
      </c>
      <c r="S28" s="237"/>
      <c r="T28" s="237"/>
      <c r="U28" s="237"/>
      <c r="V28" s="237"/>
      <c r="W28" s="236"/>
    </row>
    <row r="29" spans="1:44" ht="15.75">
      <c r="A29" s="237"/>
      <c r="B29" s="237">
        <f>P23</f>
        <v>8766720</v>
      </c>
      <c r="C29" s="237"/>
      <c r="D29" s="237"/>
      <c r="E29" s="237"/>
      <c r="F29" s="237"/>
      <c r="G29" s="237"/>
      <c r="H29" s="237"/>
      <c r="I29" s="237"/>
      <c r="J29" s="237"/>
      <c r="K29" s="237"/>
      <c r="S29" s="237"/>
      <c r="T29" s="237"/>
      <c r="U29" s="237"/>
      <c r="V29" s="237">
        <v>32273974</v>
      </c>
      <c r="W29" s="247" t="s">
        <v>367</v>
      </c>
    </row>
    <row r="30" spans="1:44">
      <c r="A30" s="237"/>
      <c r="B30" s="237">
        <f>P22</f>
        <v>132770565</v>
      </c>
      <c r="C30" s="237"/>
      <c r="D30" s="237"/>
      <c r="E30" s="237"/>
      <c r="F30" s="237"/>
      <c r="G30" s="237"/>
      <c r="H30" s="237"/>
      <c r="I30" s="237"/>
      <c r="J30" s="237"/>
      <c r="K30" s="237"/>
      <c r="S30" s="237"/>
      <c r="T30" s="237"/>
      <c r="U30" s="237"/>
      <c r="V30" s="237"/>
      <c r="W30" s="236"/>
    </row>
    <row r="31" spans="1:44">
      <c r="A31" s="238">
        <f>SUM(A21:A30)</f>
        <v>680274000</v>
      </c>
      <c r="B31" s="238">
        <f>SUM(B21:B30)</f>
        <v>561735136</v>
      </c>
      <c r="C31" s="238">
        <f t="shared" ref="C31:V31" si="0">SUM(C21:C30)</f>
        <v>0</v>
      </c>
      <c r="D31" s="238">
        <f t="shared" si="0"/>
        <v>0</v>
      </c>
      <c r="E31" s="238">
        <f>SUM(E21:E30)</f>
        <v>971820000</v>
      </c>
      <c r="F31" s="238">
        <f t="shared" si="0"/>
        <v>0</v>
      </c>
      <c r="G31" s="238">
        <f t="shared" si="0"/>
        <v>30034150</v>
      </c>
      <c r="H31" s="238">
        <f t="shared" si="0"/>
        <v>0</v>
      </c>
      <c r="I31" s="238">
        <f t="shared" si="0"/>
        <v>0</v>
      </c>
      <c r="J31" s="238">
        <f t="shared" si="0"/>
        <v>291546000</v>
      </c>
      <c r="K31" s="238">
        <f t="shared" si="0"/>
        <v>0</v>
      </c>
      <c r="L31" s="238">
        <f t="shared" si="0"/>
        <v>0</v>
      </c>
      <c r="M31" s="238">
        <f t="shared" si="0"/>
        <v>234550809</v>
      </c>
      <c r="N31" s="238">
        <f t="shared" si="0"/>
        <v>0</v>
      </c>
      <c r="O31" s="238">
        <f t="shared" si="0"/>
        <v>0</v>
      </c>
      <c r="P31" s="238">
        <f t="shared" si="0"/>
        <v>234550809</v>
      </c>
      <c r="Q31" s="238">
        <f t="shared" si="0"/>
        <v>234550809</v>
      </c>
      <c r="R31" s="238">
        <f t="shared" si="0"/>
        <v>0</v>
      </c>
      <c r="S31" s="238">
        <f t="shared" si="0"/>
        <v>234550809</v>
      </c>
      <c r="T31" s="238">
        <f t="shared" si="0"/>
        <v>234550809</v>
      </c>
      <c r="U31" s="238">
        <f t="shared" si="0"/>
        <v>0</v>
      </c>
      <c r="V31" s="238">
        <f t="shared" si="0"/>
        <v>267007317</v>
      </c>
      <c r="W31" s="238"/>
      <c r="X31" s="248"/>
      <c r="Y31" s="238">
        <f>SUM(Y21:Y30)</f>
        <v>155186418.42000002</v>
      </c>
      <c r="Z31" s="238">
        <f>SUM(Z21:Z30)</f>
        <v>0</v>
      </c>
      <c r="AA31" s="238">
        <f>SUM(AA21:AA30)</f>
        <v>0</v>
      </c>
      <c r="AB31" s="238">
        <f>SUM(AB21:AB30)</f>
        <v>155186418.42000002</v>
      </c>
    </row>
    <row r="32" spans="1:44">
      <c r="A32" s="249">
        <f>A31-B31</f>
        <v>118538864</v>
      </c>
      <c r="D32" s="250">
        <f>D31-E31</f>
        <v>-971820000</v>
      </c>
      <c r="G32" s="235">
        <f>G10+G31</f>
        <v>-182553786</v>
      </c>
      <c r="J32" s="249">
        <f>J31-K31</f>
        <v>291546000</v>
      </c>
      <c r="M32" s="250">
        <f>M31-N31</f>
        <v>234550809</v>
      </c>
      <c r="P32" s="250">
        <f>P31-Q31</f>
        <v>0</v>
      </c>
      <c r="S32" s="235"/>
      <c r="V32" s="250">
        <f>V31-W31</f>
        <v>267007317</v>
      </c>
      <c r="X32" s="235"/>
      <c r="Y32" s="250">
        <f>Y31-Z31</f>
        <v>155186418.42000002</v>
      </c>
      <c r="AA32" s="249">
        <f>AA31-AB31</f>
        <v>-155186418.42000002</v>
      </c>
      <c r="AD32" s="235">
        <f>A31+D31+G31+J31+M31+P31+S31+V31+Y31+S15</f>
        <v>2261181696.4200001</v>
      </c>
      <c r="AE32" s="235">
        <f>B31+E31+H31+K31+N31+Q31+T31+W31+Z31+AB31+T15+V27</f>
        <v>2261181696.4200001</v>
      </c>
      <c r="AF32" s="235">
        <f>AD32-AE32</f>
        <v>0</v>
      </c>
    </row>
    <row r="33" spans="1:32">
      <c r="S33" s="235"/>
      <c r="AD33" s="235"/>
      <c r="AE33" s="235"/>
      <c r="AF33" s="235"/>
    </row>
    <row r="34" spans="1:32">
      <c r="P34" s="235"/>
      <c r="AF34" s="235"/>
    </row>
    <row r="35" spans="1:32">
      <c r="A35" s="251">
        <f>+E35-J35</f>
        <v>772995346.20000005</v>
      </c>
      <c r="B35" s="251">
        <f>+G35+V35</f>
        <v>62308124.425304756</v>
      </c>
      <c r="E35" s="252">
        <v>1104279066</v>
      </c>
      <c r="G35" s="251">
        <v>35277710.177093133</v>
      </c>
      <c r="J35" s="252">
        <f>E35*0.3</f>
        <v>331283719.80000001</v>
      </c>
      <c r="M35" s="236">
        <v>266146404.2667</v>
      </c>
      <c r="P35" s="236">
        <v>150867193.00950003</v>
      </c>
      <c r="Q35" s="235" t="str">
        <f>+Q22</f>
        <v>Mano O.</v>
      </c>
      <c r="V35" s="251">
        <v>27030414.248211622</v>
      </c>
      <c r="W35" s="235" t="str">
        <f>+W29</f>
        <v>Gto intereses</v>
      </c>
      <c r="Y35" s="236">
        <f>(E35-P41-V41)*0.33</f>
        <v>186502019.04231524</v>
      </c>
      <c r="AA35" s="235"/>
      <c r="AB35" s="235">
        <f>Y35</f>
        <v>186502019.04231524</v>
      </c>
    </row>
    <row r="36" spans="1:32">
      <c r="B36" s="235">
        <f>+V36</f>
        <v>245944614.023527</v>
      </c>
      <c r="K36" s="235">
        <f>+A37</f>
        <v>291546000</v>
      </c>
      <c r="P36" s="236">
        <v>105691267.3212</v>
      </c>
      <c r="Q36" s="234" t="s">
        <v>368</v>
      </c>
      <c r="V36" s="236">
        <v>245944614.023527</v>
      </c>
      <c r="W36" s="234" t="s">
        <v>369</v>
      </c>
      <c r="AA36" s="235">
        <f>AB21</f>
        <v>155186418.42000002</v>
      </c>
    </row>
    <row r="37" spans="1:32">
      <c r="A37" s="235">
        <f>+J21</f>
        <v>291546000</v>
      </c>
      <c r="B37" s="235">
        <f>+P35</f>
        <v>150867193.00950003</v>
      </c>
      <c r="P37" s="235">
        <f>+M35-P35-P36</f>
        <v>9587943.9359999746</v>
      </c>
      <c r="Q37" s="234" t="s">
        <v>364</v>
      </c>
      <c r="S37" s="235">
        <f>Q40</f>
        <v>266146404.26670003</v>
      </c>
      <c r="T37" s="235">
        <f>M35</f>
        <v>266146404.2667</v>
      </c>
    </row>
    <row r="38" spans="1:32">
      <c r="B38" s="235">
        <f>+P37</f>
        <v>9587943.9359999746</v>
      </c>
      <c r="P38" s="235"/>
      <c r="S38" s="235"/>
      <c r="T38" s="235"/>
    </row>
    <row r="39" spans="1:32">
      <c r="A39" s="235"/>
      <c r="B39" s="235">
        <f>+AA36</f>
        <v>155186418.42000002</v>
      </c>
      <c r="P39" s="235"/>
      <c r="S39" s="235"/>
      <c r="T39" s="235"/>
    </row>
    <row r="40" spans="1:32">
      <c r="A40" s="253"/>
      <c r="B40" s="254">
        <f>+S43</f>
        <v>137886269.67199999</v>
      </c>
      <c r="C40" s="253"/>
      <c r="D40" s="253"/>
      <c r="E40" s="253"/>
      <c r="F40" s="253"/>
      <c r="G40" s="253"/>
      <c r="H40" s="253"/>
      <c r="I40" s="253"/>
      <c r="J40" s="253"/>
      <c r="K40" s="253"/>
      <c r="L40" s="253"/>
      <c r="M40" s="253"/>
      <c r="N40" s="253"/>
      <c r="O40" s="253"/>
      <c r="P40" s="253"/>
      <c r="Q40" s="254">
        <f>SUM(P35:P37)</f>
        <v>266146404.26670003</v>
      </c>
      <c r="R40" s="253"/>
      <c r="S40" s="253"/>
      <c r="T40" s="253"/>
      <c r="U40" s="253"/>
      <c r="V40" s="253"/>
      <c r="W40" s="253"/>
      <c r="X40" s="253"/>
      <c r="Y40" s="253"/>
      <c r="Z40" s="253"/>
      <c r="AA40" s="253"/>
      <c r="AB40" s="253"/>
    </row>
    <row r="41" spans="1:32">
      <c r="A41" s="235">
        <f t="shared" ref="A41:AB41" si="1">SUM(A35:A40)</f>
        <v>1064541346.2</v>
      </c>
      <c r="B41" s="235">
        <f t="shared" si="1"/>
        <v>761780563.4863317</v>
      </c>
      <c r="C41" s="235">
        <f t="shared" si="1"/>
        <v>0</v>
      </c>
      <c r="D41" s="235">
        <f t="shared" si="1"/>
        <v>0</v>
      </c>
      <c r="E41" s="235">
        <f t="shared" si="1"/>
        <v>1104279066</v>
      </c>
      <c r="F41" s="235">
        <f t="shared" si="1"/>
        <v>0</v>
      </c>
      <c r="G41" s="235">
        <f t="shared" si="1"/>
        <v>35277710.177093133</v>
      </c>
      <c r="H41" s="235">
        <f t="shared" si="1"/>
        <v>0</v>
      </c>
      <c r="I41" s="235">
        <f t="shared" si="1"/>
        <v>0</v>
      </c>
      <c r="J41" s="235">
        <f t="shared" si="1"/>
        <v>331283719.80000001</v>
      </c>
      <c r="K41" s="235">
        <f t="shared" si="1"/>
        <v>291546000</v>
      </c>
      <c r="L41" s="235">
        <f t="shared" si="1"/>
        <v>0</v>
      </c>
      <c r="M41" s="235">
        <f t="shared" si="1"/>
        <v>266146404.2667</v>
      </c>
      <c r="N41" s="235">
        <f t="shared" si="1"/>
        <v>0</v>
      </c>
      <c r="O41" s="235">
        <f t="shared" si="1"/>
        <v>0</v>
      </c>
      <c r="P41" s="235">
        <f t="shared" si="1"/>
        <v>266146404.26670003</v>
      </c>
      <c r="Q41" s="235">
        <f t="shared" si="1"/>
        <v>266146404.26670003</v>
      </c>
      <c r="R41" s="235">
        <f t="shared" si="1"/>
        <v>0</v>
      </c>
      <c r="S41" s="235">
        <f t="shared" si="1"/>
        <v>266146404.26670003</v>
      </c>
      <c r="T41" s="235">
        <f t="shared" si="1"/>
        <v>266146404.2667</v>
      </c>
      <c r="U41" s="235">
        <f t="shared" si="1"/>
        <v>0</v>
      </c>
      <c r="V41" s="235">
        <f t="shared" si="1"/>
        <v>272975028.27173865</v>
      </c>
      <c r="W41" s="235">
        <f t="shared" si="1"/>
        <v>0</v>
      </c>
      <c r="X41" s="235">
        <f t="shared" si="1"/>
        <v>0</v>
      </c>
      <c r="Y41" s="235">
        <f t="shared" si="1"/>
        <v>186502019.04231524</v>
      </c>
      <c r="Z41" s="235">
        <f t="shared" si="1"/>
        <v>0</v>
      </c>
      <c r="AA41" s="235">
        <f t="shared" si="1"/>
        <v>155186418.42000002</v>
      </c>
      <c r="AB41" s="235">
        <f t="shared" si="1"/>
        <v>186502019.04231524</v>
      </c>
      <c r="AD41" s="235">
        <f>A41+D41+G41+J41+M41+P41+S41+V41+Y41+S43+AA41</f>
        <v>2982091724.3832464</v>
      </c>
      <c r="AE41" s="235">
        <f>B41+E41+H41+K41+N41+Q41+T41+W41+Z41+AB41+T43</f>
        <v>2982091724.3832469</v>
      </c>
      <c r="AF41" s="235">
        <f>AD41-AE41</f>
        <v>0</v>
      </c>
    </row>
    <row r="42" spans="1:32">
      <c r="A42" s="235">
        <f>A41-B41</f>
        <v>302760782.71366835</v>
      </c>
      <c r="G42" s="235">
        <f>G32+G35</f>
        <v>-147276075.82290685</v>
      </c>
    </row>
    <row r="43" spans="1:32">
      <c r="S43" s="245">
        <v>137886269.67199999</v>
      </c>
      <c r="T43" s="245">
        <f>P36</f>
        <v>105691267.3212</v>
      </c>
    </row>
    <row r="44" spans="1:32">
      <c r="A44" s="235">
        <f>+E44-J44</f>
        <v>877458221.64000022</v>
      </c>
      <c r="B44" s="255">
        <f>+P44</f>
        <v>171255440.9709</v>
      </c>
      <c r="E44" s="236">
        <v>1253511745.2000003</v>
      </c>
      <c r="G44" s="256">
        <v>41436725.114713609</v>
      </c>
      <c r="J44" s="237">
        <f>E44*0.3</f>
        <v>376053523.56000006</v>
      </c>
      <c r="M44" s="236">
        <v>301732012.9967401</v>
      </c>
      <c r="P44" s="256">
        <v>171255440.9709</v>
      </c>
      <c r="Q44" s="235" t="s">
        <v>362</v>
      </c>
      <c r="V44" s="256">
        <v>253267002.78960341</v>
      </c>
      <c r="W44" s="234" t="s">
        <v>369</v>
      </c>
      <c r="AA44" s="255">
        <f>AB35</f>
        <v>186502019.04231524</v>
      </c>
      <c r="AB44" s="235">
        <f>+Y45</f>
        <v>223621638.93401167</v>
      </c>
    </row>
    <row r="45" spans="1:32">
      <c r="B45" s="255">
        <f>+V44</f>
        <v>253267002.78960341</v>
      </c>
      <c r="K45" s="255">
        <f>J35</f>
        <v>331283719.80000001</v>
      </c>
      <c r="P45" s="236">
        <v>119974424.06664003</v>
      </c>
      <c r="Q45" s="234" t="s">
        <v>368</v>
      </c>
      <c r="V45" s="256">
        <v>20871399.310591139</v>
      </c>
      <c r="W45" s="235" t="s">
        <v>367</v>
      </c>
      <c r="Y45" s="236">
        <f>(E44-P51-V51)*0.33</f>
        <v>223621638.93401167</v>
      </c>
    </row>
    <row r="46" spans="1:32">
      <c r="A46" s="255">
        <f>K45</f>
        <v>331283719.80000001</v>
      </c>
      <c r="B46" s="255">
        <f>+G44+V45</f>
        <v>62308124.425304748</v>
      </c>
      <c r="P46" s="255">
        <f>+M44-P44-P45</f>
        <v>10502147.959200069</v>
      </c>
      <c r="Q46" s="234" t="s">
        <v>364</v>
      </c>
    </row>
    <row r="47" spans="1:32">
      <c r="B47" s="255">
        <f>P46</f>
        <v>10502147.959200069</v>
      </c>
    </row>
    <row r="48" spans="1:32">
      <c r="B48" s="255">
        <f>+S49</f>
        <v>70000000</v>
      </c>
      <c r="Q48" s="235">
        <f>+P51</f>
        <v>301732012.9967401</v>
      </c>
      <c r="Z48" s="236"/>
    </row>
    <row r="49" spans="1:32">
      <c r="B49" s="255">
        <f>+AA44</f>
        <v>186502019.04231524</v>
      </c>
      <c r="S49" s="257">
        <v>70000000</v>
      </c>
      <c r="T49" s="245">
        <f>+P45</f>
        <v>119974424.06664003</v>
      </c>
    </row>
    <row r="50" spans="1:32">
      <c r="A50" s="236"/>
      <c r="B50" s="236">
        <v>980000000</v>
      </c>
      <c r="D50" s="235">
        <f>+B50</f>
        <v>980000000</v>
      </c>
    </row>
    <row r="51" spans="1:32">
      <c r="A51" s="248">
        <f>SUM(A44:A50)</f>
        <v>1208741941.4400003</v>
      </c>
      <c r="B51" s="248">
        <f t="shared" ref="B51:AB51" si="2">SUM(B44:B50)</f>
        <v>1733834735.1873236</v>
      </c>
      <c r="C51" s="248">
        <f t="shared" si="2"/>
        <v>0</v>
      </c>
      <c r="D51" s="248">
        <f t="shared" si="2"/>
        <v>980000000</v>
      </c>
      <c r="E51" s="248">
        <f t="shared" si="2"/>
        <v>1253511745.2000003</v>
      </c>
      <c r="F51" s="248">
        <f t="shared" si="2"/>
        <v>0</v>
      </c>
      <c r="G51" s="248">
        <f t="shared" si="2"/>
        <v>41436725.114713609</v>
      </c>
      <c r="H51" s="248">
        <f t="shared" si="2"/>
        <v>0</v>
      </c>
      <c r="I51" s="248">
        <f t="shared" si="2"/>
        <v>0</v>
      </c>
      <c r="J51" s="248">
        <f t="shared" si="2"/>
        <v>376053523.56000006</v>
      </c>
      <c r="K51" s="248">
        <f t="shared" si="2"/>
        <v>331283719.80000001</v>
      </c>
      <c r="L51" s="248">
        <f t="shared" si="2"/>
        <v>0</v>
      </c>
      <c r="M51" s="248">
        <f t="shared" si="2"/>
        <v>301732012.9967401</v>
      </c>
      <c r="N51" s="248">
        <f t="shared" si="2"/>
        <v>0</v>
      </c>
      <c r="O51" s="248">
        <f t="shared" si="2"/>
        <v>0</v>
      </c>
      <c r="P51" s="248">
        <f t="shared" si="2"/>
        <v>301732012.9967401</v>
      </c>
      <c r="Q51" s="248">
        <f t="shared" si="2"/>
        <v>301732012.9967401</v>
      </c>
      <c r="R51" s="248">
        <f t="shared" si="2"/>
        <v>0</v>
      </c>
      <c r="S51" s="248">
        <f>SUM(S44:S50)</f>
        <v>70000000</v>
      </c>
      <c r="T51" s="248">
        <f t="shared" si="2"/>
        <v>119974424.06664003</v>
      </c>
      <c r="U51" s="248">
        <f t="shared" si="2"/>
        <v>0</v>
      </c>
      <c r="V51" s="248">
        <f t="shared" si="2"/>
        <v>274138402.10019457</v>
      </c>
      <c r="W51" s="248">
        <f t="shared" si="2"/>
        <v>0</v>
      </c>
      <c r="X51" s="248">
        <f t="shared" si="2"/>
        <v>0</v>
      </c>
      <c r="Y51" s="248">
        <f t="shared" si="2"/>
        <v>223621638.93401167</v>
      </c>
      <c r="Z51" s="248">
        <f t="shared" si="2"/>
        <v>0</v>
      </c>
      <c r="AA51" s="248">
        <f t="shared" si="2"/>
        <v>186502019.04231524</v>
      </c>
      <c r="AB51" s="248">
        <f t="shared" si="2"/>
        <v>223621638.93401167</v>
      </c>
      <c r="AD51" s="235">
        <f>A51+D51+G51+J51+M51+P51+S51+V51+Y51+AA51</f>
        <v>3963958276.1847153</v>
      </c>
      <c r="AE51" s="235">
        <f>B51+E51+H51+K51+N51+Q51+T51+W51+Z51+AB51</f>
        <v>3963958276.1847153</v>
      </c>
      <c r="AF51" s="235">
        <f>AD51-AE51</f>
        <v>0</v>
      </c>
    </row>
    <row r="52" spans="1:32">
      <c r="A52" s="235">
        <f>A51-B51</f>
        <v>-525092793.74732327</v>
      </c>
    </row>
    <row r="54" spans="1:32">
      <c r="A54" s="235">
        <f>+E54-J54</f>
        <v>995083718.70600033</v>
      </c>
      <c r="B54" s="235">
        <f>+V54</f>
        <v>260751769.98371032</v>
      </c>
      <c r="E54" s="236">
        <v>1421548169.5800004</v>
      </c>
      <c r="G54" s="236">
        <v>48671021.435717747</v>
      </c>
      <c r="J54" s="237">
        <f>E54*0.3</f>
        <v>426464450.87400013</v>
      </c>
      <c r="M54" s="236">
        <v>341790215.01137108</v>
      </c>
      <c r="P54" s="236">
        <v>194212666.59448504</v>
      </c>
      <c r="Q54" s="235" t="s">
        <v>362</v>
      </c>
      <c r="V54" s="236">
        <v>260751769.98371032</v>
      </c>
      <c r="W54" s="234" t="s">
        <v>369</v>
      </c>
      <c r="Y54" s="236">
        <f>(E54-P60-V60)*0.33</f>
        <v>265771796.92645955</v>
      </c>
      <c r="AA54" s="235">
        <f>+Y45</f>
        <v>223621638.93401167</v>
      </c>
      <c r="AB54" s="235">
        <f>+Y54</f>
        <v>265771796.92645955</v>
      </c>
    </row>
    <row r="55" spans="1:32">
      <c r="A55" s="235">
        <f>+J51</f>
        <v>376053523.56000006</v>
      </c>
      <c r="B55" s="235">
        <f>+P54</f>
        <v>194212666.59448504</v>
      </c>
      <c r="K55" s="235">
        <f>+J44</f>
        <v>376053523.56000006</v>
      </c>
      <c r="P55" s="236">
        <v>136057299.48795602</v>
      </c>
      <c r="Q55" s="234" t="s">
        <v>368</v>
      </c>
      <c r="V55" s="236">
        <v>13637102.989587007</v>
      </c>
      <c r="W55" s="235" t="s">
        <v>367</v>
      </c>
    </row>
    <row r="56" spans="1:32">
      <c r="B56" s="235">
        <f>+P56</f>
        <v>11520248.928930014</v>
      </c>
      <c r="P56" s="235">
        <f>+M54-P54-P55</f>
        <v>11520248.928930014</v>
      </c>
      <c r="Q56" s="234" t="s">
        <v>364</v>
      </c>
    </row>
    <row r="57" spans="1:32">
      <c r="B57" s="235">
        <f>+G54+V55</f>
        <v>62308124.425304756</v>
      </c>
      <c r="S57" s="245">
        <v>125000000</v>
      </c>
      <c r="T57" s="245">
        <f>+P55</f>
        <v>136057299.48795602</v>
      </c>
    </row>
    <row r="58" spans="1:32">
      <c r="B58" s="235">
        <f>+S57</f>
        <v>125000000</v>
      </c>
      <c r="Q58" s="235">
        <f>+M54</f>
        <v>341790215.01137108</v>
      </c>
    </row>
    <row r="59" spans="1:32">
      <c r="B59" s="235">
        <f>+AA54</f>
        <v>223621638.93401167</v>
      </c>
    </row>
    <row r="60" spans="1:32">
      <c r="A60" s="248">
        <f>SUM(A54:A59)</f>
        <v>1371137242.2660003</v>
      </c>
      <c r="B60" s="248">
        <f t="shared" ref="B60:AB60" si="3">SUM(B54:B59)</f>
        <v>877414448.86644185</v>
      </c>
      <c r="C60" s="248">
        <f t="shared" si="3"/>
        <v>0</v>
      </c>
      <c r="D60" s="248">
        <f t="shared" si="3"/>
        <v>0</v>
      </c>
      <c r="E60" s="248">
        <f t="shared" si="3"/>
        <v>1421548169.5800004</v>
      </c>
      <c r="F60" s="248">
        <f t="shared" si="3"/>
        <v>0</v>
      </c>
      <c r="G60" s="248">
        <f t="shared" si="3"/>
        <v>48671021.435717747</v>
      </c>
      <c r="H60" s="248">
        <f t="shared" si="3"/>
        <v>0</v>
      </c>
      <c r="I60" s="248">
        <f t="shared" si="3"/>
        <v>0</v>
      </c>
      <c r="J60" s="248">
        <f t="shared" si="3"/>
        <v>426464450.87400013</v>
      </c>
      <c r="K60" s="248">
        <f t="shared" si="3"/>
        <v>376053523.56000006</v>
      </c>
      <c r="L60" s="248">
        <f t="shared" si="3"/>
        <v>0</v>
      </c>
      <c r="M60" s="248">
        <f t="shared" si="3"/>
        <v>341790215.01137108</v>
      </c>
      <c r="N60" s="248">
        <f t="shared" si="3"/>
        <v>0</v>
      </c>
      <c r="O60" s="248">
        <f t="shared" si="3"/>
        <v>0</v>
      </c>
      <c r="P60" s="248">
        <f t="shared" si="3"/>
        <v>341790215.01137114</v>
      </c>
      <c r="Q60" s="248">
        <f t="shared" si="3"/>
        <v>341790215.01137108</v>
      </c>
      <c r="R60" s="248">
        <f t="shared" si="3"/>
        <v>0</v>
      </c>
      <c r="S60" s="248">
        <f t="shared" si="3"/>
        <v>125000000</v>
      </c>
      <c r="T60" s="248">
        <f t="shared" si="3"/>
        <v>136057299.48795602</v>
      </c>
      <c r="U60" s="248">
        <f t="shared" si="3"/>
        <v>0</v>
      </c>
      <c r="V60" s="248">
        <f t="shared" si="3"/>
        <v>274388872.9732973</v>
      </c>
      <c r="W60" s="248">
        <f t="shared" si="3"/>
        <v>0</v>
      </c>
      <c r="X60" s="248">
        <f t="shared" si="3"/>
        <v>0</v>
      </c>
      <c r="Y60" s="248">
        <f t="shared" si="3"/>
        <v>265771796.92645955</v>
      </c>
      <c r="Z60" s="248">
        <f t="shared" si="3"/>
        <v>0</v>
      </c>
      <c r="AA60" s="248">
        <f t="shared" si="3"/>
        <v>223621638.93401167</v>
      </c>
      <c r="AB60" s="248">
        <f t="shared" si="3"/>
        <v>265771796.92645955</v>
      </c>
      <c r="AD60" s="235">
        <f>A60+D60+G60+J60+M60+P60+S60+V60+Y60+AA60</f>
        <v>3418635453.4322281</v>
      </c>
      <c r="AE60" s="235">
        <f>B60+E60+H60+K60+N60+Q60+T60+W60+Z60+AB60</f>
        <v>3418635453.432229</v>
      </c>
      <c r="AF60" s="235">
        <f>AD60-AE60</f>
        <v>0</v>
      </c>
    </row>
    <row r="61" spans="1:32">
      <c r="A61" s="235">
        <f>A60-B60</f>
        <v>493722793.39955842</v>
      </c>
    </row>
    <row r="64" spans="1:32">
      <c r="A64" s="235">
        <f>+E64-J64</f>
        <v>1116703050.0040803</v>
      </c>
      <c r="B64" s="235">
        <f>+V64</f>
        <v>268404272.13093215</v>
      </c>
      <c r="E64" s="236">
        <v>1595290071.4344006</v>
      </c>
      <c r="G64" s="236">
        <v>57168328.844475791</v>
      </c>
      <c r="J64" s="237">
        <f>E64*0.3</f>
        <v>478587021.43032014</v>
      </c>
      <c r="M64" s="236">
        <v>383208364.42846704</v>
      </c>
      <c r="P64" s="236">
        <v>217949377.58353984</v>
      </c>
      <c r="Q64" s="235" t="s">
        <v>362</v>
      </c>
      <c r="V64" s="236">
        <v>268404272.13093215</v>
      </c>
      <c r="W64" s="234" t="s">
        <v>369</v>
      </c>
      <c r="Y64" s="236">
        <f>(E64-P71-V71)*0.33</f>
        <v>309717420.9670769</v>
      </c>
      <c r="AA64" s="235">
        <f>+AB54</f>
        <v>265771796.92645955</v>
      </c>
      <c r="AB64" s="236">
        <f>+Y64</f>
        <v>309717420.9670769</v>
      </c>
    </row>
    <row r="65" spans="1:32">
      <c r="A65" s="235">
        <f>+J60</f>
        <v>426464450.87400013</v>
      </c>
      <c r="B65" s="235">
        <f>+G64+V65</f>
        <v>62308124.425304756</v>
      </c>
      <c r="K65" s="235">
        <f>+J60</f>
        <v>426464450.87400013</v>
      </c>
      <c r="P65" s="236">
        <v>149663029.43675166</v>
      </c>
      <c r="Q65" s="234" t="s">
        <v>368</v>
      </c>
      <c r="V65" s="236">
        <v>5139795.580828961</v>
      </c>
      <c r="W65" s="235" t="s">
        <v>367</v>
      </c>
    </row>
    <row r="66" spans="1:32">
      <c r="B66" s="235">
        <f>+S68</f>
        <v>145940000</v>
      </c>
      <c r="P66" s="235">
        <f>+M64-P64-P65</f>
        <v>15595957.408175528</v>
      </c>
      <c r="Q66" s="234" t="s">
        <v>364</v>
      </c>
    </row>
    <row r="67" spans="1:32">
      <c r="B67" s="235">
        <f>+AA64</f>
        <v>265771796.92645955</v>
      </c>
      <c r="D67" s="236">
        <f>+B69</f>
        <v>0</v>
      </c>
    </row>
    <row r="68" spans="1:32">
      <c r="B68" s="235">
        <f>+P64</f>
        <v>217949377.58353984</v>
      </c>
      <c r="Q68" s="235">
        <f>+M64</f>
        <v>383208364.42846704</v>
      </c>
      <c r="S68" s="245">
        <v>145940000</v>
      </c>
      <c r="T68" s="236">
        <f>+P65</f>
        <v>149663029.43675166</v>
      </c>
    </row>
    <row r="69" spans="1:32">
      <c r="B69" s="236"/>
      <c r="Q69" s="235"/>
      <c r="S69" s="245"/>
      <c r="T69" s="236"/>
    </row>
    <row r="70" spans="1:32">
      <c r="B70" s="236">
        <f>+P66</f>
        <v>15595957.408175528</v>
      </c>
    </row>
    <row r="71" spans="1:32">
      <c r="A71" s="248">
        <f>SUM(A64:A70)</f>
        <v>1543167500.8780804</v>
      </c>
      <c r="B71" s="248">
        <f t="shared" ref="B71:AB71" si="4">SUM(B64:B70)</f>
        <v>975969528.47441196</v>
      </c>
      <c r="C71" s="248">
        <f t="shared" si="4"/>
        <v>0</v>
      </c>
      <c r="D71" s="248">
        <f t="shared" si="4"/>
        <v>0</v>
      </c>
      <c r="E71" s="248">
        <f t="shared" si="4"/>
        <v>1595290071.4344006</v>
      </c>
      <c r="F71" s="248">
        <f t="shared" si="4"/>
        <v>0</v>
      </c>
      <c r="G71" s="248">
        <f t="shared" si="4"/>
        <v>57168328.844475791</v>
      </c>
      <c r="H71" s="248">
        <f t="shared" si="4"/>
        <v>0</v>
      </c>
      <c r="I71" s="248">
        <f t="shared" si="4"/>
        <v>0</v>
      </c>
      <c r="J71" s="248">
        <f t="shared" si="4"/>
        <v>478587021.43032014</v>
      </c>
      <c r="K71" s="248">
        <f t="shared" si="4"/>
        <v>426464450.87400013</v>
      </c>
      <c r="L71" s="248">
        <f t="shared" si="4"/>
        <v>0</v>
      </c>
      <c r="M71" s="248">
        <f t="shared" si="4"/>
        <v>383208364.42846704</v>
      </c>
      <c r="N71" s="248">
        <f t="shared" si="4"/>
        <v>0</v>
      </c>
      <c r="O71" s="248">
        <f t="shared" si="4"/>
        <v>0</v>
      </c>
      <c r="P71" s="248">
        <f t="shared" si="4"/>
        <v>383208364.42846704</v>
      </c>
      <c r="Q71" s="248">
        <f t="shared" si="4"/>
        <v>383208364.42846704</v>
      </c>
      <c r="R71" s="248">
        <f t="shared" si="4"/>
        <v>0</v>
      </c>
      <c r="S71" s="248">
        <f t="shared" si="4"/>
        <v>145940000</v>
      </c>
      <c r="T71" s="248">
        <f t="shared" si="4"/>
        <v>149663029.43675166</v>
      </c>
      <c r="U71" s="248">
        <f t="shared" si="4"/>
        <v>0</v>
      </c>
      <c r="V71" s="248">
        <f t="shared" si="4"/>
        <v>273544067.71176112</v>
      </c>
      <c r="W71" s="248">
        <f t="shared" si="4"/>
        <v>0</v>
      </c>
      <c r="X71" s="248">
        <f t="shared" si="4"/>
        <v>0</v>
      </c>
      <c r="Y71" s="248">
        <f t="shared" si="4"/>
        <v>309717420.9670769</v>
      </c>
      <c r="Z71" s="248">
        <f t="shared" si="4"/>
        <v>0</v>
      </c>
      <c r="AA71" s="248">
        <f t="shared" si="4"/>
        <v>265771796.92645955</v>
      </c>
      <c r="AB71" s="248">
        <f t="shared" si="4"/>
        <v>309717420.9670769</v>
      </c>
      <c r="AD71" s="235">
        <f>A71+D71+G71+J71+M71+P71+S71+V71+Y71+AA71</f>
        <v>3840312865.6151075</v>
      </c>
      <c r="AE71" s="235">
        <f>B71+E71+H71+K71+N71+Q71+T71+W71+Z71+AB71</f>
        <v>3840312865.6151085</v>
      </c>
      <c r="AF71" s="235">
        <f>AD71-AE71</f>
        <v>0</v>
      </c>
    </row>
    <row r="72" spans="1:32">
      <c r="A72" s="235">
        <f>A71-B71</f>
        <v>567197972.4036684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68"/>
  <sheetViews>
    <sheetView showGridLines="0" topLeftCell="C5" workbookViewId="0">
      <selection activeCell="N5" sqref="N5"/>
    </sheetView>
  </sheetViews>
  <sheetFormatPr baseColWidth="10" defaultRowHeight="12.75"/>
  <cols>
    <col min="2" max="2" width="18.7109375" bestFit="1" customWidth="1"/>
    <col min="3" max="3" width="16.42578125" bestFit="1" customWidth="1"/>
    <col min="4" max="4" width="15.85546875" bestFit="1" customWidth="1"/>
    <col min="5" max="5" width="18.28515625" bestFit="1" customWidth="1"/>
    <col min="6" max="7" width="14.28515625" bestFit="1" customWidth="1"/>
    <col min="8" max="8" width="14.42578125" bestFit="1" customWidth="1"/>
    <col min="9" max="10" width="15.85546875" bestFit="1" customWidth="1"/>
    <col min="11" max="11" width="16" bestFit="1" customWidth="1"/>
    <col min="12" max="12" width="17.28515625" bestFit="1" customWidth="1"/>
  </cols>
  <sheetData>
    <row r="1" spans="1:12" ht="14.25">
      <c r="A1" s="58" t="s">
        <v>135</v>
      </c>
      <c r="B1" s="59"/>
      <c r="C1" s="60">
        <f>425175872*50%</f>
        <v>212587936</v>
      </c>
      <c r="D1" s="65"/>
      <c r="E1" s="59"/>
    </row>
    <row r="2" spans="1:12" ht="14.25">
      <c r="A2" s="58" t="s">
        <v>136</v>
      </c>
      <c r="B2" s="59"/>
      <c r="C2" s="58">
        <v>5</v>
      </c>
      <c r="D2" s="65"/>
      <c r="E2" s="59"/>
    </row>
    <row r="3" spans="1:12" ht="14.25">
      <c r="A3" s="58" t="s">
        <v>137</v>
      </c>
      <c r="B3" s="59"/>
      <c r="C3" s="58">
        <v>60</v>
      </c>
      <c r="D3" s="65"/>
      <c r="E3" s="59"/>
    </row>
    <row r="4" spans="1:12" ht="14.25">
      <c r="A4" s="58" t="s">
        <v>138</v>
      </c>
      <c r="B4" s="59"/>
      <c r="C4" s="61">
        <v>0.17460000000000001</v>
      </c>
      <c r="D4" s="65"/>
      <c r="E4" s="58" t="s">
        <v>139</v>
      </c>
    </row>
    <row r="5" spans="1:12" ht="14.25">
      <c r="A5" s="58" t="s">
        <v>140</v>
      </c>
      <c r="B5" s="59"/>
      <c r="C5" s="61">
        <v>1.35E-2</v>
      </c>
      <c r="D5" s="65"/>
      <c r="E5" s="59"/>
    </row>
    <row r="6" spans="1:12" ht="14.25">
      <c r="A6" s="59"/>
      <c r="B6" s="59"/>
      <c r="C6" s="59"/>
      <c r="D6" s="66"/>
      <c r="E6" s="59"/>
    </row>
    <row r="7" spans="1:12" ht="30">
      <c r="A7" s="71" t="s">
        <v>141</v>
      </c>
      <c r="B7" s="62" t="s">
        <v>142</v>
      </c>
      <c r="C7" s="62" t="s">
        <v>143</v>
      </c>
      <c r="D7" s="67" t="s">
        <v>144</v>
      </c>
      <c r="E7" s="62" t="s">
        <v>145</v>
      </c>
      <c r="F7" s="95" t="s">
        <v>218</v>
      </c>
      <c r="G7" s="95"/>
      <c r="H7" s="265" t="s">
        <v>372</v>
      </c>
      <c r="I7" s="265" t="s">
        <v>142</v>
      </c>
      <c r="J7" s="265" t="s">
        <v>143</v>
      </c>
      <c r="K7" s="266" t="s">
        <v>144</v>
      </c>
      <c r="L7" s="265" t="s">
        <v>145</v>
      </c>
    </row>
    <row r="8" spans="1:12" ht="14.25">
      <c r="A8" s="57">
        <v>0</v>
      </c>
      <c r="B8" s="63"/>
      <c r="C8" s="63"/>
      <c r="D8" s="64"/>
      <c r="E8" s="64">
        <f>+C1</f>
        <v>212587936</v>
      </c>
      <c r="H8" s="269">
        <v>0</v>
      </c>
      <c r="I8" s="270"/>
      <c r="J8" s="270"/>
      <c r="K8" s="268"/>
      <c r="L8" s="268">
        <f>+E8</f>
        <v>212587936</v>
      </c>
    </row>
    <row r="9" spans="1:12" ht="14.25">
      <c r="A9" s="57">
        <v>1</v>
      </c>
      <c r="B9" s="68">
        <f>E8*$C$5</f>
        <v>2869937.1359999999</v>
      </c>
      <c r="C9" s="68">
        <f>D9-B9</f>
        <v>2322406.5661087297</v>
      </c>
      <c r="D9" s="68">
        <f>PMT($C$5,$C$3,-$C$1)</f>
        <v>5192343.7021087296</v>
      </c>
      <c r="E9" s="68">
        <f>E8-C9</f>
        <v>210265529.43389127</v>
      </c>
      <c r="H9" s="269">
        <v>1</v>
      </c>
      <c r="I9" s="267">
        <f>+F20</f>
        <v>32273973.997305091</v>
      </c>
      <c r="J9" s="267">
        <f>+G20</f>
        <v>30034150.427999664</v>
      </c>
      <c r="K9" s="271">
        <f>+J9+I9</f>
        <v>62308124.425304756</v>
      </c>
      <c r="L9" s="271">
        <f>+L8-J9</f>
        <v>182553785.57200032</v>
      </c>
    </row>
    <row r="10" spans="1:12" ht="14.25">
      <c r="A10" s="57">
        <v>2</v>
      </c>
      <c r="B10" s="69">
        <f t="shared" ref="B10:B68" si="0">E9*$C$5</f>
        <v>2838584.6473575323</v>
      </c>
      <c r="C10" s="69">
        <f t="shared" ref="C10:C68" si="1">D10-B10</f>
        <v>2353759.0547511973</v>
      </c>
      <c r="D10" s="69">
        <f t="shared" ref="D10:D68" si="2">PMT($C$5,$C$3,-$C$1)</f>
        <v>5192343.7021087296</v>
      </c>
      <c r="E10" s="69">
        <f t="shared" ref="E10:E68" si="3">E9-C10</f>
        <v>207911770.37914008</v>
      </c>
      <c r="H10" s="269">
        <v>2</v>
      </c>
      <c r="I10" s="272">
        <f>+F32</f>
        <v>27030414.248211622</v>
      </c>
      <c r="J10" s="272">
        <f>+G32</f>
        <v>35277710.177093133</v>
      </c>
      <c r="K10" s="271">
        <f t="shared" ref="K10:K13" si="4">+J10+I10</f>
        <v>62308124.425304756</v>
      </c>
      <c r="L10" s="271">
        <f t="shared" ref="L10:L13" si="5">+L9-J10</f>
        <v>147276075.39490718</v>
      </c>
    </row>
    <row r="11" spans="1:12" ht="14.25">
      <c r="A11" s="57">
        <v>3</v>
      </c>
      <c r="B11" s="69">
        <f t="shared" si="0"/>
        <v>2806808.900118391</v>
      </c>
      <c r="C11" s="69">
        <f t="shared" si="1"/>
        <v>2385534.8019903386</v>
      </c>
      <c r="D11" s="69">
        <f t="shared" si="2"/>
        <v>5192343.7021087296</v>
      </c>
      <c r="E11" s="69">
        <f t="shared" si="3"/>
        <v>205526235.57714975</v>
      </c>
      <c r="H11" s="269">
        <v>3</v>
      </c>
      <c r="I11" s="272">
        <f>+F44</f>
        <v>20871399.310591139</v>
      </c>
      <c r="J11" s="272">
        <f>+G44</f>
        <v>41436725.114713609</v>
      </c>
      <c r="K11" s="271">
        <f t="shared" si="4"/>
        <v>62308124.425304748</v>
      </c>
      <c r="L11" s="271">
        <f t="shared" si="5"/>
        <v>105839350.28019357</v>
      </c>
    </row>
    <row r="12" spans="1:12" ht="14.25">
      <c r="A12" s="57">
        <v>4</v>
      </c>
      <c r="B12" s="69">
        <f t="shared" si="0"/>
        <v>2774604.1802915214</v>
      </c>
      <c r="C12" s="69">
        <f t="shared" si="1"/>
        <v>2417739.5218172083</v>
      </c>
      <c r="D12" s="69">
        <f t="shared" si="2"/>
        <v>5192343.7021087296</v>
      </c>
      <c r="E12" s="69">
        <f t="shared" si="3"/>
        <v>203108496.05533254</v>
      </c>
      <c r="H12" s="269">
        <v>4</v>
      </c>
      <c r="I12" s="272">
        <f>+F56</f>
        <v>13637102.989587007</v>
      </c>
      <c r="J12" s="272">
        <f>+G56</f>
        <v>48671021.435717747</v>
      </c>
      <c r="K12" s="271">
        <f t="shared" si="4"/>
        <v>62308124.425304756</v>
      </c>
      <c r="L12" s="271">
        <f t="shared" si="5"/>
        <v>57168328.844475821</v>
      </c>
    </row>
    <row r="13" spans="1:12" ht="14.25">
      <c r="A13" s="57">
        <v>5</v>
      </c>
      <c r="B13" s="69">
        <f t="shared" si="0"/>
        <v>2741964.6967469892</v>
      </c>
      <c r="C13" s="69">
        <f t="shared" si="1"/>
        <v>2450379.0053617405</v>
      </c>
      <c r="D13" s="69">
        <f t="shared" si="2"/>
        <v>5192343.7021087296</v>
      </c>
      <c r="E13" s="69">
        <f t="shared" si="3"/>
        <v>200658117.04997081</v>
      </c>
      <c r="H13" s="269">
        <v>5</v>
      </c>
      <c r="I13" s="272">
        <f>+F68</f>
        <v>5139795.580828961</v>
      </c>
      <c r="J13" s="272">
        <f>+G68</f>
        <v>57168328.844475791</v>
      </c>
      <c r="K13" s="271">
        <f t="shared" si="4"/>
        <v>62308124.425304756</v>
      </c>
      <c r="L13" s="271">
        <f t="shared" si="5"/>
        <v>0</v>
      </c>
    </row>
    <row r="14" spans="1:12" ht="14.25">
      <c r="A14" s="57">
        <v>6</v>
      </c>
      <c r="B14" s="69">
        <f t="shared" si="0"/>
        <v>2708884.5801746058</v>
      </c>
      <c r="C14" s="69">
        <f t="shared" si="1"/>
        <v>2483459.1219341238</v>
      </c>
      <c r="D14" s="69">
        <f t="shared" si="2"/>
        <v>5192343.7021087296</v>
      </c>
      <c r="E14" s="69">
        <f t="shared" si="3"/>
        <v>198174657.92803669</v>
      </c>
    </row>
    <row r="15" spans="1:12" ht="14.25">
      <c r="A15" s="57">
        <v>7</v>
      </c>
      <c r="B15" s="69">
        <f t="shared" si="0"/>
        <v>2675357.8820284954</v>
      </c>
      <c r="C15" s="69">
        <f t="shared" si="1"/>
        <v>2516985.8200802342</v>
      </c>
      <c r="D15" s="69">
        <f t="shared" si="2"/>
        <v>5192343.7021087296</v>
      </c>
      <c r="E15" s="69">
        <f t="shared" si="3"/>
        <v>195657672.10795647</v>
      </c>
    </row>
    <row r="16" spans="1:12" ht="14.25">
      <c r="A16" s="57">
        <v>8</v>
      </c>
      <c r="B16" s="69">
        <f t="shared" si="0"/>
        <v>2641378.5734574124</v>
      </c>
      <c r="C16" s="69">
        <f t="shared" si="1"/>
        <v>2550965.1286513172</v>
      </c>
      <c r="D16" s="69">
        <f t="shared" si="2"/>
        <v>5192343.7021087296</v>
      </c>
      <c r="E16" s="69">
        <f t="shared" si="3"/>
        <v>193106706.97930515</v>
      </c>
    </row>
    <row r="17" spans="1:8" ht="14.25">
      <c r="A17" s="57">
        <v>9</v>
      </c>
      <c r="B17" s="69">
        <f t="shared" si="0"/>
        <v>2606940.5442206194</v>
      </c>
      <c r="C17" s="69">
        <f t="shared" si="1"/>
        <v>2585403.1578881103</v>
      </c>
      <c r="D17" s="69">
        <f t="shared" si="2"/>
        <v>5192343.7021087296</v>
      </c>
      <c r="E17" s="69">
        <f t="shared" si="3"/>
        <v>190521303.82141703</v>
      </c>
    </row>
    <row r="18" spans="1:8" ht="14.25">
      <c r="A18" s="57">
        <v>10</v>
      </c>
      <c r="B18" s="69">
        <f t="shared" si="0"/>
        <v>2572037.6015891298</v>
      </c>
      <c r="C18" s="69">
        <f t="shared" si="1"/>
        <v>2620306.1005195999</v>
      </c>
      <c r="D18" s="69">
        <f t="shared" si="2"/>
        <v>5192343.7021087296</v>
      </c>
      <c r="E18" s="69">
        <f t="shared" si="3"/>
        <v>187900997.72089744</v>
      </c>
    </row>
    <row r="19" spans="1:8" ht="14.25">
      <c r="A19" s="57">
        <v>11</v>
      </c>
      <c r="B19" s="69">
        <f t="shared" si="0"/>
        <v>2536663.4692321154</v>
      </c>
      <c r="C19" s="69">
        <f t="shared" si="1"/>
        <v>2655680.2328766142</v>
      </c>
      <c r="D19" s="69">
        <f t="shared" si="2"/>
        <v>5192343.7021087296</v>
      </c>
      <c r="E19" s="69">
        <f t="shared" si="3"/>
        <v>185245317.48802081</v>
      </c>
    </row>
    <row r="20" spans="1:8" ht="14.25">
      <c r="A20" s="57">
        <v>12</v>
      </c>
      <c r="B20" s="69">
        <f t="shared" si="0"/>
        <v>2500811.7860882808</v>
      </c>
      <c r="C20" s="69">
        <f t="shared" si="1"/>
        <v>2691531.9160204488</v>
      </c>
      <c r="D20" s="69">
        <f t="shared" si="2"/>
        <v>5192343.7021087296</v>
      </c>
      <c r="E20" s="69">
        <f t="shared" si="3"/>
        <v>182553785.57200035</v>
      </c>
      <c r="F20" s="96">
        <f>+SUM(B9:B20)</f>
        <v>32273973.997305091</v>
      </c>
      <c r="G20" s="96">
        <f>+SUM(C9:C20)</f>
        <v>30034150.427999664</v>
      </c>
      <c r="H20" s="96"/>
    </row>
    <row r="21" spans="1:8" ht="14.25">
      <c r="A21" s="57">
        <v>13</v>
      </c>
      <c r="B21" s="69">
        <f t="shared" si="0"/>
        <v>2464476.1052220049</v>
      </c>
      <c r="C21" s="69">
        <f t="shared" si="1"/>
        <v>2727867.5968867247</v>
      </c>
      <c r="D21" s="69">
        <f t="shared" si="2"/>
        <v>5192343.7021087296</v>
      </c>
      <c r="E21" s="69">
        <f t="shared" si="3"/>
        <v>179825917.97511363</v>
      </c>
    </row>
    <row r="22" spans="1:8" ht="14.25">
      <c r="A22" s="57">
        <v>14</v>
      </c>
      <c r="B22" s="69">
        <f t="shared" si="0"/>
        <v>2427649.8926640339</v>
      </c>
      <c r="C22" s="69">
        <f t="shared" si="1"/>
        <v>2764693.8094446957</v>
      </c>
      <c r="D22" s="69">
        <f t="shared" si="2"/>
        <v>5192343.7021087296</v>
      </c>
      <c r="E22" s="69">
        <f t="shared" si="3"/>
        <v>177061224.16566893</v>
      </c>
    </row>
    <row r="23" spans="1:8" ht="14.25">
      <c r="A23" s="57">
        <v>15</v>
      </c>
      <c r="B23" s="69">
        <f t="shared" si="0"/>
        <v>2390326.5262365304</v>
      </c>
      <c r="C23" s="69">
        <f t="shared" si="1"/>
        <v>2802017.1758721992</v>
      </c>
      <c r="D23" s="69">
        <f t="shared" si="2"/>
        <v>5192343.7021087296</v>
      </c>
      <c r="E23" s="69">
        <f t="shared" si="3"/>
        <v>174259206.98979673</v>
      </c>
    </row>
    <row r="24" spans="1:8" ht="14.25">
      <c r="A24" s="57">
        <v>16</v>
      </c>
      <c r="B24" s="69">
        <f t="shared" si="0"/>
        <v>2352499.2943622558</v>
      </c>
      <c r="C24" s="69">
        <f t="shared" si="1"/>
        <v>2839844.4077464738</v>
      </c>
      <c r="D24" s="69">
        <f t="shared" si="2"/>
        <v>5192343.7021087296</v>
      </c>
      <c r="E24" s="69">
        <f t="shared" si="3"/>
        <v>171419362.58205026</v>
      </c>
    </row>
    <row r="25" spans="1:8" ht="14.25">
      <c r="A25" s="57">
        <v>17</v>
      </c>
      <c r="B25" s="69">
        <f t="shared" si="0"/>
        <v>2314161.3948576786</v>
      </c>
      <c r="C25" s="69">
        <f t="shared" si="1"/>
        <v>2878182.3072510511</v>
      </c>
      <c r="D25" s="69">
        <f t="shared" si="2"/>
        <v>5192343.7021087296</v>
      </c>
      <c r="E25" s="69">
        <f t="shared" si="3"/>
        <v>168541180.27479923</v>
      </c>
    </row>
    <row r="26" spans="1:8" ht="14.25">
      <c r="A26" s="57">
        <v>18</v>
      </c>
      <c r="B26" s="69">
        <f t="shared" si="0"/>
        <v>2275305.9337097895</v>
      </c>
      <c r="C26" s="69">
        <f t="shared" si="1"/>
        <v>2917037.7683989401</v>
      </c>
      <c r="D26" s="69">
        <f t="shared" si="2"/>
        <v>5192343.7021087296</v>
      </c>
      <c r="E26" s="69">
        <f t="shared" si="3"/>
        <v>165624142.50640029</v>
      </c>
    </row>
    <row r="27" spans="1:8" ht="14.25">
      <c r="A27" s="57">
        <v>19</v>
      </c>
      <c r="B27" s="69">
        <f t="shared" si="0"/>
        <v>2235925.923836404</v>
      </c>
      <c r="C27" s="69">
        <f t="shared" si="1"/>
        <v>2956417.7782723256</v>
      </c>
      <c r="D27" s="69">
        <f t="shared" si="2"/>
        <v>5192343.7021087296</v>
      </c>
      <c r="E27" s="69">
        <f t="shared" si="3"/>
        <v>162667724.72812796</v>
      </c>
    </row>
    <row r="28" spans="1:8" ht="14.25">
      <c r="A28" s="57">
        <v>20</v>
      </c>
      <c r="B28" s="69">
        <f t="shared" si="0"/>
        <v>2196014.2838297272</v>
      </c>
      <c r="C28" s="69">
        <f t="shared" si="1"/>
        <v>2996329.4182790024</v>
      </c>
      <c r="D28" s="69">
        <f t="shared" si="2"/>
        <v>5192343.7021087296</v>
      </c>
      <c r="E28" s="69">
        <f t="shared" si="3"/>
        <v>159671395.30984896</v>
      </c>
    </row>
    <row r="29" spans="1:8" ht="14.25">
      <c r="A29" s="57">
        <v>21</v>
      </c>
      <c r="B29" s="69">
        <f t="shared" si="0"/>
        <v>2155563.8366829609</v>
      </c>
      <c r="C29" s="69">
        <f t="shared" si="1"/>
        <v>3036779.8654257688</v>
      </c>
      <c r="D29" s="69">
        <f t="shared" si="2"/>
        <v>5192343.7021087296</v>
      </c>
      <c r="E29" s="69">
        <f t="shared" si="3"/>
        <v>156634615.4444232</v>
      </c>
    </row>
    <row r="30" spans="1:8" ht="14.25">
      <c r="A30" s="57">
        <v>22</v>
      </c>
      <c r="B30" s="69">
        <f t="shared" si="0"/>
        <v>2114567.308499713</v>
      </c>
      <c r="C30" s="69">
        <f t="shared" si="1"/>
        <v>3077776.3936090167</v>
      </c>
      <c r="D30" s="69">
        <f t="shared" si="2"/>
        <v>5192343.7021087296</v>
      </c>
      <c r="E30" s="69">
        <f t="shared" si="3"/>
        <v>153556839.05081418</v>
      </c>
    </row>
    <row r="31" spans="1:8" ht="14.25">
      <c r="A31" s="57">
        <v>23</v>
      </c>
      <c r="B31" s="69">
        <f t="shared" si="0"/>
        <v>2073017.3271859915</v>
      </c>
      <c r="C31" s="69">
        <f t="shared" si="1"/>
        <v>3119326.3749227384</v>
      </c>
      <c r="D31" s="69">
        <f t="shared" si="2"/>
        <v>5192343.7021087296</v>
      </c>
      <c r="E31" s="69">
        <f t="shared" si="3"/>
        <v>150437512.67589143</v>
      </c>
    </row>
    <row r="32" spans="1:8" ht="14.25">
      <c r="A32" s="57">
        <v>24</v>
      </c>
      <c r="B32" s="69">
        <f t="shared" si="0"/>
        <v>2030906.4211245342</v>
      </c>
      <c r="C32" s="69">
        <f t="shared" si="1"/>
        <v>3161437.2809841954</v>
      </c>
      <c r="D32" s="69">
        <f t="shared" si="2"/>
        <v>5192343.7021087296</v>
      </c>
      <c r="E32" s="69">
        <f t="shared" si="3"/>
        <v>147276075.39490724</v>
      </c>
      <c r="F32" s="96">
        <f>+SUM(B21:B32)</f>
        <v>27030414.248211622</v>
      </c>
      <c r="G32" s="96">
        <f>+SUM(C21:C32)</f>
        <v>35277710.177093133</v>
      </c>
      <c r="H32" s="96"/>
    </row>
    <row r="33" spans="1:8" ht="14.25">
      <c r="A33" s="57">
        <v>25</v>
      </c>
      <c r="B33" s="69">
        <f t="shared" si="0"/>
        <v>1988227.0178312478</v>
      </c>
      <c r="C33" s="69">
        <f t="shared" si="1"/>
        <v>3204116.6842774819</v>
      </c>
      <c r="D33" s="69">
        <f t="shared" si="2"/>
        <v>5192343.7021087296</v>
      </c>
      <c r="E33" s="69">
        <f t="shared" si="3"/>
        <v>144071958.71062976</v>
      </c>
    </row>
    <row r="34" spans="1:8" ht="14.25">
      <c r="A34" s="57">
        <v>26</v>
      </c>
      <c r="B34" s="69">
        <f t="shared" si="0"/>
        <v>1944971.4425935016</v>
      </c>
      <c r="C34" s="69">
        <f t="shared" si="1"/>
        <v>3247372.2595152277</v>
      </c>
      <c r="D34" s="69">
        <f t="shared" si="2"/>
        <v>5192343.7021087296</v>
      </c>
      <c r="E34" s="69">
        <f t="shared" si="3"/>
        <v>140824586.45111454</v>
      </c>
    </row>
    <row r="35" spans="1:8" ht="14.25">
      <c r="A35" s="57">
        <v>27</v>
      </c>
      <c r="B35" s="69">
        <f t="shared" si="0"/>
        <v>1901131.9170900462</v>
      </c>
      <c r="C35" s="69">
        <f t="shared" si="1"/>
        <v>3291211.7850186834</v>
      </c>
      <c r="D35" s="69">
        <f t="shared" si="2"/>
        <v>5192343.7021087296</v>
      </c>
      <c r="E35" s="69">
        <f t="shared" si="3"/>
        <v>137533374.66609585</v>
      </c>
    </row>
    <row r="36" spans="1:8" ht="14.25">
      <c r="A36" s="57">
        <v>28</v>
      </c>
      <c r="B36" s="69">
        <f t="shared" si="0"/>
        <v>1856700.557992294</v>
      </c>
      <c r="C36" s="69">
        <f t="shared" si="1"/>
        <v>3335643.1441164357</v>
      </c>
      <c r="D36" s="69">
        <f t="shared" si="2"/>
        <v>5192343.7021087296</v>
      </c>
      <c r="E36" s="69">
        <f t="shared" si="3"/>
        <v>134197731.52197942</v>
      </c>
    </row>
    <row r="37" spans="1:8" ht="14.25">
      <c r="A37" s="57">
        <v>29</v>
      </c>
      <c r="B37" s="69">
        <f t="shared" si="0"/>
        <v>1811669.3755467222</v>
      </c>
      <c r="C37" s="69">
        <f t="shared" si="1"/>
        <v>3380674.3265620074</v>
      </c>
      <c r="D37" s="69">
        <f t="shared" si="2"/>
        <v>5192343.7021087296</v>
      </c>
      <c r="E37" s="69">
        <f t="shared" si="3"/>
        <v>130817057.19541742</v>
      </c>
    </row>
    <row r="38" spans="1:8" ht="14.25">
      <c r="A38" s="57">
        <v>30</v>
      </c>
      <c r="B38" s="69">
        <f t="shared" si="0"/>
        <v>1766030.272138135</v>
      </c>
      <c r="C38" s="69">
        <f t="shared" si="1"/>
        <v>3426313.4299705946</v>
      </c>
      <c r="D38" s="69">
        <f t="shared" si="2"/>
        <v>5192343.7021087296</v>
      </c>
      <c r="E38" s="69">
        <f t="shared" si="3"/>
        <v>127390743.76544683</v>
      </c>
    </row>
    <row r="39" spans="1:8" ht="14.25">
      <c r="A39" s="57">
        <v>31</v>
      </c>
      <c r="B39" s="69">
        <f t="shared" si="0"/>
        <v>1719775.0408335321</v>
      </c>
      <c r="C39" s="69">
        <f t="shared" si="1"/>
        <v>3472568.6612751978</v>
      </c>
      <c r="D39" s="69">
        <f t="shared" si="2"/>
        <v>5192343.7021087296</v>
      </c>
      <c r="E39" s="69">
        <f t="shared" si="3"/>
        <v>123918175.10417163</v>
      </c>
    </row>
    <row r="40" spans="1:8" ht="14.25">
      <c r="A40" s="57">
        <v>32</v>
      </c>
      <c r="B40" s="69">
        <f t="shared" si="0"/>
        <v>1672895.3639063169</v>
      </c>
      <c r="C40" s="69">
        <f t="shared" si="1"/>
        <v>3519448.3382024127</v>
      </c>
      <c r="D40" s="69">
        <f t="shared" si="2"/>
        <v>5192343.7021087296</v>
      </c>
      <c r="E40" s="69">
        <f t="shared" si="3"/>
        <v>120398726.76596922</v>
      </c>
    </row>
    <row r="41" spans="1:8" ht="14.25">
      <c r="A41" s="57">
        <v>33</v>
      </c>
      <c r="B41" s="69">
        <f t="shared" si="0"/>
        <v>1625382.8113405844</v>
      </c>
      <c r="C41" s="69">
        <f t="shared" si="1"/>
        <v>3566960.8907681452</v>
      </c>
      <c r="D41" s="69">
        <f t="shared" si="2"/>
        <v>5192343.7021087296</v>
      </c>
      <c r="E41" s="69">
        <f t="shared" si="3"/>
        <v>116831765.87520108</v>
      </c>
    </row>
    <row r="42" spans="1:8" ht="14.25">
      <c r="A42" s="57">
        <v>34</v>
      </c>
      <c r="B42" s="69">
        <f t="shared" si="0"/>
        <v>1577228.8393152144</v>
      </c>
      <c r="C42" s="69">
        <f t="shared" si="1"/>
        <v>3615114.8627935154</v>
      </c>
      <c r="D42" s="69">
        <f t="shared" si="2"/>
        <v>5192343.7021087296</v>
      </c>
      <c r="E42" s="69">
        <f t="shared" si="3"/>
        <v>113216651.01240756</v>
      </c>
    </row>
    <row r="43" spans="1:8" ht="14.25">
      <c r="A43" s="57">
        <v>35</v>
      </c>
      <c r="B43" s="69">
        <f t="shared" si="0"/>
        <v>1528424.7886675019</v>
      </c>
      <c r="C43" s="69">
        <f t="shared" si="1"/>
        <v>3663918.9134412277</v>
      </c>
      <c r="D43" s="69">
        <f t="shared" si="2"/>
        <v>5192343.7021087296</v>
      </c>
      <c r="E43" s="69">
        <f t="shared" si="3"/>
        <v>109552732.09896633</v>
      </c>
    </row>
    <row r="44" spans="1:8" ht="14.25">
      <c r="A44" s="57">
        <v>36</v>
      </c>
      <c r="B44" s="69">
        <f t="shared" si="0"/>
        <v>1478961.8833360455</v>
      </c>
      <c r="C44" s="69">
        <f t="shared" si="1"/>
        <v>3713381.8187726839</v>
      </c>
      <c r="D44" s="69">
        <f t="shared" si="2"/>
        <v>5192343.7021087296</v>
      </c>
      <c r="E44" s="69">
        <f t="shared" si="3"/>
        <v>105839350.28019364</v>
      </c>
      <c r="F44" s="96">
        <f>+SUM(B33:B44)</f>
        <v>20871399.310591139</v>
      </c>
      <c r="G44" s="96">
        <f>+SUM(C33:C44)</f>
        <v>41436725.114713609</v>
      </c>
      <c r="H44" s="96"/>
    </row>
    <row r="45" spans="1:8" ht="14.25">
      <c r="A45" s="57">
        <v>37</v>
      </c>
      <c r="B45" s="69">
        <f t="shared" si="0"/>
        <v>1428831.2287826142</v>
      </c>
      <c r="C45" s="69">
        <f t="shared" si="1"/>
        <v>3763512.4733261154</v>
      </c>
      <c r="D45" s="69">
        <f t="shared" si="2"/>
        <v>5192343.7021087296</v>
      </c>
      <c r="E45" s="69">
        <f t="shared" si="3"/>
        <v>102075837.80686752</v>
      </c>
    </row>
    <row r="46" spans="1:8" ht="14.25">
      <c r="A46" s="57">
        <v>38</v>
      </c>
      <c r="B46" s="69">
        <f t="shared" si="0"/>
        <v>1378023.8103927115</v>
      </c>
      <c r="C46" s="69">
        <f t="shared" si="1"/>
        <v>3814319.8917160183</v>
      </c>
      <c r="D46" s="69">
        <f t="shared" si="2"/>
        <v>5192343.7021087296</v>
      </c>
      <c r="E46" s="69">
        <f t="shared" si="3"/>
        <v>98261517.915151507</v>
      </c>
    </row>
    <row r="47" spans="1:8" ht="14.25">
      <c r="A47" s="57">
        <v>39</v>
      </c>
      <c r="B47" s="69">
        <f t="shared" si="0"/>
        <v>1326530.4918545454</v>
      </c>
      <c r="C47" s="69">
        <f t="shared" si="1"/>
        <v>3865813.210254184</v>
      </c>
      <c r="D47" s="69">
        <f t="shared" si="2"/>
        <v>5192343.7021087296</v>
      </c>
      <c r="E47" s="69">
        <f t="shared" si="3"/>
        <v>94395704.704897329</v>
      </c>
    </row>
    <row r="48" spans="1:8" ht="14.25">
      <c r="A48" s="57">
        <v>40</v>
      </c>
      <c r="B48" s="69">
        <f t="shared" si="0"/>
        <v>1274342.0135161139</v>
      </c>
      <c r="C48" s="69">
        <f t="shared" si="1"/>
        <v>3918001.6885926155</v>
      </c>
      <c r="D48" s="69">
        <f t="shared" si="2"/>
        <v>5192343.7021087296</v>
      </c>
      <c r="E48" s="69">
        <f t="shared" si="3"/>
        <v>90477703.016304716</v>
      </c>
    </row>
    <row r="49" spans="1:8" ht="14.25">
      <c r="A49" s="57">
        <v>41</v>
      </c>
      <c r="B49" s="69">
        <f t="shared" si="0"/>
        <v>1221448.9907201137</v>
      </c>
      <c r="C49" s="69">
        <f t="shared" si="1"/>
        <v>3970894.7113886159</v>
      </c>
      <c r="D49" s="69">
        <f t="shared" si="2"/>
        <v>5192343.7021087296</v>
      </c>
      <c r="E49" s="69">
        <f t="shared" si="3"/>
        <v>86506808.304916099</v>
      </c>
    </row>
    <row r="50" spans="1:8" ht="14.25">
      <c r="A50" s="57">
        <v>42</v>
      </c>
      <c r="B50" s="69">
        <f t="shared" si="0"/>
        <v>1167841.9121163674</v>
      </c>
      <c r="C50" s="69">
        <f t="shared" si="1"/>
        <v>4024501.7899923623</v>
      </c>
      <c r="D50" s="69">
        <f t="shared" si="2"/>
        <v>5192343.7021087296</v>
      </c>
      <c r="E50" s="69">
        <f t="shared" si="3"/>
        <v>82482306.514923736</v>
      </c>
    </row>
    <row r="51" spans="1:8" ht="14.25">
      <c r="A51" s="57">
        <v>43</v>
      </c>
      <c r="B51" s="69">
        <f t="shared" si="0"/>
        <v>1113511.1379514704</v>
      </c>
      <c r="C51" s="69">
        <f t="shared" si="1"/>
        <v>4078832.5641572592</v>
      </c>
      <c r="D51" s="69">
        <f t="shared" si="2"/>
        <v>5192343.7021087296</v>
      </c>
      <c r="E51" s="69">
        <f t="shared" si="3"/>
        <v>78403473.950766474</v>
      </c>
    </row>
    <row r="52" spans="1:8" ht="14.25">
      <c r="A52" s="57">
        <v>44</v>
      </c>
      <c r="B52" s="69">
        <f t="shared" si="0"/>
        <v>1058446.8983353474</v>
      </c>
      <c r="C52" s="69">
        <f t="shared" si="1"/>
        <v>4133896.8037733822</v>
      </c>
      <c r="D52" s="69">
        <f t="shared" si="2"/>
        <v>5192343.7021087296</v>
      </c>
      <c r="E52" s="69">
        <f t="shared" si="3"/>
        <v>74269577.146993086</v>
      </c>
    </row>
    <row r="53" spans="1:8" ht="14.25">
      <c r="A53" s="57">
        <v>45</v>
      </c>
      <c r="B53" s="69">
        <f t="shared" si="0"/>
        <v>1002639.2914844067</v>
      </c>
      <c r="C53" s="69">
        <f t="shared" si="1"/>
        <v>4189704.4106243229</v>
      </c>
      <c r="D53" s="69">
        <f t="shared" si="2"/>
        <v>5192343.7021087296</v>
      </c>
      <c r="E53" s="69">
        <f t="shared" si="3"/>
        <v>70079872.73636876</v>
      </c>
    </row>
    <row r="54" spans="1:8" ht="14.25">
      <c r="A54" s="57">
        <v>46</v>
      </c>
      <c r="B54" s="69">
        <f t="shared" si="0"/>
        <v>946078.28194097825</v>
      </c>
      <c r="C54" s="69">
        <f t="shared" si="1"/>
        <v>4246265.4201677516</v>
      </c>
      <c r="D54" s="69">
        <f t="shared" si="2"/>
        <v>5192343.7021087296</v>
      </c>
      <c r="E54" s="69">
        <f t="shared" si="3"/>
        <v>65833607.316201009</v>
      </c>
    </row>
    <row r="55" spans="1:8" ht="14.25">
      <c r="A55" s="57">
        <v>47</v>
      </c>
      <c r="B55" s="69">
        <f t="shared" si="0"/>
        <v>888753.69876871363</v>
      </c>
      <c r="C55" s="69">
        <f t="shared" si="1"/>
        <v>4303590.0033400161</v>
      </c>
      <c r="D55" s="69">
        <f t="shared" si="2"/>
        <v>5192343.7021087296</v>
      </c>
      <c r="E55" s="69">
        <f t="shared" si="3"/>
        <v>61530017.312860996</v>
      </c>
    </row>
    <row r="56" spans="1:8" ht="14.25">
      <c r="A56" s="57">
        <v>48</v>
      </c>
      <c r="B56" s="69">
        <f t="shared" si="0"/>
        <v>830655.23372362345</v>
      </c>
      <c r="C56" s="69">
        <f t="shared" si="1"/>
        <v>4361688.468385106</v>
      </c>
      <c r="D56" s="69">
        <f t="shared" si="2"/>
        <v>5192343.7021087296</v>
      </c>
      <c r="E56" s="69">
        <f t="shared" si="3"/>
        <v>57168328.844475888</v>
      </c>
      <c r="F56" s="96">
        <f>+SUM(B45:B56)</f>
        <v>13637102.989587007</v>
      </c>
      <c r="G56" s="96">
        <f>+SUM(C45:C56)</f>
        <v>48671021.435717747</v>
      </c>
      <c r="H56" s="96"/>
    </row>
    <row r="57" spans="1:8" ht="14.25">
      <c r="A57" s="57">
        <v>49</v>
      </c>
      <c r="B57" s="69">
        <f t="shared" si="0"/>
        <v>771772.43940042448</v>
      </c>
      <c r="C57" s="69">
        <f t="shared" si="1"/>
        <v>4420571.2627083054</v>
      </c>
      <c r="D57" s="69">
        <f t="shared" si="2"/>
        <v>5192343.7021087296</v>
      </c>
      <c r="E57" s="69">
        <f t="shared" si="3"/>
        <v>52747757.581767581</v>
      </c>
    </row>
    <row r="58" spans="1:8" ht="14.25">
      <c r="A58" s="57">
        <v>50</v>
      </c>
      <c r="B58" s="69">
        <f t="shared" si="0"/>
        <v>712094.72735386237</v>
      </c>
      <c r="C58" s="69">
        <f t="shared" si="1"/>
        <v>4480248.9747548671</v>
      </c>
      <c r="D58" s="69">
        <f t="shared" si="2"/>
        <v>5192343.7021087296</v>
      </c>
      <c r="E58" s="69">
        <f t="shared" si="3"/>
        <v>48267508.607012711</v>
      </c>
    </row>
    <row r="59" spans="1:8" ht="14.25">
      <c r="A59" s="57">
        <v>51</v>
      </c>
      <c r="B59" s="69">
        <f t="shared" si="0"/>
        <v>651611.3661946716</v>
      </c>
      <c r="C59" s="69">
        <f t="shared" si="1"/>
        <v>4540732.3359140577</v>
      </c>
      <c r="D59" s="69">
        <f t="shared" si="2"/>
        <v>5192343.7021087296</v>
      </c>
      <c r="E59" s="69">
        <f t="shared" si="3"/>
        <v>43726776.271098651</v>
      </c>
    </row>
    <row r="60" spans="1:8" ht="14.25">
      <c r="A60" s="57">
        <v>52</v>
      </c>
      <c r="B60" s="69">
        <f t="shared" si="0"/>
        <v>590311.47965983173</v>
      </c>
      <c r="C60" s="69">
        <f t="shared" si="1"/>
        <v>4602032.2224488975</v>
      </c>
      <c r="D60" s="69">
        <f t="shared" si="2"/>
        <v>5192343.7021087296</v>
      </c>
      <c r="E60" s="69">
        <f t="shared" si="3"/>
        <v>39124744.048649751</v>
      </c>
    </row>
    <row r="61" spans="1:8" ht="14.25">
      <c r="A61" s="57">
        <v>53</v>
      </c>
      <c r="B61" s="69">
        <f t="shared" si="0"/>
        <v>528184.04465677158</v>
      </c>
      <c r="C61" s="69">
        <f t="shared" si="1"/>
        <v>4664159.6574519584</v>
      </c>
      <c r="D61" s="69">
        <f t="shared" si="2"/>
        <v>5192343.7021087296</v>
      </c>
      <c r="E61" s="69">
        <f t="shared" si="3"/>
        <v>34460584.391197793</v>
      </c>
    </row>
    <row r="62" spans="1:8" ht="14.25">
      <c r="A62" s="57">
        <v>54</v>
      </c>
      <c r="B62" s="69">
        <f t="shared" si="0"/>
        <v>465217.88928117021</v>
      </c>
      <c r="C62" s="69">
        <f t="shared" si="1"/>
        <v>4727125.8128275592</v>
      </c>
      <c r="D62" s="69">
        <f t="shared" si="2"/>
        <v>5192343.7021087296</v>
      </c>
      <c r="E62" s="69">
        <f t="shared" si="3"/>
        <v>29733458.578370236</v>
      </c>
    </row>
    <row r="63" spans="1:8" ht="14.25">
      <c r="A63" s="57">
        <v>55</v>
      </c>
      <c r="B63" s="69">
        <f t="shared" si="0"/>
        <v>401401.69080799818</v>
      </c>
      <c r="C63" s="69">
        <f t="shared" si="1"/>
        <v>4790942.0113007315</v>
      </c>
      <c r="D63" s="69">
        <f t="shared" si="2"/>
        <v>5192343.7021087296</v>
      </c>
      <c r="E63" s="69">
        <f t="shared" si="3"/>
        <v>24942516.567069504</v>
      </c>
    </row>
    <row r="64" spans="1:8" ht="14.25">
      <c r="A64" s="57">
        <v>56</v>
      </c>
      <c r="B64" s="69">
        <f t="shared" si="0"/>
        <v>336723.97365543828</v>
      </c>
      <c r="C64" s="69">
        <f t="shared" si="1"/>
        <v>4855619.7284532916</v>
      </c>
      <c r="D64" s="69">
        <f t="shared" si="2"/>
        <v>5192343.7021087296</v>
      </c>
      <c r="E64" s="69">
        <f t="shared" si="3"/>
        <v>20086896.838616215</v>
      </c>
    </row>
    <row r="65" spans="1:8" ht="14.25">
      <c r="A65" s="57">
        <v>57</v>
      </c>
      <c r="B65" s="69">
        <f t="shared" si="0"/>
        <v>271173.10732131888</v>
      </c>
      <c r="C65" s="69">
        <f t="shared" si="1"/>
        <v>4921170.5947874105</v>
      </c>
      <c r="D65" s="69">
        <f t="shared" si="2"/>
        <v>5192343.7021087296</v>
      </c>
      <c r="E65" s="69">
        <f t="shared" si="3"/>
        <v>15165726.243828803</v>
      </c>
    </row>
    <row r="66" spans="1:8" ht="14.25">
      <c r="A66" s="57">
        <v>58</v>
      </c>
      <c r="B66" s="69">
        <f t="shared" si="0"/>
        <v>204737.30429168884</v>
      </c>
      <c r="C66" s="69">
        <f t="shared" si="1"/>
        <v>4987606.3978170408</v>
      </c>
      <c r="D66" s="69">
        <f t="shared" si="2"/>
        <v>5192343.7021087296</v>
      </c>
      <c r="E66" s="69">
        <f t="shared" si="3"/>
        <v>10178119.846011762</v>
      </c>
    </row>
    <row r="67" spans="1:8" ht="14.25">
      <c r="A67" s="57">
        <v>59</v>
      </c>
      <c r="B67" s="69">
        <f t="shared" si="0"/>
        <v>137404.61792115879</v>
      </c>
      <c r="C67" s="69">
        <f t="shared" si="1"/>
        <v>5054939.084187571</v>
      </c>
      <c r="D67" s="69">
        <f t="shared" si="2"/>
        <v>5192343.7021087296</v>
      </c>
      <c r="E67" s="69">
        <f t="shared" si="3"/>
        <v>5123180.7618241906</v>
      </c>
    </row>
    <row r="68" spans="1:8" ht="14.25">
      <c r="A68" s="57">
        <v>60</v>
      </c>
      <c r="B68" s="69">
        <f t="shared" si="0"/>
        <v>69162.940284626573</v>
      </c>
      <c r="C68" s="69">
        <f t="shared" si="1"/>
        <v>5123180.7618241031</v>
      </c>
      <c r="D68" s="69">
        <f t="shared" si="2"/>
        <v>5192343.7021087296</v>
      </c>
      <c r="E68" s="69">
        <f t="shared" si="3"/>
        <v>8.754432201385498E-8</v>
      </c>
      <c r="F68" s="96">
        <f>+SUM(B57:B68)</f>
        <v>5139795.580828961</v>
      </c>
      <c r="G68" s="96">
        <f>+SUM(C57:C68)</f>
        <v>57168328.844475791</v>
      </c>
      <c r="H68" s="96"/>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sheetPr>
    <outlinePr summaryBelow="0" summaryRight="0"/>
  </sheetPr>
  <dimension ref="B1:M19"/>
  <sheetViews>
    <sheetView showGridLines="0" workbookViewId="0">
      <selection activeCell="F19" sqref="F19"/>
    </sheetView>
  </sheetViews>
  <sheetFormatPr baseColWidth="10" defaultColWidth="14.42578125" defaultRowHeight="15.75" customHeight="1"/>
  <cols>
    <col min="1" max="1" width="2" customWidth="1"/>
    <col min="2" max="2" width="23.28515625" customWidth="1"/>
    <col min="3" max="3" width="15.42578125" customWidth="1"/>
    <col min="4" max="4" width="14.7109375" customWidth="1"/>
    <col min="5" max="5" width="11.85546875" customWidth="1"/>
    <col min="6" max="6" width="13" customWidth="1"/>
    <col min="7" max="7" width="12.85546875" customWidth="1"/>
    <col min="8" max="8" width="13" customWidth="1"/>
    <col min="9" max="9" width="12.85546875" customWidth="1"/>
    <col min="10" max="10" width="13.140625" customWidth="1"/>
    <col min="11" max="11" width="13.85546875" customWidth="1"/>
  </cols>
  <sheetData>
    <row r="1" spans="2:13" ht="12.75">
      <c r="B1" s="30"/>
      <c r="C1" s="31"/>
      <c r="D1" s="31"/>
      <c r="E1" s="306" t="s">
        <v>82</v>
      </c>
      <c r="F1" s="302"/>
      <c r="G1" s="303"/>
      <c r="H1" s="306" t="s">
        <v>83</v>
      </c>
      <c r="I1" s="302"/>
      <c r="J1" s="303"/>
      <c r="K1" s="32" t="s">
        <v>84</v>
      </c>
      <c r="L1" s="31"/>
      <c r="M1" s="31"/>
    </row>
    <row r="2" spans="2:13" ht="12.75">
      <c r="B2" s="33"/>
      <c r="C2" s="34" t="s">
        <v>85</v>
      </c>
      <c r="D2" s="34" t="s">
        <v>86</v>
      </c>
      <c r="E2" s="35" t="s">
        <v>87</v>
      </c>
      <c r="F2" s="35" t="s">
        <v>88</v>
      </c>
      <c r="G2" s="35" t="s">
        <v>89</v>
      </c>
      <c r="H2" s="35" t="s">
        <v>90</v>
      </c>
      <c r="I2" s="35" t="s">
        <v>91</v>
      </c>
      <c r="J2" s="35" t="s">
        <v>92</v>
      </c>
      <c r="K2" s="35" t="s">
        <v>93</v>
      </c>
      <c r="L2" s="35" t="s">
        <v>94</v>
      </c>
      <c r="M2" s="35" t="s">
        <v>95</v>
      </c>
    </row>
    <row r="3" spans="2:13" ht="15.75" customHeight="1">
      <c r="B3" s="36" t="s">
        <v>96</v>
      </c>
      <c r="C3" s="37">
        <v>3000000</v>
      </c>
      <c r="D3" s="37"/>
      <c r="E3" s="37">
        <v>375000</v>
      </c>
      <c r="F3" s="37">
        <v>480000</v>
      </c>
      <c r="G3" s="37">
        <v>15660</v>
      </c>
      <c r="H3" s="37" t="s">
        <v>97</v>
      </c>
      <c r="I3" s="37">
        <v>250000</v>
      </c>
      <c r="J3" s="37">
        <v>30000</v>
      </c>
      <c r="K3" s="37">
        <v>125000</v>
      </c>
      <c r="L3" s="37">
        <v>120000</v>
      </c>
      <c r="M3" s="38">
        <f t="shared" ref="M3:M13" si="0">SUM(C3:L3)</f>
        <v>4395660</v>
      </c>
    </row>
    <row r="4" spans="2:13" ht="15.75" customHeight="1">
      <c r="B4" s="36" t="s">
        <v>98</v>
      </c>
      <c r="C4" s="37">
        <v>908526</v>
      </c>
      <c r="D4" s="39">
        <v>106454</v>
      </c>
      <c r="E4" s="39">
        <v>113565.75</v>
      </c>
      <c r="F4" s="39">
        <v>145364.16</v>
      </c>
      <c r="G4" s="39">
        <v>4742.5057200000001</v>
      </c>
      <c r="H4" s="39">
        <v>75710.5</v>
      </c>
      <c r="I4" s="39">
        <v>75710.5</v>
      </c>
      <c r="J4" s="39">
        <v>9085.26</v>
      </c>
      <c r="K4" s="39">
        <v>37855.25</v>
      </c>
      <c r="L4" s="39">
        <v>36341.040000000001</v>
      </c>
      <c r="M4" s="38">
        <f t="shared" si="0"/>
        <v>1513354.96572</v>
      </c>
    </row>
    <row r="5" spans="2:13" ht="15.75" customHeight="1">
      <c r="B5" s="36" t="s">
        <v>99</v>
      </c>
      <c r="C5" s="40">
        <v>2500000</v>
      </c>
      <c r="D5" s="40"/>
      <c r="E5" s="40">
        <v>312500</v>
      </c>
      <c r="F5" s="40">
        <v>400000</v>
      </c>
      <c r="G5" s="40">
        <v>13050</v>
      </c>
      <c r="H5" s="40">
        <v>208333.3333</v>
      </c>
      <c r="I5" s="40">
        <v>208333.3333</v>
      </c>
      <c r="J5" s="40">
        <v>25000</v>
      </c>
      <c r="K5" s="40">
        <v>104166.6667</v>
      </c>
      <c r="L5" s="40">
        <v>100000</v>
      </c>
      <c r="M5" s="38">
        <f t="shared" si="0"/>
        <v>3871383.3333000001</v>
      </c>
    </row>
    <row r="6" spans="2:13" ht="15.75" customHeight="1">
      <c r="B6" s="36" t="s">
        <v>100</v>
      </c>
      <c r="C6" s="37">
        <v>908526</v>
      </c>
      <c r="D6" s="39">
        <v>106454</v>
      </c>
      <c r="E6" s="39">
        <v>113565.75</v>
      </c>
      <c r="F6" s="39">
        <v>145364.16</v>
      </c>
      <c r="G6" s="39">
        <v>4742.5057200000001</v>
      </c>
      <c r="H6" s="39">
        <v>75710.5</v>
      </c>
      <c r="I6" s="39">
        <v>75710.5</v>
      </c>
      <c r="J6" s="39">
        <v>9085.26</v>
      </c>
      <c r="K6" s="39">
        <v>37855.25</v>
      </c>
      <c r="L6" s="39">
        <v>36341.040000000001</v>
      </c>
      <c r="M6" s="38">
        <f t="shared" si="0"/>
        <v>1513354.96572</v>
      </c>
    </row>
    <row r="7" spans="2:13" ht="15.75" customHeight="1">
      <c r="B7" s="36" t="s">
        <v>101</v>
      </c>
      <c r="C7" s="37">
        <v>908526</v>
      </c>
      <c r="D7" s="40"/>
      <c r="E7" s="40"/>
      <c r="F7" s="40"/>
      <c r="G7" s="40"/>
      <c r="H7" s="40"/>
      <c r="I7" s="40"/>
      <c r="J7" s="40"/>
      <c r="K7" s="40"/>
      <c r="L7" s="40"/>
      <c r="M7" s="38">
        <f t="shared" si="0"/>
        <v>908526</v>
      </c>
    </row>
    <row r="8" spans="2:13" ht="15.75" customHeight="1">
      <c r="B8" s="36" t="s">
        <v>102</v>
      </c>
      <c r="C8" s="37">
        <v>908526</v>
      </c>
      <c r="D8" s="39">
        <v>106454</v>
      </c>
      <c r="E8" s="39">
        <v>113565.75</v>
      </c>
      <c r="F8" s="39">
        <v>145364.16</v>
      </c>
      <c r="G8" s="39">
        <v>4742.5057200000001</v>
      </c>
      <c r="H8" s="39">
        <v>75710.5</v>
      </c>
      <c r="I8" s="39">
        <v>75710.5</v>
      </c>
      <c r="J8" s="39">
        <v>9085.26</v>
      </c>
      <c r="K8" s="39">
        <v>37855.25</v>
      </c>
      <c r="L8" s="39">
        <v>36341.040000000001</v>
      </c>
      <c r="M8" s="38">
        <f t="shared" si="0"/>
        <v>1513354.96572</v>
      </c>
    </row>
    <row r="9" spans="2:13" ht="15.75" customHeight="1">
      <c r="B9" s="36" t="s">
        <v>103</v>
      </c>
      <c r="C9" s="37">
        <v>908526</v>
      </c>
      <c r="D9" s="39">
        <v>106454</v>
      </c>
      <c r="E9" s="39">
        <v>113565.75</v>
      </c>
      <c r="F9" s="39">
        <v>145364.16</v>
      </c>
      <c r="G9" s="39">
        <v>4742.5057200000001</v>
      </c>
      <c r="H9" s="39">
        <v>75710.5</v>
      </c>
      <c r="I9" s="39">
        <v>75710.5</v>
      </c>
      <c r="J9" s="39">
        <v>9085.26</v>
      </c>
      <c r="K9" s="39">
        <v>37855.25</v>
      </c>
      <c r="L9" s="39">
        <v>36341.040000000001</v>
      </c>
      <c r="M9" s="38">
        <f t="shared" si="0"/>
        <v>1513354.96572</v>
      </c>
    </row>
    <row r="10" spans="2:13" ht="15.75" customHeight="1">
      <c r="B10" s="36" t="s">
        <v>104</v>
      </c>
      <c r="C10" s="37">
        <v>908526</v>
      </c>
      <c r="D10" s="39">
        <v>106454</v>
      </c>
      <c r="E10" s="39">
        <v>113565.75</v>
      </c>
      <c r="F10" s="39">
        <v>145364.16</v>
      </c>
      <c r="G10" s="39">
        <v>4742.5057200000001</v>
      </c>
      <c r="H10" s="39">
        <v>75710.5</v>
      </c>
      <c r="I10" s="39">
        <v>75710.5</v>
      </c>
      <c r="J10" s="39">
        <v>9085.26</v>
      </c>
      <c r="K10" s="39">
        <v>37855.25</v>
      </c>
      <c r="L10" s="39">
        <v>36341.040000000001</v>
      </c>
      <c r="M10" s="38">
        <f t="shared" si="0"/>
        <v>1513354.96572</v>
      </c>
    </row>
    <row r="11" spans="2:13" ht="15.75" customHeight="1">
      <c r="B11" s="36" t="s">
        <v>105</v>
      </c>
      <c r="C11" s="37">
        <v>908526</v>
      </c>
      <c r="D11" s="39">
        <v>106454</v>
      </c>
      <c r="E11" s="39">
        <v>113565.75</v>
      </c>
      <c r="F11" s="39">
        <v>145364.16</v>
      </c>
      <c r="G11" s="39">
        <v>4742.5057200000001</v>
      </c>
      <c r="H11" s="39">
        <v>75710.5</v>
      </c>
      <c r="I11" s="39">
        <v>75710.5</v>
      </c>
      <c r="J11" s="39">
        <v>9085.26</v>
      </c>
      <c r="K11" s="39">
        <v>37855.25</v>
      </c>
      <c r="L11" s="39">
        <v>36341.040000000001</v>
      </c>
      <c r="M11" s="38">
        <f t="shared" si="0"/>
        <v>1513354.96572</v>
      </c>
    </row>
    <row r="12" spans="2:13" ht="15.75" customHeight="1">
      <c r="B12" s="36" t="s">
        <v>106</v>
      </c>
      <c r="C12" s="37">
        <v>908526</v>
      </c>
      <c r="D12" s="39">
        <v>106454</v>
      </c>
      <c r="E12" s="39">
        <v>113565.75</v>
      </c>
      <c r="F12" s="39">
        <v>145364.16</v>
      </c>
      <c r="G12" s="39">
        <v>4742.5057200000001</v>
      </c>
      <c r="H12" s="39">
        <v>75710.5</v>
      </c>
      <c r="I12" s="39">
        <v>75710.5</v>
      </c>
      <c r="J12" s="39">
        <v>9085.26</v>
      </c>
      <c r="K12" s="39">
        <v>37855.25</v>
      </c>
      <c r="L12" s="39">
        <v>36341.040000000001</v>
      </c>
      <c r="M12" s="38">
        <f t="shared" si="0"/>
        <v>1513354.96572</v>
      </c>
    </row>
    <row r="13" spans="2:13" ht="15.75" customHeight="1">
      <c r="B13" s="36" t="s">
        <v>107</v>
      </c>
      <c r="C13" s="37">
        <v>908526</v>
      </c>
      <c r="D13" s="39">
        <v>106454</v>
      </c>
      <c r="E13" s="39">
        <v>113565.75</v>
      </c>
      <c r="F13" s="39">
        <v>145364.16</v>
      </c>
      <c r="G13" s="39">
        <v>4742.5057200000001</v>
      </c>
      <c r="H13" s="39">
        <v>75710.5</v>
      </c>
      <c r="I13" s="39">
        <v>75710.5</v>
      </c>
      <c r="J13" s="39">
        <v>9085.26</v>
      </c>
      <c r="K13" s="39">
        <v>37855.25</v>
      </c>
      <c r="L13" s="39">
        <v>36341.040000000001</v>
      </c>
      <c r="M13" s="38">
        <f t="shared" si="0"/>
        <v>1513354.96572</v>
      </c>
    </row>
    <row r="14" spans="2:13" ht="15.75" customHeight="1">
      <c r="B14" s="41"/>
      <c r="C14" s="41"/>
      <c r="D14" s="41"/>
      <c r="E14" s="41"/>
      <c r="F14" s="41"/>
      <c r="G14" s="41"/>
      <c r="H14" s="41"/>
      <c r="I14" s="41"/>
      <c r="J14" s="307" t="s">
        <v>95</v>
      </c>
      <c r="K14" s="302"/>
      <c r="L14" s="303"/>
      <c r="M14" s="42">
        <f>SUM(M3:M13)</f>
        <v>21282409.059060004</v>
      </c>
    </row>
    <row r="15" spans="2:13" ht="15">
      <c r="B15" s="41"/>
      <c r="C15" s="41"/>
      <c r="D15" s="41"/>
      <c r="E15" s="41"/>
      <c r="G15" s="43"/>
    </row>
    <row r="16" spans="2:13" ht="15.75" customHeight="1">
      <c r="B16" s="276"/>
      <c r="C16" s="277" t="s">
        <v>141</v>
      </c>
      <c r="D16" s="277" t="s">
        <v>372</v>
      </c>
    </row>
    <row r="17" spans="2:4" ht="15.75" customHeight="1">
      <c r="B17" s="278" t="s">
        <v>371</v>
      </c>
      <c r="C17" s="279">
        <f>+SUM(M8:M13)+M5</f>
        <v>12951513.12762</v>
      </c>
      <c r="D17" s="279">
        <f>+C17*12</f>
        <v>155418157.53144002</v>
      </c>
    </row>
    <row r="18" spans="2:4" ht="15.75" customHeight="1">
      <c r="B18" s="278" t="s">
        <v>370</v>
      </c>
      <c r="C18" s="279">
        <f>+M7+M6+M4+M3</f>
        <v>8330895.9314399995</v>
      </c>
      <c r="D18" s="279">
        <f>+C18*12</f>
        <v>99970751.177279994</v>
      </c>
    </row>
    <row r="19" spans="2:4" ht="15.75" customHeight="1">
      <c r="B19" s="277" t="s">
        <v>172</v>
      </c>
      <c r="C19" s="279">
        <f>SUM(C17:C18)</f>
        <v>21282409.05906</v>
      </c>
      <c r="D19" s="279">
        <f>SUM(D17:D18)</f>
        <v>255388908.70872003</v>
      </c>
    </row>
  </sheetData>
  <mergeCells count="3">
    <mergeCell ref="E1:G1"/>
    <mergeCell ref="H1:J1"/>
    <mergeCell ref="J14:L14"/>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ummaryRight="0"/>
  </sheetPr>
  <dimension ref="A3:H15"/>
  <sheetViews>
    <sheetView showGridLines="0" workbookViewId="0">
      <selection activeCell="B18" sqref="B18"/>
    </sheetView>
  </sheetViews>
  <sheetFormatPr baseColWidth="10" defaultColWidth="14.42578125" defaultRowHeight="15.75" customHeight="1"/>
  <cols>
    <col min="3" max="3" width="19.42578125" customWidth="1"/>
  </cols>
  <sheetData>
    <row r="3" spans="1:8" ht="12.75">
      <c r="B3" s="316" t="s">
        <v>108</v>
      </c>
      <c r="C3" s="313"/>
      <c r="D3" s="308" t="s">
        <v>109</v>
      </c>
      <c r="E3" s="308" t="s">
        <v>110</v>
      </c>
      <c r="F3" s="308" t="s">
        <v>111</v>
      </c>
      <c r="G3" s="308" t="s">
        <v>112</v>
      </c>
      <c r="H3" s="308" t="s">
        <v>113</v>
      </c>
    </row>
    <row r="4" spans="1:8" ht="12.75">
      <c r="B4" s="314"/>
      <c r="C4" s="315"/>
      <c r="D4" s="309"/>
      <c r="E4" s="309"/>
      <c r="F4" s="309"/>
      <c r="G4" s="309"/>
      <c r="H4" s="309"/>
    </row>
    <row r="5" spans="1:8" ht="15">
      <c r="B5" s="311" t="s">
        <v>114</v>
      </c>
      <c r="C5" s="303"/>
      <c r="D5" s="44">
        <v>84000000</v>
      </c>
      <c r="E5" s="44">
        <v>86400000</v>
      </c>
      <c r="F5" s="44">
        <v>88800000</v>
      </c>
      <c r="G5" s="44">
        <v>0</v>
      </c>
      <c r="H5" s="44">
        <v>0</v>
      </c>
    </row>
    <row r="6" spans="1:8" ht="15">
      <c r="A6" s="94" t="s">
        <v>176</v>
      </c>
      <c r="B6" s="311" t="s">
        <v>115</v>
      </c>
      <c r="C6" s="303"/>
      <c r="D6" s="44">
        <v>10500000</v>
      </c>
      <c r="E6" s="44">
        <f>+D6*103.3%</f>
        <v>10846500</v>
      </c>
      <c r="F6" s="44">
        <f>+E6*103.3%</f>
        <v>11204434.5</v>
      </c>
      <c r="G6" s="44">
        <f>+F6*103.3%</f>
        <v>11574180.838499999</v>
      </c>
      <c r="H6" s="44">
        <f>+G6*103.3%</f>
        <v>11956128.806170497</v>
      </c>
    </row>
    <row r="7" spans="1:8" ht="15">
      <c r="B7" s="311" t="s">
        <v>116</v>
      </c>
      <c r="C7" s="303"/>
      <c r="D7" s="44">
        <v>255378908</v>
      </c>
      <c r="E7" s="44">
        <f>+D7*103.3%</f>
        <v>263806411.96399999</v>
      </c>
      <c r="F7" s="44">
        <f>E7*103.3%</f>
        <v>272512023.55881196</v>
      </c>
      <c r="G7" s="44">
        <f>F7*103.3%</f>
        <v>281504920.33625275</v>
      </c>
      <c r="H7" s="44">
        <f>G7*103.3%</f>
        <v>290794582.70734906</v>
      </c>
    </row>
    <row r="8" spans="1:8" ht="15">
      <c r="B8" s="311" t="s">
        <v>117</v>
      </c>
      <c r="C8" s="303"/>
      <c r="D8" s="44">
        <v>1200000</v>
      </c>
      <c r="E8" s="44">
        <f>+D8*103.3%</f>
        <v>1239600</v>
      </c>
      <c r="F8" s="44">
        <f t="shared" ref="F8:H9" si="0">+E8*103.3%</f>
        <v>1280506.7999999998</v>
      </c>
      <c r="G8" s="44">
        <f t="shared" si="0"/>
        <v>1322763.5243999998</v>
      </c>
      <c r="H8" s="44">
        <f t="shared" si="0"/>
        <v>1366414.7207051998</v>
      </c>
    </row>
    <row r="9" spans="1:8" ht="15">
      <c r="B9" s="311" t="s">
        <v>118</v>
      </c>
      <c r="C9" s="303"/>
      <c r="D9" s="44">
        <v>2500000</v>
      </c>
      <c r="E9" s="44">
        <f>+D9*103.3%</f>
        <v>2582500</v>
      </c>
      <c r="F9" s="44">
        <f t="shared" si="0"/>
        <v>2667722.5</v>
      </c>
      <c r="G9" s="44">
        <f t="shared" si="0"/>
        <v>2755757.3424999998</v>
      </c>
      <c r="H9" s="44">
        <f t="shared" si="0"/>
        <v>2846697.3348024995</v>
      </c>
    </row>
    <row r="10" spans="1:8" ht="15">
      <c r="B10" s="311" t="s">
        <v>119</v>
      </c>
      <c r="C10" s="303"/>
      <c r="D10" s="44">
        <v>133481384</v>
      </c>
      <c r="E10" s="44">
        <f>D10*110%</f>
        <v>146829522.40000001</v>
      </c>
      <c r="F10" s="44">
        <f>E10*110%</f>
        <v>161512474.64000002</v>
      </c>
      <c r="G10" s="44">
        <f>F10*110%</f>
        <v>177663722.10400003</v>
      </c>
      <c r="H10" s="44">
        <f>G10*110%</f>
        <v>195430094.31440005</v>
      </c>
    </row>
    <row r="11" spans="1:8" ht="12.75">
      <c r="B11" s="312" t="s">
        <v>120</v>
      </c>
      <c r="C11" s="313"/>
      <c r="D11" s="310">
        <f>SUM(D5:D10)</f>
        <v>487060292</v>
      </c>
      <c r="E11" s="310">
        <f>SUM(E5:E10)</f>
        <v>511704534.36399996</v>
      </c>
      <c r="F11" s="310">
        <f>SUM(F5:F10)</f>
        <v>537977161.99881196</v>
      </c>
      <c r="G11" s="310">
        <f>SUM(G5:G10)</f>
        <v>474821344.14565277</v>
      </c>
      <c r="H11" s="310">
        <f>SUM(H5:H10)</f>
        <v>502393917.88342738</v>
      </c>
    </row>
    <row r="12" spans="1:8" ht="12.75">
      <c r="B12" s="314"/>
      <c r="C12" s="315"/>
      <c r="D12" s="309"/>
      <c r="E12" s="309"/>
      <c r="F12" s="309"/>
      <c r="G12" s="309"/>
      <c r="H12" s="309"/>
    </row>
    <row r="14" spans="1:8" ht="15.75" customHeight="1">
      <c r="D14" s="223"/>
    </row>
    <row r="15" spans="1:8" ht="15.75" customHeight="1">
      <c r="D15" s="232"/>
    </row>
  </sheetData>
  <mergeCells count="18">
    <mergeCell ref="D3:D4"/>
    <mergeCell ref="E3:E4"/>
    <mergeCell ref="F3:F4"/>
    <mergeCell ref="G3:G4"/>
    <mergeCell ref="H3:H4"/>
    <mergeCell ref="H11:H12"/>
    <mergeCell ref="B6:C6"/>
    <mergeCell ref="B7:C7"/>
    <mergeCell ref="B8:C8"/>
    <mergeCell ref="B9:C9"/>
    <mergeCell ref="B10:C10"/>
    <mergeCell ref="B11:C12"/>
    <mergeCell ref="D11:D12"/>
    <mergeCell ref="B3:C4"/>
    <mergeCell ref="B5:C5"/>
    <mergeCell ref="E11:E12"/>
    <mergeCell ref="F11:F12"/>
    <mergeCell ref="G11:G12"/>
  </mergeCells>
  <pageMargins left="0.7" right="0.7" top="0.75" bottom="0.75" header="0.3" footer="0.3"/>
  <pageSetup paperSize="9" orientation="portrait" horizontalDpi="0" verticalDpi="0" r:id="rId1"/>
  <ignoredErrors>
    <ignoredError sqref="F7:H7" formula="1"/>
  </ignoredErrors>
</worksheet>
</file>

<file path=xl/worksheets/sheet5.xml><?xml version="1.0" encoding="utf-8"?>
<worksheet xmlns="http://schemas.openxmlformats.org/spreadsheetml/2006/main" xmlns:r="http://schemas.openxmlformats.org/officeDocument/2006/relationships">
  <sheetPr>
    <outlinePr summaryBelow="0" summaryRight="0"/>
  </sheetPr>
  <dimension ref="A1:L996"/>
  <sheetViews>
    <sheetView showGridLines="0" workbookViewId="0">
      <selection activeCell="F16" sqref="F16"/>
    </sheetView>
  </sheetViews>
  <sheetFormatPr baseColWidth="10" defaultColWidth="14.42578125" defaultRowHeight="15.75" customHeight="1"/>
  <cols>
    <col min="1" max="1" width="16.7109375" customWidth="1"/>
    <col min="2" max="2" width="19.28515625" customWidth="1"/>
    <col min="3" max="3" width="4.85546875" customWidth="1"/>
    <col min="7" max="8" width="0" hidden="1" customWidth="1"/>
    <col min="10" max="11" width="17" customWidth="1"/>
    <col min="13" max="13" width="12.7109375" bestFit="1" customWidth="1"/>
  </cols>
  <sheetData>
    <row r="1" spans="1:12" ht="12.75">
      <c r="B1" s="45"/>
      <c r="C1" s="45"/>
    </row>
    <row r="2" spans="1:12" ht="12.75">
      <c r="A2" s="318" t="s">
        <v>121</v>
      </c>
      <c r="B2" s="303"/>
      <c r="C2" s="45"/>
    </row>
    <row r="3" spans="1:12" ht="12.75">
      <c r="A3" s="319" t="s">
        <v>122</v>
      </c>
      <c r="B3" s="303"/>
      <c r="C3" s="46" t="s">
        <v>123</v>
      </c>
    </row>
    <row r="4" spans="1:12" ht="30">
      <c r="A4" s="182" t="s">
        <v>244</v>
      </c>
      <c r="B4" s="48">
        <v>96644</v>
      </c>
      <c r="C4" s="46"/>
      <c r="E4" s="320" t="s">
        <v>124</v>
      </c>
      <c r="F4" s="321"/>
      <c r="G4" s="225" t="s">
        <v>122</v>
      </c>
      <c r="H4" s="225" t="s">
        <v>130</v>
      </c>
      <c r="I4" s="280" t="s">
        <v>373</v>
      </c>
      <c r="J4" s="280" t="s">
        <v>374</v>
      </c>
      <c r="K4" s="280" t="s">
        <v>375</v>
      </c>
      <c r="L4" s="280" t="s">
        <v>376</v>
      </c>
    </row>
    <row r="5" spans="1:12" ht="15.75" customHeight="1">
      <c r="A5" s="47" t="s">
        <v>126</v>
      </c>
      <c r="B5" s="48">
        <f>5250*C5</f>
        <v>42000</v>
      </c>
      <c r="C5" s="46">
        <v>8</v>
      </c>
      <c r="E5" s="322" t="s">
        <v>121</v>
      </c>
      <c r="F5" s="323"/>
      <c r="G5" s="228">
        <f>+SUM(B4:B7)</f>
        <v>272250</v>
      </c>
      <c r="H5" s="228">
        <f>+SUM(B9:B12)</f>
        <v>160900</v>
      </c>
      <c r="I5" s="226">
        <f>B13</f>
        <v>433150</v>
      </c>
      <c r="J5" s="227">
        <v>1850000</v>
      </c>
      <c r="K5" s="226">
        <f t="shared" ref="K5:K10" si="0">J5-I5</f>
        <v>1416850</v>
      </c>
      <c r="L5" s="72">
        <f t="shared" ref="L5:L10" si="1">+K5*100%/J5</f>
        <v>0.76586486486486482</v>
      </c>
    </row>
    <row r="6" spans="1:12" ht="15.75" customHeight="1">
      <c r="A6" s="47" t="s">
        <v>127</v>
      </c>
      <c r="B6" s="48">
        <f>8125*C6</f>
        <v>97500</v>
      </c>
      <c r="C6" s="46">
        <v>12</v>
      </c>
      <c r="E6" s="317" t="s">
        <v>128</v>
      </c>
      <c r="F6" s="302"/>
      <c r="G6" s="228">
        <f>+SUM(B17:B20)</f>
        <v>198428</v>
      </c>
      <c r="H6" s="228">
        <f>+SUM(B22:B25)</f>
        <v>138200</v>
      </c>
      <c r="I6" s="226">
        <f>B26</f>
        <v>336628</v>
      </c>
      <c r="J6" s="227">
        <v>1450000</v>
      </c>
      <c r="K6" s="226">
        <f t="shared" si="0"/>
        <v>1113372</v>
      </c>
      <c r="L6" s="72">
        <f t="shared" si="1"/>
        <v>0.76784275862068962</v>
      </c>
    </row>
    <row r="7" spans="1:12" ht="15.75" customHeight="1">
      <c r="A7" s="182" t="s">
        <v>243</v>
      </c>
      <c r="B7" s="49">
        <f>36106</f>
        <v>36106</v>
      </c>
      <c r="C7" s="46"/>
      <c r="E7" s="317" t="s">
        <v>129</v>
      </c>
      <c r="F7" s="302"/>
      <c r="G7" s="228">
        <f>+SUM(B30:B33)</f>
        <v>132351</v>
      </c>
      <c r="H7" s="228">
        <f>+SUM(B35:B38)</f>
        <v>94900</v>
      </c>
      <c r="I7" s="226">
        <f>B39</f>
        <v>227251</v>
      </c>
      <c r="J7" s="227">
        <v>950000</v>
      </c>
      <c r="K7" s="226">
        <f t="shared" si="0"/>
        <v>722749</v>
      </c>
      <c r="L7" s="72">
        <f t="shared" si="1"/>
        <v>0.76078842105263156</v>
      </c>
    </row>
    <row r="8" spans="1:12" ht="15.75" customHeight="1">
      <c r="A8" s="319" t="s">
        <v>130</v>
      </c>
      <c r="B8" s="303"/>
      <c r="C8" s="46"/>
      <c r="E8" s="317" t="s">
        <v>131</v>
      </c>
      <c r="F8" s="302"/>
      <c r="G8" s="228">
        <f>+SUM(B7:B10)</f>
        <v>91606</v>
      </c>
      <c r="H8" s="228">
        <f>+SUM(B61:B64)</f>
        <v>76470</v>
      </c>
      <c r="I8" s="226">
        <f>B65</f>
        <v>191996</v>
      </c>
      <c r="J8" s="227">
        <v>795000</v>
      </c>
      <c r="K8" s="226">
        <f t="shared" si="0"/>
        <v>603004</v>
      </c>
      <c r="L8" s="72">
        <f t="shared" si="1"/>
        <v>0.75849559748427675</v>
      </c>
    </row>
    <row r="9" spans="1:12" ht="15.75" customHeight="1">
      <c r="A9" s="182" t="s">
        <v>244</v>
      </c>
      <c r="B9" s="49">
        <f>35450</f>
        <v>35450</v>
      </c>
      <c r="C9" s="46"/>
      <c r="E9" s="317" t="s">
        <v>132</v>
      </c>
      <c r="F9" s="302"/>
      <c r="G9" s="228">
        <f>+SUM(B43:B46)</f>
        <v>92504</v>
      </c>
      <c r="H9" s="228">
        <f>+SUM(B74:B77)</f>
        <v>46014</v>
      </c>
      <c r="I9" s="227">
        <f>B52</f>
        <v>138518</v>
      </c>
      <c r="J9" s="227">
        <v>500000</v>
      </c>
      <c r="K9" s="226">
        <f t="shared" si="0"/>
        <v>361482</v>
      </c>
      <c r="L9" s="72">
        <f t="shared" si="1"/>
        <v>0.72296400000000005</v>
      </c>
    </row>
    <row r="10" spans="1:12" ht="15.75" customHeight="1">
      <c r="A10" s="47" t="s">
        <v>126</v>
      </c>
      <c r="B10" s="48">
        <v>20050</v>
      </c>
      <c r="C10" s="46"/>
      <c r="E10" s="317" t="s">
        <v>133</v>
      </c>
      <c r="F10" s="302"/>
      <c r="G10" s="228">
        <f>+SUM(B43:B46)</f>
        <v>92504</v>
      </c>
      <c r="H10" s="228">
        <f>+SUM(B74:B77)</f>
        <v>46014</v>
      </c>
      <c r="I10" s="227">
        <f>B78</f>
        <v>138518</v>
      </c>
      <c r="J10" s="227">
        <v>500000</v>
      </c>
      <c r="K10" s="226">
        <f t="shared" si="0"/>
        <v>361482</v>
      </c>
      <c r="L10" s="72">
        <f t="shared" si="1"/>
        <v>0.72296400000000005</v>
      </c>
    </row>
    <row r="11" spans="1:12" ht="12.75">
      <c r="A11" s="47" t="s">
        <v>127</v>
      </c>
      <c r="B11" s="48">
        <f>35950</f>
        <v>35950</v>
      </c>
      <c r="C11" s="46"/>
    </row>
    <row r="12" spans="1:12" ht="12.75">
      <c r="A12" s="182" t="s">
        <v>243</v>
      </c>
      <c r="B12" s="48">
        <v>69450</v>
      </c>
      <c r="C12" s="46"/>
    </row>
    <row r="13" spans="1:12" ht="12.75">
      <c r="A13" s="50" t="s">
        <v>95</v>
      </c>
      <c r="B13" s="49">
        <f>SUM(B9:B12,B4:B7)</f>
        <v>433150</v>
      </c>
      <c r="C13" s="46"/>
    </row>
    <row r="14" spans="1:12" ht="12.75">
      <c r="B14" s="45"/>
      <c r="C14" s="45"/>
    </row>
    <row r="15" spans="1:12" ht="12.75">
      <c r="A15" s="318" t="s">
        <v>128</v>
      </c>
      <c r="B15" s="303"/>
      <c r="C15" s="45"/>
    </row>
    <row r="16" spans="1:12" ht="12.75">
      <c r="A16" s="319" t="s">
        <v>122</v>
      </c>
      <c r="B16" s="303"/>
      <c r="C16" s="45"/>
    </row>
    <row r="17" spans="1:9" ht="12.75">
      <c r="A17" s="182" t="s">
        <v>244</v>
      </c>
      <c r="B17" s="48">
        <v>53978</v>
      </c>
      <c r="C17" s="45"/>
    </row>
    <row r="18" spans="1:9" ht="12.75">
      <c r="A18" s="47" t="s">
        <v>126</v>
      </c>
      <c r="B18" s="48">
        <f>5250*C18</f>
        <v>42000</v>
      </c>
      <c r="C18" s="46">
        <v>8</v>
      </c>
      <c r="I18" s="113"/>
    </row>
    <row r="19" spans="1:9" ht="12.75">
      <c r="A19" s="47" t="s">
        <v>127</v>
      </c>
      <c r="B19" s="48">
        <f>8125*C19</f>
        <v>89375</v>
      </c>
      <c r="C19" s="46">
        <v>11</v>
      </c>
      <c r="I19" s="113"/>
    </row>
    <row r="20" spans="1:9" ht="12.75">
      <c r="A20" s="182" t="s">
        <v>243</v>
      </c>
      <c r="B20" s="48">
        <v>13075</v>
      </c>
      <c r="C20" s="45"/>
    </row>
    <row r="21" spans="1:9" ht="12.75">
      <c r="A21" s="319" t="s">
        <v>130</v>
      </c>
      <c r="B21" s="303"/>
      <c r="C21" s="45"/>
    </row>
    <row r="22" spans="1:9" ht="12.75">
      <c r="A22" s="182" t="s">
        <v>244</v>
      </c>
      <c r="B22" s="49">
        <f>30750</f>
        <v>30750</v>
      </c>
      <c r="C22" s="45"/>
    </row>
    <row r="23" spans="1:9" ht="12.75">
      <c r="A23" s="47" t="s">
        <v>126</v>
      </c>
      <c r="B23" s="48">
        <v>16450</v>
      </c>
      <c r="C23" s="45"/>
      <c r="I23">
        <v>0</v>
      </c>
    </row>
    <row r="24" spans="1:9" ht="12.75">
      <c r="A24" s="47" t="s">
        <v>127</v>
      </c>
      <c r="B24" s="48">
        <f>31750</f>
        <v>31750</v>
      </c>
      <c r="C24" s="45"/>
    </row>
    <row r="25" spans="1:9" ht="12.75">
      <c r="A25" s="182" t="s">
        <v>243</v>
      </c>
      <c r="B25" s="48">
        <v>59250</v>
      </c>
      <c r="C25" s="45"/>
    </row>
    <row r="26" spans="1:9" ht="12.75">
      <c r="A26" s="50" t="s">
        <v>95</v>
      </c>
      <c r="B26" s="49">
        <f>SUM(B22:B25,B17:B20)</f>
        <v>336628</v>
      </c>
      <c r="C26" s="45"/>
    </row>
    <row r="27" spans="1:9" ht="12.75">
      <c r="A27" s="51"/>
      <c r="B27" s="45"/>
      <c r="C27" s="45"/>
    </row>
    <row r="28" spans="1:9" ht="12.75">
      <c r="A28" s="318" t="s">
        <v>129</v>
      </c>
      <c r="B28" s="303"/>
      <c r="C28" s="45"/>
    </row>
    <row r="29" spans="1:9" ht="12.75">
      <c r="A29" s="319" t="s">
        <v>122</v>
      </c>
      <c r="B29" s="303"/>
      <c r="C29" s="45"/>
    </row>
    <row r="30" spans="1:9" ht="12.75">
      <c r="A30" s="182" t="s">
        <v>244</v>
      </c>
      <c r="B30" s="49">
        <f>30748</f>
        <v>30748</v>
      </c>
      <c r="C30" s="45"/>
    </row>
    <row r="31" spans="1:9" ht="12.75">
      <c r="A31" s="47" t="s">
        <v>126</v>
      </c>
      <c r="B31" s="48">
        <f>5250*C31</f>
        <v>36750</v>
      </c>
      <c r="C31" s="46">
        <v>7</v>
      </c>
    </row>
    <row r="32" spans="1:9" ht="12.75">
      <c r="A32" s="47" t="s">
        <v>127</v>
      </c>
      <c r="B32" s="48">
        <f>8125*C32</f>
        <v>56875</v>
      </c>
      <c r="C32" s="46">
        <v>7</v>
      </c>
    </row>
    <row r="33" spans="1:3" ht="12.75">
      <c r="A33" s="182" t="s">
        <v>243</v>
      </c>
      <c r="B33" s="48">
        <v>7978</v>
      </c>
      <c r="C33" s="45"/>
    </row>
    <row r="34" spans="1:3" ht="12.75">
      <c r="A34" s="319" t="s">
        <v>130</v>
      </c>
      <c r="B34" s="303"/>
      <c r="C34" s="45"/>
    </row>
    <row r="35" spans="1:3" ht="12.75">
      <c r="A35" s="182" t="s">
        <v>244</v>
      </c>
      <c r="B35" s="49">
        <f>20450</f>
        <v>20450</v>
      </c>
      <c r="C35" s="45"/>
    </row>
    <row r="36" spans="1:3" ht="12.75">
      <c r="A36" s="47" t="s">
        <v>126</v>
      </c>
      <c r="B36" s="48">
        <v>12450</v>
      </c>
      <c r="C36" s="45"/>
    </row>
    <row r="37" spans="1:3" ht="12.75">
      <c r="A37" s="47" t="s">
        <v>127</v>
      </c>
      <c r="B37" s="48">
        <f>29850</f>
        <v>29850</v>
      </c>
      <c r="C37" s="45"/>
    </row>
    <row r="38" spans="1:3" ht="12.75">
      <c r="A38" s="182" t="s">
        <v>243</v>
      </c>
      <c r="B38" s="48">
        <v>32150</v>
      </c>
      <c r="C38" s="45"/>
    </row>
    <row r="39" spans="1:3" ht="12.75">
      <c r="A39" s="50" t="s">
        <v>95</v>
      </c>
      <c r="B39" s="49">
        <f>SUM(B35:B38,B30:B33)</f>
        <v>227251</v>
      </c>
      <c r="C39" s="45"/>
    </row>
    <row r="40" spans="1:3" ht="12.75">
      <c r="B40" s="45"/>
      <c r="C40" s="45"/>
    </row>
    <row r="41" spans="1:3" ht="12.75">
      <c r="A41" s="318" t="s">
        <v>132</v>
      </c>
      <c r="B41" s="303"/>
      <c r="C41" s="45"/>
    </row>
    <row r="42" spans="1:3" ht="12.75">
      <c r="A42" s="319" t="s">
        <v>122</v>
      </c>
      <c r="B42" s="303"/>
      <c r="C42" s="45"/>
    </row>
    <row r="43" spans="1:3" ht="12.75">
      <c r="A43" s="182" t="s">
        <v>244</v>
      </c>
      <c r="B43" s="48">
        <v>10605</v>
      </c>
      <c r="C43" s="45"/>
    </row>
    <row r="44" spans="1:3" ht="12.75">
      <c r="A44" s="47" t="s">
        <v>126</v>
      </c>
      <c r="B44" s="48">
        <f>5250*C44</f>
        <v>26250</v>
      </c>
      <c r="C44" s="46">
        <v>5</v>
      </c>
    </row>
    <row r="45" spans="1:3" ht="12.75">
      <c r="A45" s="47" t="s">
        <v>127</v>
      </c>
      <c r="B45" s="48">
        <f>8125*C45</f>
        <v>48750</v>
      </c>
      <c r="C45" s="46">
        <v>6</v>
      </c>
    </row>
    <row r="46" spans="1:3" ht="12.75">
      <c r="A46" s="182" t="s">
        <v>243</v>
      </c>
      <c r="B46" s="48">
        <v>6899</v>
      </c>
      <c r="C46" s="45"/>
    </row>
    <row r="47" spans="1:3" ht="12.75">
      <c r="A47" s="319" t="s">
        <v>130</v>
      </c>
      <c r="B47" s="303"/>
      <c r="C47" s="45"/>
    </row>
    <row r="48" spans="1:3" ht="12.75">
      <c r="A48" s="182" t="s">
        <v>244</v>
      </c>
      <c r="B48" s="48">
        <v>11125</v>
      </c>
      <c r="C48" s="45"/>
    </row>
    <row r="49" spans="1:3" ht="12.75">
      <c r="A49" s="47" t="s">
        <v>126</v>
      </c>
      <c r="B49" s="48">
        <v>9350</v>
      </c>
      <c r="C49" s="45"/>
    </row>
    <row r="50" spans="1:3" ht="12.75">
      <c r="A50" s="47" t="s">
        <v>127</v>
      </c>
      <c r="B50" s="48">
        <v>16459</v>
      </c>
      <c r="C50" s="45"/>
    </row>
    <row r="51" spans="1:3" ht="12.75">
      <c r="A51" s="182" t="s">
        <v>243</v>
      </c>
      <c r="B51" s="48">
        <v>9080</v>
      </c>
      <c r="C51" s="45"/>
    </row>
    <row r="52" spans="1:3" ht="12.75">
      <c r="A52" s="50" t="s">
        <v>95</v>
      </c>
      <c r="B52" s="49">
        <f>SUM(B48:B51,B43:B46)</f>
        <v>138518</v>
      </c>
      <c r="C52" s="45"/>
    </row>
    <row r="53" spans="1:3" ht="12.75">
      <c r="B53" s="45"/>
      <c r="C53" s="45"/>
    </row>
    <row r="54" spans="1:3" ht="12.75">
      <c r="A54" s="318" t="s">
        <v>131</v>
      </c>
      <c r="B54" s="303"/>
      <c r="C54" s="45"/>
    </row>
    <row r="55" spans="1:3" ht="12.75">
      <c r="A55" s="319" t="s">
        <v>122</v>
      </c>
      <c r="B55" s="303"/>
      <c r="C55" s="45"/>
    </row>
    <row r="56" spans="1:3" ht="12.75">
      <c r="A56" s="182" t="s">
        <v>244</v>
      </c>
      <c r="B56" s="48">
        <v>21198</v>
      </c>
      <c r="C56" s="45"/>
    </row>
    <row r="57" spans="1:3" ht="12.75">
      <c r="A57" s="47" t="s">
        <v>126</v>
      </c>
      <c r="B57" s="48">
        <f>5250*C57</f>
        <v>36750</v>
      </c>
      <c r="C57" s="46">
        <v>7</v>
      </c>
    </row>
    <row r="58" spans="1:3" ht="12.75">
      <c r="A58" s="47" t="s">
        <v>127</v>
      </c>
      <c r="B58" s="48">
        <f>8125*C58</f>
        <v>48750</v>
      </c>
      <c r="C58" s="46">
        <v>6</v>
      </c>
    </row>
    <row r="59" spans="1:3" ht="12.75">
      <c r="A59" s="182" t="s">
        <v>243</v>
      </c>
      <c r="B59" s="48">
        <v>8828</v>
      </c>
      <c r="C59" s="45"/>
    </row>
    <row r="60" spans="1:3" ht="12.75">
      <c r="A60" s="319" t="s">
        <v>130</v>
      </c>
      <c r="B60" s="303"/>
      <c r="C60" s="45"/>
    </row>
    <row r="61" spans="1:3" ht="12.75">
      <c r="A61" s="182" t="s">
        <v>244</v>
      </c>
      <c r="B61" s="49">
        <f>18750</f>
        <v>18750</v>
      </c>
      <c r="C61" s="45"/>
    </row>
    <row r="62" spans="1:3" ht="12.75">
      <c r="A62" s="47" t="s">
        <v>126</v>
      </c>
      <c r="B62" s="48">
        <v>12450</v>
      </c>
      <c r="C62" s="45"/>
    </row>
    <row r="63" spans="1:3" ht="12.75">
      <c r="A63" s="47" t="s">
        <v>127</v>
      </c>
      <c r="B63" s="48">
        <f>28120</f>
        <v>28120</v>
      </c>
      <c r="C63" s="45"/>
    </row>
    <row r="64" spans="1:3" ht="12.75">
      <c r="A64" s="182" t="s">
        <v>243</v>
      </c>
      <c r="B64" s="48">
        <v>17150</v>
      </c>
      <c r="C64" s="45"/>
    </row>
    <row r="65" spans="1:3" ht="12.75">
      <c r="A65" s="50" t="s">
        <v>95</v>
      </c>
      <c r="B65" s="49">
        <f>SUM(B61:B64,B56:B59)</f>
        <v>191996</v>
      </c>
      <c r="C65" s="45"/>
    </row>
    <row r="66" spans="1:3" ht="12.75">
      <c r="B66" s="45"/>
      <c r="C66" s="45"/>
    </row>
    <row r="67" spans="1:3" ht="12.75">
      <c r="A67" s="318" t="s">
        <v>133</v>
      </c>
      <c r="B67" s="303"/>
      <c r="C67" s="45"/>
    </row>
    <row r="68" spans="1:3" ht="12.75">
      <c r="A68" s="319" t="s">
        <v>122</v>
      </c>
      <c r="B68" s="303"/>
      <c r="C68" s="45"/>
    </row>
    <row r="69" spans="1:3" ht="12.75">
      <c r="A69" s="182" t="s">
        <v>244</v>
      </c>
      <c r="B69" s="48">
        <v>10605</v>
      </c>
      <c r="C69" s="45"/>
    </row>
    <row r="70" spans="1:3" ht="12.75">
      <c r="A70" s="47" t="s">
        <v>126</v>
      </c>
      <c r="B70" s="48">
        <f>5250*C70</f>
        <v>26250</v>
      </c>
      <c r="C70" s="46">
        <v>5</v>
      </c>
    </row>
    <row r="71" spans="1:3" ht="12.75">
      <c r="A71" s="47" t="s">
        <v>127</v>
      </c>
      <c r="B71" s="48">
        <f>8125*C71</f>
        <v>48750</v>
      </c>
      <c r="C71" s="46">
        <v>6</v>
      </c>
    </row>
    <row r="72" spans="1:3" ht="12.75">
      <c r="A72" s="182" t="s">
        <v>243</v>
      </c>
      <c r="B72" s="48">
        <v>6899</v>
      </c>
      <c r="C72" s="45"/>
    </row>
    <row r="73" spans="1:3" ht="12.75">
      <c r="A73" s="319" t="s">
        <v>130</v>
      </c>
      <c r="B73" s="303"/>
      <c r="C73" s="45"/>
    </row>
    <row r="74" spans="1:3" ht="12.75">
      <c r="A74" s="182" t="s">
        <v>244</v>
      </c>
      <c r="B74" s="48">
        <v>11125</v>
      </c>
      <c r="C74" s="45"/>
    </row>
    <row r="75" spans="1:3" ht="12.75">
      <c r="A75" s="47" t="s">
        <v>126</v>
      </c>
      <c r="B75" s="48">
        <v>9350</v>
      </c>
      <c r="C75" s="45"/>
    </row>
    <row r="76" spans="1:3" ht="12.75">
      <c r="A76" s="47" t="s">
        <v>127</v>
      </c>
      <c r="B76" s="48">
        <v>16459</v>
      </c>
      <c r="C76" s="45"/>
    </row>
    <row r="77" spans="1:3" ht="12.75">
      <c r="A77" s="182" t="s">
        <v>243</v>
      </c>
      <c r="B77" s="48">
        <v>9080</v>
      </c>
      <c r="C77" s="45"/>
    </row>
    <row r="78" spans="1:3" ht="12.75">
      <c r="A78" s="50" t="s">
        <v>95</v>
      </c>
      <c r="B78" s="49">
        <f>SUM(B74:B77,B69:B72)</f>
        <v>138518</v>
      </c>
      <c r="C78" s="45"/>
    </row>
    <row r="79" spans="1:3" ht="12.75">
      <c r="B79" s="45"/>
      <c r="C79" s="45"/>
    </row>
    <row r="80" spans="1:3" ht="12.75">
      <c r="B80" s="45"/>
      <c r="C80" s="45"/>
    </row>
    <row r="81" spans="2:3" ht="12.75">
      <c r="B81" s="45"/>
      <c r="C81" s="45"/>
    </row>
    <row r="82" spans="2:3" ht="12.75">
      <c r="B82" s="45"/>
      <c r="C82" s="45"/>
    </row>
    <row r="83" spans="2:3" ht="12.75">
      <c r="B83" s="45"/>
      <c r="C83" s="45"/>
    </row>
    <row r="84" spans="2:3" ht="12.75">
      <c r="B84" s="45"/>
      <c r="C84" s="45"/>
    </row>
    <row r="85" spans="2:3" ht="12.75">
      <c r="B85" s="45"/>
      <c r="C85" s="45"/>
    </row>
    <row r="86" spans="2:3" ht="12.75">
      <c r="B86" s="45"/>
      <c r="C86" s="45"/>
    </row>
    <row r="87" spans="2:3" ht="12.75">
      <c r="B87" s="45"/>
      <c r="C87" s="45"/>
    </row>
    <row r="88" spans="2:3" ht="12.75">
      <c r="B88" s="45"/>
      <c r="C88" s="45"/>
    </row>
    <row r="89" spans="2:3" ht="12.75">
      <c r="B89" s="45"/>
      <c r="C89" s="45"/>
    </row>
    <row r="90" spans="2:3" ht="12.75">
      <c r="B90" s="45"/>
      <c r="C90" s="45"/>
    </row>
    <row r="91" spans="2:3" ht="12.75">
      <c r="B91" s="45"/>
      <c r="C91" s="45"/>
    </row>
    <row r="92" spans="2:3" ht="12.75">
      <c r="B92" s="45"/>
      <c r="C92" s="45"/>
    </row>
    <row r="93" spans="2:3" ht="12.75">
      <c r="B93" s="45"/>
      <c r="C93" s="45"/>
    </row>
    <row r="94" spans="2:3" ht="12.75">
      <c r="B94" s="45"/>
      <c r="C94" s="45"/>
    </row>
    <row r="95" spans="2:3" ht="12.75">
      <c r="B95" s="45"/>
      <c r="C95" s="45"/>
    </row>
    <row r="96" spans="2:3" ht="12.75">
      <c r="B96" s="45"/>
      <c r="C96" s="45"/>
    </row>
    <row r="97" spans="2:3" ht="12.75">
      <c r="B97" s="45"/>
      <c r="C97" s="45"/>
    </row>
    <row r="98" spans="2:3" ht="12.75">
      <c r="B98" s="45"/>
      <c r="C98" s="45"/>
    </row>
    <row r="99" spans="2:3" ht="12.75">
      <c r="B99" s="45"/>
      <c r="C99" s="45"/>
    </row>
    <row r="100" spans="2:3" ht="12.75">
      <c r="B100" s="45"/>
      <c r="C100" s="45"/>
    </row>
    <row r="101" spans="2:3" ht="12.75">
      <c r="B101" s="45"/>
      <c r="C101" s="45"/>
    </row>
    <row r="102" spans="2:3" ht="12.75">
      <c r="B102" s="45"/>
      <c r="C102" s="45"/>
    </row>
    <row r="103" spans="2:3" ht="12.75">
      <c r="B103" s="45"/>
      <c r="C103" s="45"/>
    </row>
    <row r="104" spans="2:3" ht="12.75">
      <c r="B104" s="45"/>
      <c r="C104" s="45"/>
    </row>
    <row r="105" spans="2:3" ht="12.75">
      <c r="B105" s="45"/>
      <c r="C105" s="45"/>
    </row>
    <row r="106" spans="2:3" ht="12.75">
      <c r="B106" s="45"/>
      <c r="C106" s="45"/>
    </row>
    <row r="107" spans="2:3" ht="12.75">
      <c r="B107" s="45"/>
      <c r="C107" s="45"/>
    </row>
    <row r="108" spans="2:3" ht="12.75">
      <c r="B108" s="45"/>
      <c r="C108" s="45"/>
    </row>
    <row r="109" spans="2:3" ht="12.75">
      <c r="B109" s="45"/>
      <c r="C109" s="45"/>
    </row>
    <row r="110" spans="2:3" ht="12.75">
      <c r="B110" s="45"/>
      <c r="C110" s="45"/>
    </row>
    <row r="111" spans="2:3" ht="12.75">
      <c r="B111" s="45"/>
      <c r="C111" s="45"/>
    </row>
    <row r="112" spans="2:3" ht="12.75">
      <c r="B112" s="45"/>
      <c r="C112" s="45"/>
    </row>
    <row r="113" spans="2:3" ht="12.75">
      <c r="B113" s="45"/>
      <c r="C113" s="45"/>
    </row>
    <row r="114" spans="2:3" ht="12.75">
      <c r="B114" s="45"/>
      <c r="C114" s="45"/>
    </row>
    <row r="115" spans="2:3" ht="12.75">
      <c r="B115" s="45"/>
      <c r="C115" s="45"/>
    </row>
    <row r="116" spans="2:3" ht="12.75">
      <c r="B116" s="45"/>
      <c r="C116" s="45"/>
    </row>
    <row r="117" spans="2:3" ht="12.75">
      <c r="B117" s="45"/>
      <c r="C117" s="45"/>
    </row>
    <row r="118" spans="2:3" ht="12.75">
      <c r="B118" s="45"/>
      <c r="C118" s="45"/>
    </row>
    <row r="119" spans="2:3" ht="12.75">
      <c r="B119" s="45"/>
      <c r="C119" s="45"/>
    </row>
    <row r="120" spans="2:3" ht="12.75">
      <c r="B120" s="45"/>
      <c r="C120" s="45"/>
    </row>
    <row r="121" spans="2:3" ht="12.75">
      <c r="B121" s="45"/>
      <c r="C121" s="45"/>
    </row>
    <row r="122" spans="2:3" ht="12.75">
      <c r="B122" s="45"/>
      <c r="C122" s="45"/>
    </row>
    <row r="123" spans="2:3" ht="12.75">
      <c r="B123" s="45"/>
      <c r="C123" s="45"/>
    </row>
    <row r="124" spans="2:3" ht="12.75">
      <c r="B124" s="45"/>
      <c r="C124" s="45"/>
    </row>
    <row r="125" spans="2:3" ht="12.75">
      <c r="B125" s="45"/>
      <c r="C125" s="45"/>
    </row>
    <row r="126" spans="2:3" ht="12.75">
      <c r="B126" s="45"/>
      <c r="C126" s="45"/>
    </row>
    <row r="127" spans="2:3" ht="12.75">
      <c r="B127" s="45"/>
      <c r="C127" s="45"/>
    </row>
    <row r="128" spans="2:3" ht="12.75">
      <c r="B128" s="45"/>
      <c r="C128" s="45"/>
    </row>
    <row r="129" spans="2:3" ht="12.75">
      <c r="B129" s="45"/>
      <c r="C129" s="45"/>
    </row>
    <row r="130" spans="2:3" ht="12.75">
      <c r="B130" s="45"/>
      <c r="C130" s="45"/>
    </row>
    <row r="131" spans="2:3" ht="12.75">
      <c r="B131" s="45"/>
      <c r="C131" s="45"/>
    </row>
    <row r="132" spans="2:3" ht="12.75">
      <c r="B132" s="45"/>
      <c r="C132" s="45"/>
    </row>
    <row r="133" spans="2:3" ht="12.75">
      <c r="B133" s="45"/>
      <c r="C133" s="45"/>
    </row>
    <row r="134" spans="2:3" ht="12.75">
      <c r="B134" s="45"/>
      <c r="C134" s="45"/>
    </row>
    <row r="135" spans="2:3" ht="12.75">
      <c r="B135" s="45"/>
      <c r="C135" s="45"/>
    </row>
    <row r="136" spans="2:3" ht="12.75">
      <c r="B136" s="45"/>
      <c r="C136" s="45"/>
    </row>
    <row r="137" spans="2:3" ht="12.75">
      <c r="B137" s="45"/>
      <c r="C137" s="45"/>
    </row>
    <row r="138" spans="2:3" ht="12.75">
      <c r="B138" s="45"/>
      <c r="C138" s="45"/>
    </row>
    <row r="139" spans="2:3" ht="12.75">
      <c r="B139" s="45"/>
      <c r="C139" s="45"/>
    </row>
    <row r="140" spans="2:3" ht="12.75">
      <c r="B140" s="45"/>
      <c r="C140" s="45"/>
    </row>
    <row r="141" spans="2:3" ht="12.75">
      <c r="B141" s="45"/>
      <c r="C141" s="45"/>
    </row>
    <row r="142" spans="2:3" ht="12.75">
      <c r="B142" s="45"/>
      <c r="C142" s="45"/>
    </row>
    <row r="143" spans="2:3" ht="12.75">
      <c r="B143" s="45"/>
      <c r="C143" s="45"/>
    </row>
    <row r="144" spans="2:3" ht="12.75">
      <c r="B144" s="45"/>
      <c r="C144" s="45"/>
    </row>
    <row r="145" spans="2:3" ht="12.75">
      <c r="B145" s="45"/>
      <c r="C145" s="45"/>
    </row>
    <row r="146" spans="2:3" ht="12.75">
      <c r="B146" s="45"/>
      <c r="C146" s="45"/>
    </row>
    <row r="147" spans="2:3" ht="12.75">
      <c r="B147" s="45"/>
      <c r="C147" s="45"/>
    </row>
    <row r="148" spans="2:3" ht="12.75">
      <c r="B148" s="45"/>
      <c r="C148" s="45"/>
    </row>
    <row r="149" spans="2:3" ht="12.75">
      <c r="B149" s="45"/>
      <c r="C149" s="45"/>
    </row>
    <row r="150" spans="2:3" ht="12.75">
      <c r="B150" s="45"/>
      <c r="C150" s="45"/>
    </row>
    <row r="151" spans="2:3" ht="12.75">
      <c r="B151" s="45"/>
      <c r="C151" s="45"/>
    </row>
    <row r="152" spans="2:3" ht="12.75">
      <c r="B152" s="45"/>
      <c r="C152" s="45"/>
    </row>
    <row r="153" spans="2:3" ht="12.75">
      <c r="B153" s="45"/>
      <c r="C153" s="45"/>
    </row>
    <row r="154" spans="2:3" ht="12.75">
      <c r="B154" s="45"/>
      <c r="C154" s="45"/>
    </row>
    <row r="155" spans="2:3" ht="12.75">
      <c r="B155" s="45"/>
      <c r="C155" s="45"/>
    </row>
    <row r="156" spans="2:3" ht="12.75">
      <c r="B156" s="45"/>
      <c r="C156" s="45"/>
    </row>
    <row r="157" spans="2:3" ht="12.75">
      <c r="B157" s="45"/>
      <c r="C157" s="45"/>
    </row>
    <row r="158" spans="2:3" ht="12.75">
      <c r="B158" s="45"/>
      <c r="C158" s="45"/>
    </row>
    <row r="159" spans="2:3" ht="12.75">
      <c r="B159" s="45"/>
      <c r="C159" s="45"/>
    </row>
    <row r="160" spans="2:3" ht="12.75">
      <c r="B160" s="45"/>
      <c r="C160" s="45"/>
    </row>
    <row r="161" spans="2:3" ht="12.75">
      <c r="B161" s="45"/>
      <c r="C161" s="45"/>
    </row>
    <row r="162" spans="2:3" ht="12.75">
      <c r="B162" s="45"/>
      <c r="C162" s="45"/>
    </row>
    <row r="163" spans="2:3" ht="12.75">
      <c r="B163" s="45"/>
      <c r="C163" s="45"/>
    </row>
    <row r="164" spans="2:3" ht="12.75">
      <c r="B164" s="45"/>
      <c r="C164" s="45"/>
    </row>
    <row r="165" spans="2:3" ht="12.75">
      <c r="B165" s="45"/>
      <c r="C165" s="45"/>
    </row>
    <row r="166" spans="2:3" ht="12.75">
      <c r="B166" s="45"/>
      <c r="C166" s="45"/>
    </row>
    <row r="167" spans="2:3" ht="12.75">
      <c r="B167" s="45"/>
      <c r="C167" s="45"/>
    </row>
    <row r="168" spans="2:3" ht="12.75">
      <c r="B168" s="45"/>
      <c r="C168" s="45"/>
    </row>
    <row r="169" spans="2:3" ht="12.75">
      <c r="B169" s="45"/>
      <c r="C169" s="45"/>
    </row>
    <row r="170" spans="2:3" ht="12.75">
      <c r="B170" s="45"/>
      <c r="C170" s="45"/>
    </row>
    <row r="171" spans="2:3" ht="12.75">
      <c r="B171" s="45"/>
      <c r="C171" s="45"/>
    </row>
    <row r="172" spans="2:3" ht="12.75">
      <c r="B172" s="45"/>
      <c r="C172" s="45"/>
    </row>
    <row r="173" spans="2:3" ht="12.75">
      <c r="B173" s="45"/>
      <c r="C173" s="45"/>
    </row>
    <row r="174" spans="2:3" ht="12.75">
      <c r="B174" s="45"/>
      <c r="C174" s="45"/>
    </row>
    <row r="175" spans="2:3" ht="12.75">
      <c r="B175" s="45"/>
      <c r="C175" s="45"/>
    </row>
    <row r="176" spans="2:3" ht="12.75">
      <c r="B176" s="45"/>
      <c r="C176" s="45"/>
    </row>
    <row r="177" spans="2:3" ht="12.75">
      <c r="B177" s="45"/>
      <c r="C177" s="45"/>
    </row>
    <row r="178" spans="2:3" ht="12.75">
      <c r="B178" s="45"/>
      <c r="C178" s="45"/>
    </row>
    <row r="179" spans="2:3" ht="12.75">
      <c r="B179" s="45"/>
      <c r="C179" s="45"/>
    </row>
    <row r="180" spans="2:3" ht="12.75">
      <c r="B180" s="45"/>
      <c r="C180" s="45"/>
    </row>
    <row r="181" spans="2:3" ht="12.75">
      <c r="B181" s="45"/>
      <c r="C181" s="45"/>
    </row>
    <row r="182" spans="2:3" ht="12.75">
      <c r="B182" s="45"/>
      <c r="C182" s="45"/>
    </row>
    <row r="183" spans="2:3" ht="12.75">
      <c r="B183" s="45"/>
      <c r="C183" s="45"/>
    </row>
    <row r="184" spans="2:3" ht="12.75">
      <c r="B184" s="45"/>
      <c r="C184" s="45"/>
    </row>
    <row r="185" spans="2:3" ht="12.75">
      <c r="B185" s="45"/>
      <c r="C185" s="45"/>
    </row>
    <row r="186" spans="2:3" ht="12.75">
      <c r="B186" s="45"/>
      <c r="C186" s="45"/>
    </row>
    <row r="187" spans="2:3" ht="12.75">
      <c r="B187" s="45"/>
      <c r="C187" s="45"/>
    </row>
    <row r="188" spans="2:3" ht="12.75">
      <c r="B188" s="45"/>
      <c r="C188" s="45"/>
    </row>
    <row r="189" spans="2:3" ht="12.75">
      <c r="B189" s="45"/>
      <c r="C189" s="45"/>
    </row>
    <row r="190" spans="2:3" ht="12.75">
      <c r="B190" s="45"/>
      <c r="C190" s="45"/>
    </row>
    <row r="191" spans="2:3" ht="12.75">
      <c r="B191" s="45"/>
      <c r="C191" s="45"/>
    </row>
    <row r="192" spans="2:3" ht="12.75">
      <c r="B192" s="45"/>
      <c r="C192" s="45"/>
    </row>
    <row r="193" spans="2:3" ht="12.75">
      <c r="B193" s="45"/>
      <c r="C193" s="45"/>
    </row>
    <row r="194" spans="2:3" ht="12.75">
      <c r="B194" s="45"/>
      <c r="C194" s="45"/>
    </row>
    <row r="195" spans="2:3" ht="12.75">
      <c r="B195" s="45"/>
      <c r="C195" s="45"/>
    </row>
    <row r="196" spans="2:3" ht="12.75">
      <c r="B196" s="45"/>
      <c r="C196" s="45"/>
    </row>
    <row r="197" spans="2:3" ht="12.75">
      <c r="B197" s="45"/>
      <c r="C197" s="45"/>
    </row>
    <row r="198" spans="2:3" ht="12.75">
      <c r="B198" s="45"/>
      <c r="C198" s="45"/>
    </row>
    <row r="199" spans="2:3" ht="12.75">
      <c r="B199" s="45"/>
      <c r="C199" s="45"/>
    </row>
    <row r="200" spans="2:3" ht="12.75">
      <c r="B200" s="45"/>
      <c r="C200" s="45"/>
    </row>
    <row r="201" spans="2:3" ht="12.75">
      <c r="B201" s="45"/>
      <c r="C201" s="45"/>
    </row>
    <row r="202" spans="2:3" ht="12.75">
      <c r="B202" s="45"/>
      <c r="C202" s="45"/>
    </row>
    <row r="203" spans="2:3" ht="12.75">
      <c r="B203" s="45"/>
      <c r="C203" s="45"/>
    </row>
    <row r="204" spans="2:3" ht="12.75">
      <c r="B204" s="45"/>
      <c r="C204" s="45"/>
    </row>
    <row r="205" spans="2:3" ht="12.75">
      <c r="B205" s="45"/>
      <c r="C205" s="45"/>
    </row>
    <row r="206" spans="2:3" ht="12.75">
      <c r="B206" s="45"/>
      <c r="C206" s="45"/>
    </row>
    <row r="207" spans="2:3" ht="12.75">
      <c r="B207" s="45"/>
      <c r="C207" s="45"/>
    </row>
    <row r="208" spans="2:3" ht="12.75">
      <c r="B208" s="45"/>
      <c r="C208" s="45"/>
    </row>
    <row r="209" spans="2:3" ht="12.75">
      <c r="B209" s="45"/>
      <c r="C209" s="45"/>
    </row>
    <row r="210" spans="2:3" ht="12.75">
      <c r="B210" s="45"/>
      <c r="C210" s="45"/>
    </row>
    <row r="211" spans="2:3" ht="12.75">
      <c r="B211" s="45"/>
      <c r="C211" s="45"/>
    </row>
    <row r="212" spans="2:3" ht="12.75">
      <c r="B212" s="45"/>
      <c r="C212" s="45"/>
    </row>
    <row r="213" spans="2:3" ht="12.75">
      <c r="B213" s="45"/>
      <c r="C213" s="45"/>
    </row>
    <row r="214" spans="2:3" ht="12.75">
      <c r="B214" s="45"/>
      <c r="C214" s="45"/>
    </row>
    <row r="215" spans="2:3" ht="12.75">
      <c r="B215" s="45"/>
      <c r="C215" s="45"/>
    </row>
    <row r="216" spans="2:3" ht="12.75">
      <c r="B216" s="45"/>
      <c r="C216" s="45"/>
    </row>
    <row r="217" spans="2:3" ht="12.75">
      <c r="B217" s="45"/>
      <c r="C217" s="45"/>
    </row>
    <row r="218" spans="2:3" ht="12.75">
      <c r="B218" s="45"/>
      <c r="C218" s="45"/>
    </row>
    <row r="219" spans="2:3" ht="12.75">
      <c r="B219" s="45"/>
      <c r="C219" s="45"/>
    </row>
    <row r="220" spans="2:3" ht="12.75">
      <c r="B220" s="45"/>
      <c r="C220" s="45"/>
    </row>
    <row r="221" spans="2:3" ht="12.75">
      <c r="B221" s="45"/>
      <c r="C221" s="45"/>
    </row>
    <row r="222" spans="2:3" ht="12.75">
      <c r="B222" s="45"/>
      <c r="C222" s="45"/>
    </row>
    <row r="223" spans="2:3" ht="12.75">
      <c r="B223" s="45"/>
      <c r="C223" s="45"/>
    </row>
    <row r="224" spans="2:3" ht="12.75">
      <c r="B224" s="45"/>
      <c r="C224" s="45"/>
    </row>
    <row r="225" spans="2:3" ht="12.75">
      <c r="B225" s="45"/>
      <c r="C225" s="45"/>
    </row>
    <row r="226" spans="2:3" ht="12.75">
      <c r="B226" s="45"/>
      <c r="C226" s="45"/>
    </row>
    <row r="227" spans="2:3" ht="12.75">
      <c r="B227" s="45"/>
      <c r="C227" s="45"/>
    </row>
    <row r="228" spans="2:3" ht="12.75">
      <c r="B228" s="45"/>
      <c r="C228" s="45"/>
    </row>
    <row r="229" spans="2:3" ht="12.75">
      <c r="B229" s="45"/>
      <c r="C229" s="45"/>
    </row>
    <row r="230" spans="2:3" ht="12.75">
      <c r="B230" s="45"/>
      <c r="C230" s="45"/>
    </row>
    <row r="231" spans="2:3" ht="12.75">
      <c r="B231" s="45"/>
      <c r="C231" s="45"/>
    </row>
    <row r="232" spans="2:3" ht="12.75">
      <c r="B232" s="45"/>
      <c r="C232" s="45"/>
    </row>
    <row r="233" spans="2:3" ht="12.75">
      <c r="B233" s="45"/>
      <c r="C233" s="45"/>
    </row>
    <row r="234" spans="2:3" ht="12.75">
      <c r="B234" s="45"/>
      <c r="C234" s="45"/>
    </row>
    <row r="235" spans="2:3" ht="12.75">
      <c r="B235" s="45"/>
      <c r="C235" s="45"/>
    </row>
    <row r="236" spans="2:3" ht="12.75">
      <c r="B236" s="45"/>
      <c r="C236" s="45"/>
    </row>
    <row r="237" spans="2:3" ht="12.75">
      <c r="B237" s="45"/>
      <c r="C237" s="45"/>
    </row>
    <row r="238" spans="2:3" ht="12.75">
      <c r="B238" s="45"/>
      <c r="C238" s="45"/>
    </row>
    <row r="239" spans="2:3" ht="12.75">
      <c r="B239" s="45"/>
      <c r="C239" s="45"/>
    </row>
    <row r="240" spans="2:3" ht="12.75">
      <c r="B240" s="45"/>
      <c r="C240" s="45"/>
    </row>
    <row r="241" spans="2:3" ht="12.75">
      <c r="B241" s="45"/>
      <c r="C241" s="45"/>
    </row>
    <row r="242" spans="2:3" ht="12.75">
      <c r="B242" s="45"/>
      <c r="C242" s="45"/>
    </row>
    <row r="243" spans="2:3" ht="12.75">
      <c r="B243" s="45"/>
      <c r="C243" s="45"/>
    </row>
    <row r="244" spans="2:3" ht="12.75">
      <c r="B244" s="45"/>
      <c r="C244" s="45"/>
    </row>
    <row r="245" spans="2:3" ht="12.75">
      <c r="B245" s="45"/>
      <c r="C245" s="45"/>
    </row>
    <row r="246" spans="2:3" ht="12.75">
      <c r="B246" s="45"/>
      <c r="C246" s="45"/>
    </row>
    <row r="247" spans="2:3" ht="12.75">
      <c r="B247" s="45"/>
      <c r="C247" s="45"/>
    </row>
    <row r="248" spans="2:3" ht="12.75">
      <c r="B248" s="45"/>
      <c r="C248" s="45"/>
    </row>
    <row r="249" spans="2:3" ht="12.75">
      <c r="B249" s="45"/>
      <c r="C249" s="45"/>
    </row>
    <row r="250" spans="2:3" ht="12.75">
      <c r="B250" s="45"/>
      <c r="C250" s="45"/>
    </row>
    <row r="251" spans="2:3" ht="12.75">
      <c r="B251" s="45"/>
      <c r="C251" s="45"/>
    </row>
    <row r="252" spans="2:3" ht="12.75">
      <c r="B252" s="45"/>
      <c r="C252" s="45"/>
    </row>
    <row r="253" spans="2:3" ht="12.75">
      <c r="B253" s="45"/>
      <c r="C253" s="45"/>
    </row>
    <row r="254" spans="2:3" ht="12.75">
      <c r="B254" s="45"/>
      <c r="C254" s="45"/>
    </row>
    <row r="255" spans="2:3" ht="12.75">
      <c r="B255" s="45"/>
      <c r="C255" s="45"/>
    </row>
    <row r="256" spans="2:3" ht="12.75">
      <c r="B256" s="45"/>
      <c r="C256" s="45"/>
    </row>
    <row r="257" spans="2:3" ht="12.75">
      <c r="B257" s="45"/>
      <c r="C257" s="45"/>
    </row>
    <row r="258" spans="2:3" ht="12.75">
      <c r="B258" s="45"/>
      <c r="C258" s="45"/>
    </row>
    <row r="259" spans="2:3" ht="12.75">
      <c r="B259" s="45"/>
      <c r="C259" s="45"/>
    </row>
    <row r="260" spans="2:3" ht="12.75">
      <c r="B260" s="45"/>
      <c r="C260" s="45"/>
    </row>
    <row r="261" spans="2:3" ht="12.75">
      <c r="B261" s="45"/>
      <c r="C261" s="45"/>
    </row>
    <row r="262" spans="2:3" ht="12.75">
      <c r="B262" s="45"/>
      <c r="C262" s="45"/>
    </row>
    <row r="263" spans="2:3" ht="12.75">
      <c r="B263" s="45"/>
      <c r="C263" s="45"/>
    </row>
    <row r="264" spans="2:3" ht="12.75">
      <c r="B264" s="45"/>
      <c r="C264" s="45"/>
    </row>
    <row r="265" spans="2:3" ht="12.75">
      <c r="B265" s="45"/>
      <c r="C265" s="45"/>
    </row>
    <row r="266" spans="2:3" ht="12.75">
      <c r="B266" s="45"/>
      <c r="C266" s="45"/>
    </row>
    <row r="267" spans="2:3" ht="12.75">
      <c r="B267" s="45"/>
      <c r="C267" s="45"/>
    </row>
    <row r="268" spans="2:3" ht="12.75">
      <c r="B268" s="45"/>
      <c r="C268" s="45"/>
    </row>
    <row r="269" spans="2:3" ht="12.75">
      <c r="B269" s="45"/>
      <c r="C269" s="45"/>
    </row>
    <row r="270" spans="2:3" ht="12.75">
      <c r="B270" s="45"/>
      <c r="C270" s="45"/>
    </row>
    <row r="271" spans="2:3" ht="12.75">
      <c r="B271" s="45"/>
      <c r="C271" s="45"/>
    </row>
    <row r="272" spans="2:3" ht="12.75">
      <c r="B272" s="45"/>
      <c r="C272" s="45"/>
    </row>
    <row r="273" spans="2:3" ht="12.75">
      <c r="B273" s="45"/>
      <c r="C273" s="45"/>
    </row>
    <row r="274" spans="2:3" ht="12.75">
      <c r="B274" s="45"/>
      <c r="C274" s="45"/>
    </row>
    <row r="275" spans="2:3" ht="12.75">
      <c r="B275" s="45"/>
      <c r="C275" s="45"/>
    </row>
    <row r="276" spans="2:3" ht="12.75">
      <c r="B276" s="45"/>
      <c r="C276" s="45"/>
    </row>
    <row r="277" spans="2:3" ht="12.75">
      <c r="B277" s="45"/>
      <c r="C277" s="45"/>
    </row>
    <row r="278" spans="2:3" ht="12.75">
      <c r="B278" s="45"/>
      <c r="C278" s="45"/>
    </row>
    <row r="279" spans="2:3" ht="12.75">
      <c r="B279" s="45"/>
      <c r="C279" s="45"/>
    </row>
    <row r="280" spans="2:3" ht="12.75">
      <c r="B280" s="45"/>
      <c r="C280" s="45"/>
    </row>
    <row r="281" spans="2:3" ht="12.75">
      <c r="B281" s="45"/>
      <c r="C281" s="45"/>
    </row>
    <row r="282" spans="2:3" ht="12.75">
      <c r="B282" s="45"/>
      <c r="C282" s="45"/>
    </row>
    <row r="283" spans="2:3" ht="12.75">
      <c r="B283" s="45"/>
      <c r="C283" s="45"/>
    </row>
    <row r="284" spans="2:3" ht="12.75">
      <c r="B284" s="45"/>
      <c r="C284" s="45"/>
    </row>
    <row r="285" spans="2:3" ht="12.75">
      <c r="B285" s="45"/>
      <c r="C285" s="45"/>
    </row>
    <row r="286" spans="2:3" ht="12.75">
      <c r="B286" s="45"/>
      <c r="C286" s="45"/>
    </row>
    <row r="287" spans="2:3" ht="12.75">
      <c r="B287" s="45"/>
      <c r="C287" s="45"/>
    </row>
    <row r="288" spans="2:3" ht="12.75">
      <c r="B288" s="45"/>
      <c r="C288" s="45"/>
    </row>
    <row r="289" spans="2:3" ht="12.75">
      <c r="B289" s="45"/>
      <c r="C289" s="45"/>
    </row>
    <row r="290" spans="2:3" ht="12.75">
      <c r="B290" s="45"/>
      <c r="C290" s="45"/>
    </row>
    <row r="291" spans="2:3" ht="12.75">
      <c r="B291" s="45"/>
      <c r="C291" s="45"/>
    </row>
    <row r="292" spans="2:3" ht="12.75">
      <c r="B292" s="45"/>
      <c r="C292" s="45"/>
    </row>
    <row r="293" spans="2:3" ht="12.75">
      <c r="B293" s="45"/>
      <c r="C293" s="45"/>
    </row>
    <row r="294" spans="2:3" ht="12.75">
      <c r="B294" s="45"/>
      <c r="C294" s="45"/>
    </row>
    <row r="295" spans="2:3" ht="12.75">
      <c r="B295" s="45"/>
      <c r="C295" s="45"/>
    </row>
    <row r="296" spans="2:3" ht="12.75">
      <c r="B296" s="45"/>
      <c r="C296" s="45"/>
    </row>
    <row r="297" spans="2:3" ht="12.75">
      <c r="B297" s="45"/>
      <c r="C297" s="45"/>
    </row>
    <row r="298" spans="2:3" ht="12.75">
      <c r="B298" s="45"/>
      <c r="C298" s="45"/>
    </row>
    <row r="299" spans="2:3" ht="12.75">
      <c r="B299" s="45"/>
      <c r="C299" s="45"/>
    </row>
    <row r="300" spans="2:3" ht="12.75">
      <c r="B300" s="45"/>
      <c r="C300" s="45"/>
    </row>
    <row r="301" spans="2:3" ht="12.75">
      <c r="B301" s="45"/>
      <c r="C301" s="45"/>
    </row>
    <row r="302" spans="2:3" ht="12.75">
      <c r="B302" s="45"/>
      <c r="C302" s="45"/>
    </row>
    <row r="303" spans="2:3" ht="12.75">
      <c r="B303" s="45"/>
      <c r="C303" s="45"/>
    </row>
    <row r="304" spans="2:3" ht="12.75">
      <c r="B304" s="45"/>
      <c r="C304" s="45"/>
    </row>
    <row r="305" spans="2:3" ht="12.75">
      <c r="B305" s="45"/>
      <c r="C305" s="45"/>
    </row>
    <row r="306" spans="2:3" ht="12.75">
      <c r="B306" s="45"/>
      <c r="C306" s="45"/>
    </row>
    <row r="307" spans="2:3" ht="12.75">
      <c r="B307" s="45"/>
      <c r="C307" s="45"/>
    </row>
    <row r="308" spans="2:3" ht="12.75">
      <c r="B308" s="45"/>
      <c r="C308" s="45"/>
    </row>
    <row r="309" spans="2:3" ht="12.75">
      <c r="B309" s="45"/>
      <c r="C309" s="45"/>
    </row>
    <row r="310" spans="2:3" ht="12.75">
      <c r="B310" s="45"/>
      <c r="C310" s="45"/>
    </row>
    <row r="311" spans="2:3" ht="12.75">
      <c r="B311" s="45"/>
      <c r="C311" s="45"/>
    </row>
    <row r="312" spans="2:3" ht="12.75">
      <c r="B312" s="45"/>
      <c r="C312" s="45"/>
    </row>
    <row r="313" spans="2:3" ht="12.75">
      <c r="B313" s="45"/>
      <c r="C313" s="45"/>
    </row>
    <row r="314" spans="2:3" ht="12.75">
      <c r="B314" s="45"/>
      <c r="C314" s="45"/>
    </row>
    <row r="315" spans="2:3" ht="12.75">
      <c r="B315" s="45"/>
      <c r="C315" s="45"/>
    </row>
    <row r="316" spans="2:3" ht="12.75">
      <c r="B316" s="45"/>
      <c r="C316" s="45"/>
    </row>
    <row r="317" spans="2:3" ht="12.75">
      <c r="B317" s="45"/>
      <c r="C317" s="45"/>
    </row>
    <row r="318" spans="2:3" ht="12.75">
      <c r="B318" s="45"/>
      <c r="C318" s="45"/>
    </row>
    <row r="319" spans="2:3" ht="12.75">
      <c r="B319" s="45"/>
      <c r="C319" s="45"/>
    </row>
    <row r="320" spans="2:3" ht="12.75">
      <c r="B320" s="45"/>
      <c r="C320" s="45"/>
    </row>
    <row r="321" spans="2:3" ht="12.75">
      <c r="B321" s="45"/>
      <c r="C321" s="45"/>
    </row>
    <row r="322" spans="2:3" ht="12.75">
      <c r="B322" s="45"/>
      <c r="C322" s="45"/>
    </row>
    <row r="323" spans="2:3" ht="12.75">
      <c r="B323" s="45"/>
      <c r="C323" s="45"/>
    </row>
    <row r="324" spans="2:3" ht="12.75">
      <c r="B324" s="45"/>
      <c r="C324" s="45"/>
    </row>
    <row r="325" spans="2:3" ht="12.75">
      <c r="B325" s="45"/>
      <c r="C325" s="45"/>
    </row>
    <row r="326" spans="2:3" ht="12.75">
      <c r="B326" s="45"/>
      <c r="C326" s="45"/>
    </row>
    <row r="327" spans="2:3" ht="12.75">
      <c r="B327" s="45"/>
      <c r="C327" s="45"/>
    </row>
    <row r="328" spans="2:3" ht="12.75">
      <c r="B328" s="45"/>
      <c r="C328" s="45"/>
    </row>
    <row r="329" spans="2:3" ht="12.75">
      <c r="B329" s="45"/>
      <c r="C329" s="45"/>
    </row>
    <row r="330" spans="2:3" ht="12.75">
      <c r="B330" s="45"/>
      <c r="C330" s="45"/>
    </row>
    <row r="331" spans="2:3" ht="12.75">
      <c r="B331" s="45"/>
      <c r="C331" s="45"/>
    </row>
    <row r="332" spans="2:3" ht="12.75">
      <c r="B332" s="45"/>
      <c r="C332" s="45"/>
    </row>
    <row r="333" spans="2:3" ht="12.75">
      <c r="B333" s="45"/>
      <c r="C333" s="45"/>
    </row>
    <row r="334" spans="2:3" ht="12.75">
      <c r="B334" s="45"/>
      <c r="C334" s="45"/>
    </row>
    <row r="335" spans="2:3" ht="12.75">
      <c r="B335" s="45"/>
      <c r="C335" s="45"/>
    </row>
    <row r="336" spans="2:3" ht="12.75">
      <c r="B336" s="45"/>
      <c r="C336" s="45"/>
    </row>
    <row r="337" spans="2:3" ht="12.75">
      <c r="B337" s="45"/>
      <c r="C337" s="45"/>
    </row>
    <row r="338" spans="2:3" ht="12.75">
      <c r="B338" s="45"/>
      <c r="C338" s="45"/>
    </row>
    <row r="339" spans="2:3" ht="12.75">
      <c r="B339" s="45"/>
      <c r="C339" s="45"/>
    </row>
    <row r="340" spans="2:3" ht="12.75">
      <c r="B340" s="45"/>
      <c r="C340" s="45"/>
    </row>
    <row r="341" spans="2:3" ht="12.75">
      <c r="B341" s="45"/>
      <c r="C341" s="45"/>
    </row>
    <row r="342" spans="2:3" ht="12.75">
      <c r="B342" s="45"/>
      <c r="C342" s="45"/>
    </row>
    <row r="343" spans="2:3" ht="12.75">
      <c r="B343" s="45"/>
      <c r="C343" s="45"/>
    </row>
    <row r="344" spans="2:3" ht="12.75">
      <c r="B344" s="45"/>
      <c r="C344" s="45"/>
    </row>
    <row r="345" spans="2:3" ht="12.75">
      <c r="B345" s="45"/>
      <c r="C345" s="45"/>
    </row>
    <row r="346" spans="2:3" ht="12.75">
      <c r="B346" s="45"/>
      <c r="C346" s="45"/>
    </row>
    <row r="347" spans="2:3" ht="12.75">
      <c r="B347" s="45"/>
      <c r="C347" s="45"/>
    </row>
    <row r="348" spans="2:3" ht="12.75">
      <c r="B348" s="45"/>
      <c r="C348" s="45"/>
    </row>
    <row r="349" spans="2:3" ht="12.75">
      <c r="B349" s="45"/>
      <c r="C349" s="45"/>
    </row>
    <row r="350" spans="2:3" ht="12.75">
      <c r="B350" s="45"/>
      <c r="C350" s="45"/>
    </row>
    <row r="351" spans="2:3" ht="12.75">
      <c r="B351" s="45"/>
      <c r="C351" s="45"/>
    </row>
    <row r="352" spans="2:3" ht="12.75">
      <c r="B352" s="45"/>
      <c r="C352" s="45"/>
    </row>
    <row r="353" spans="2:3" ht="12.75">
      <c r="B353" s="45"/>
      <c r="C353" s="45"/>
    </row>
    <row r="354" spans="2:3" ht="12.75">
      <c r="B354" s="45"/>
      <c r="C354" s="45"/>
    </row>
    <row r="355" spans="2:3" ht="12.75">
      <c r="B355" s="45"/>
      <c r="C355" s="45"/>
    </row>
    <row r="356" spans="2:3" ht="12.75">
      <c r="B356" s="45"/>
      <c r="C356" s="45"/>
    </row>
    <row r="357" spans="2:3" ht="12.75">
      <c r="B357" s="45"/>
      <c r="C357" s="45"/>
    </row>
    <row r="358" spans="2:3" ht="12.75">
      <c r="B358" s="45"/>
      <c r="C358" s="45"/>
    </row>
    <row r="359" spans="2:3" ht="12.75">
      <c r="B359" s="45"/>
      <c r="C359" s="45"/>
    </row>
    <row r="360" spans="2:3" ht="12.75">
      <c r="B360" s="45"/>
      <c r="C360" s="45"/>
    </row>
    <row r="361" spans="2:3" ht="12.75">
      <c r="B361" s="45"/>
      <c r="C361" s="45"/>
    </row>
    <row r="362" spans="2:3" ht="12.75">
      <c r="B362" s="45"/>
      <c r="C362" s="45"/>
    </row>
    <row r="363" spans="2:3" ht="12.75">
      <c r="B363" s="45"/>
      <c r="C363" s="45"/>
    </row>
    <row r="364" spans="2:3" ht="12.75">
      <c r="B364" s="45"/>
      <c r="C364" s="45"/>
    </row>
    <row r="365" spans="2:3" ht="12.75">
      <c r="B365" s="45"/>
      <c r="C365" s="45"/>
    </row>
    <row r="366" spans="2:3" ht="12.75">
      <c r="B366" s="45"/>
      <c r="C366" s="45"/>
    </row>
    <row r="367" spans="2:3" ht="12.75">
      <c r="B367" s="45"/>
      <c r="C367" s="45"/>
    </row>
    <row r="368" spans="2:3" ht="12.75">
      <c r="B368" s="45"/>
      <c r="C368" s="45"/>
    </row>
    <row r="369" spans="2:3" ht="12.75">
      <c r="B369" s="45"/>
      <c r="C369" s="45"/>
    </row>
    <row r="370" spans="2:3" ht="12.75">
      <c r="B370" s="45"/>
      <c r="C370" s="45"/>
    </row>
    <row r="371" spans="2:3" ht="12.75">
      <c r="B371" s="45"/>
      <c r="C371" s="45"/>
    </row>
    <row r="372" spans="2:3" ht="12.75">
      <c r="B372" s="45"/>
      <c r="C372" s="45"/>
    </row>
    <row r="373" spans="2:3" ht="12.75">
      <c r="B373" s="45"/>
      <c r="C373" s="45"/>
    </row>
    <row r="374" spans="2:3" ht="12.75">
      <c r="B374" s="45"/>
      <c r="C374" s="45"/>
    </row>
    <row r="375" spans="2:3" ht="12.75">
      <c r="B375" s="45"/>
      <c r="C375" s="45"/>
    </row>
    <row r="376" spans="2:3" ht="12.75">
      <c r="B376" s="45"/>
      <c r="C376" s="45"/>
    </row>
    <row r="377" spans="2:3" ht="12.75">
      <c r="B377" s="45"/>
      <c r="C377" s="45"/>
    </row>
    <row r="378" spans="2:3" ht="12.75">
      <c r="B378" s="45"/>
      <c r="C378" s="45"/>
    </row>
    <row r="379" spans="2:3" ht="12.75">
      <c r="B379" s="45"/>
      <c r="C379" s="45"/>
    </row>
    <row r="380" spans="2:3" ht="12.75">
      <c r="B380" s="45"/>
      <c r="C380" s="45"/>
    </row>
    <row r="381" spans="2:3" ht="12.75">
      <c r="B381" s="45"/>
      <c r="C381" s="45"/>
    </row>
    <row r="382" spans="2:3" ht="12.75">
      <c r="B382" s="45"/>
      <c r="C382" s="45"/>
    </row>
    <row r="383" spans="2:3" ht="12.75">
      <c r="B383" s="45"/>
      <c r="C383" s="45"/>
    </row>
    <row r="384" spans="2:3" ht="12.75">
      <c r="B384" s="45"/>
      <c r="C384" s="45"/>
    </row>
    <row r="385" spans="2:3" ht="12.75">
      <c r="B385" s="45"/>
      <c r="C385" s="45"/>
    </row>
    <row r="386" spans="2:3" ht="12.75">
      <c r="B386" s="45"/>
      <c r="C386" s="45"/>
    </row>
    <row r="387" spans="2:3" ht="12.75">
      <c r="B387" s="45"/>
      <c r="C387" s="45"/>
    </row>
    <row r="388" spans="2:3" ht="12.75">
      <c r="B388" s="45"/>
      <c r="C388" s="45"/>
    </row>
    <row r="389" spans="2:3" ht="12.75">
      <c r="B389" s="45"/>
      <c r="C389" s="45"/>
    </row>
    <row r="390" spans="2:3" ht="12.75">
      <c r="B390" s="45"/>
      <c r="C390" s="45"/>
    </row>
    <row r="391" spans="2:3" ht="12.75">
      <c r="B391" s="45"/>
      <c r="C391" s="45"/>
    </row>
    <row r="392" spans="2:3" ht="12.75">
      <c r="B392" s="45"/>
      <c r="C392" s="45"/>
    </row>
    <row r="393" spans="2:3" ht="12.75">
      <c r="B393" s="45"/>
      <c r="C393" s="45"/>
    </row>
    <row r="394" spans="2:3" ht="12.75">
      <c r="B394" s="45"/>
      <c r="C394" s="45"/>
    </row>
    <row r="395" spans="2:3" ht="12.75">
      <c r="B395" s="45"/>
      <c r="C395" s="45"/>
    </row>
    <row r="396" spans="2:3" ht="12.75">
      <c r="B396" s="45"/>
      <c r="C396" s="45"/>
    </row>
    <row r="397" spans="2:3" ht="12.75">
      <c r="B397" s="45"/>
      <c r="C397" s="45"/>
    </row>
    <row r="398" spans="2:3" ht="12.75">
      <c r="B398" s="45"/>
      <c r="C398" s="45"/>
    </row>
    <row r="399" spans="2:3" ht="12.75">
      <c r="B399" s="45"/>
      <c r="C399" s="45"/>
    </row>
    <row r="400" spans="2:3" ht="12.75">
      <c r="B400" s="45"/>
      <c r="C400" s="45"/>
    </row>
    <row r="401" spans="2:3" ht="12.75">
      <c r="B401" s="45"/>
      <c r="C401" s="45"/>
    </row>
    <row r="402" spans="2:3" ht="12.75">
      <c r="B402" s="45"/>
      <c r="C402" s="45"/>
    </row>
    <row r="403" spans="2:3" ht="12.75">
      <c r="B403" s="45"/>
      <c r="C403" s="45"/>
    </row>
    <row r="404" spans="2:3" ht="12.75">
      <c r="B404" s="45"/>
      <c r="C404" s="45"/>
    </row>
    <row r="405" spans="2:3" ht="12.75">
      <c r="B405" s="45"/>
      <c r="C405" s="45"/>
    </row>
    <row r="406" spans="2:3" ht="12.75">
      <c r="B406" s="45"/>
      <c r="C406" s="45"/>
    </row>
    <row r="407" spans="2:3" ht="12.75">
      <c r="B407" s="45"/>
      <c r="C407" s="45"/>
    </row>
    <row r="408" spans="2:3" ht="12.75">
      <c r="B408" s="45"/>
      <c r="C408" s="45"/>
    </row>
    <row r="409" spans="2:3" ht="12.75">
      <c r="B409" s="45"/>
      <c r="C409" s="45"/>
    </row>
    <row r="410" spans="2:3" ht="12.75">
      <c r="B410" s="45"/>
      <c r="C410" s="45"/>
    </row>
    <row r="411" spans="2:3" ht="12.75">
      <c r="B411" s="45"/>
      <c r="C411" s="45"/>
    </row>
    <row r="412" spans="2:3" ht="12.75">
      <c r="B412" s="45"/>
      <c r="C412" s="45"/>
    </row>
    <row r="413" spans="2:3" ht="12.75">
      <c r="B413" s="45"/>
      <c r="C413" s="45"/>
    </row>
    <row r="414" spans="2:3" ht="12.75">
      <c r="B414" s="45"/>
      <c r="C414" s="45"/>
    </row>
    <row r="415" spans="2:3" ht="12.75">
      <c r="B415" s="45"/>
      <c r="C415" s="45"/>
    </row>
    <row r="416" spans="2:3" ht="12.75">
      <c r="B416" s="45"/>
      <c r="C416" s="45"/>
    </row>
    <row r="417" spans="2:3" ht="12.75">
      <c r="B417" s="45"/>
      <c r="C417" s="45"/>
    </row>
    <row r="418" spans="2:3" ht="12.75">
      <c r="B418" s="45"/>
      <c r="C418" s="45"/>
    </row>
    <row r="419" spans="2:3" ht="12.75">
      <c r="B419" s="45"/>
      <c r="C419" s="45"/>
    </row>
    <row r="420" spans="2:3" ht="12.75">
      <c r="B420" s="45"/>
      <c r="C420" s="45"/>
    </row>
    <row r="421" spans="2:3" ht="12.75">
      <c r="B421" s="45"/>
      <c r="C421" s="45"/>
    </row>
    <row r="422" spans="2:3" ht="12.75">
      <c r="B422" s="45"/>
      <c r="C422" s="45"/>
    </row>
    <row r="423" spans="2:3" ht="12.75">
      <c r="B423" s="45"/>
      <c r="C423" s="45"/>
    </row>
    <row r="424" spans="2:3" ht="12.75">
      <c r="B424" s="45"/>
      <c r="C424" s="45"/>
    </row>
    <row r="425" spans="2:3" ht="12.75">
      <c r="B425" s="45"/>
      <c r="C425" s="45"/>
    </row>
    <row r="426" spans="2:3" ht="12.75">
      <c r="B426" s="45"/>
      <c r="C426" s="45"/>
    </row>
    <row r="427" spans="2:3" ht="12.75">
      <c r="B427" s="45"/>
      <c r="C427" s="45"/>
    </row>
    <row r="428" spans="2:3" ht="12.75">
      <c r="B428" s="45"/>
      <c r="C428" s="45"/>
    </row>
    <row r="429" spans="2:3" ht="12.75">
      <c r="B429" s="45"/>
      <c r="C429" s="45"/>
    </row>
    <row r="430" spans="2:3" ht="12.75">
      <c r="B430" s="45"/>
      <c r="C430" s="45"/>
    </row>
    <row r="431" spans="2:3" ht="12.75">
      <c r="B431" s="45"/>
      <c r="C431" s="45"/>
    </row>
    <row r="432" spans="2:3" ht="12.75">
      <c r="B432" s="45"/>
      <c r="C432" s="45"/>
    </row>
    <row r="433" spans="2:3" ht="12.75">
      <c r="B433" s="45"/>
      <c r="C433" s="45"/>
    </row>
    <row r="434" spans="2:3" ht="12.75">
      <c r="B434" s="45"/>
      <c r="C434" s="45"/>
    </row>
    <row r="435" spans="2:3" ht="12.75">
      <c r="B435" s="45"/>
      <c r="C435" s="45"/>
    </row>
    <row r="436" spans="2:3" ht="12.75">
      <c r="B436" s="45"/>
      <c r="C436" s="45"/>
    </row>
    <row r="437" spans="2:3" ht="12.75">
      <c r="B437" s="45"/>
      <c r="C437" s="45"/>
    </row>
    <row r="438" spans="2:3" ht="12.75">
      <c r="B438" s="45"/>
      <c r="C438" s="45"/>
    </row>
    <row r="439" spans="2:3" ht="12.75">
      <c r="B439" s="45"/>
      <c r="C439" s="45"/>
    </row>
    <row r="440" spans="2:3" ht="12.75">
      <c r="B440" s="45"/>
      <c r="C440" s="45"/>
    </row>
    <row r="441" spans="2:3" ht="12.75">
      <c r="B441" s="45"/>
      <c r="C441" s="45"/>
    </row>
    <row r="442" spans="2:3" ht="12.75">
      <c r="B442" s="45"/>
      <c r="C442" s="45"/>
    </row>
    <row r="443" spans="2:3" ht="12.75">
      <c r="B443" s="45"/>
      <c r="C443" s="45"/>
    </row>
    <row r="444" spans="2:3" ht="12.75">
      <c r="B444" s="45"/>
      <c r="C444" s="45"/>
    </row>
    <row r="445" spans="2:3" ht="12.75">
      <c r="B445" s="45"/>
      <c r="C445" s="45"/>
    </row>
    <row r="446" spans="2:3" ht="12.75">
      <c r="B446" s="45"/>
      <c r="C446" s="45"/>
    </row>
    <row r="447" spans="2:3" ht="12.75">
      <c r="B447" s="45"/>
      <c r="C447" s="45"/>
    </row>
    <row r="448" spans="2:3" ht="12.75">
      <c r="B448" s="45"/>
      <c r="C448" s="45"/>
    </row>
    <row r="449" spans="2:3" ht="12.75">
      <c r="B449" s="45"/>
      <c r="C449" s="45"/>
    </row>
    <row r="450" spans="2:3" ht="12.75">
      <c r="B450" s="45"/>
      <c r="C450" s="45"/>
    </row>
    <row r="451" spans="2:3" ht="12.75">
      <c r="B451" s="45"/>
      <c r="C451" s="45"/>
    </row>
    <row r="452" spans="2:3" ht="12.75">
      <c r="B452" s="45"/>
      <c r="C452" s="45"/>
    </row>
    <row r="453" spans="2:3" ht="12.75">
      <c r="B453" s="45"/>
      <c r="C453" s="45"/>
    </row>
    <row r="454" spans="2:3" ht="12.75">
      <c r="B454" s="45"/>
      <c r="C454" s="45"/>
    </row>
    <row r="455" spans="2:3" ht="12.75">
      <c r="B455" s="45"/>
      <c r="C455" s="45"/>
    </row>
    <row r="456" spans="2:3" ht="12.75">
      <c r="B456" s="45"/>
      <c r="C456" s="45"/>
    </row>
    <row r="457" spans="2:3" ht="12.75">
      <c r="B457" s="45"/>
      <c r="C457" s="45"/>
    </row>
    <row r="458" spans="2:3" ht="12.75">
      <c r="B458" s="45"/>
      <c r="C458" s="45"/>
    </row>
    <row r="459" spans="2:3" ht="12.75">
      <c r="B459" s="45"/>
      <c r="C459" s="45"/>
    </row>
    <row r="460" spans="2:3" ht="12.75">
      <c r="B460" s="45"/>
      <c r="C460" s="45"/>
    </row>
    <row r="461" spans="2:3" ht="12.75">
      <c r="B461" s="45"/>
      <c r="C461" s="45"/>
    </row>
    <row r="462" spans="2:3" ht="12.75">
      <c r="B462" s="45"/>
      <c r="C462" s="45"/>
    </row>
    <row r="463" spans="2:3" ht="12.75">
      <c r="B463" s="45"/>
      <c r="C463" s="45"/>
    </row>
    <row r="464" spans="2:3" ht="12.75">
      <c r="B464" s="45"/>
      <c r="C464" s="45"/>
    </row>
    <row r="465" spans="2:3" ht="12.75">
      <c r="B465" s="45"/>
      <c r="C465" s="45"/>
    </row>
    <row r="466" spans="2:3" ht="12.75">
      <c r="B466" s="45"/>
      <c r="C466" s="45"/>
    </row>
    <row r="467" spans="2:3" ht="12.75">
      <c r="B467" s="45"/>
      <c r="C467" s="45"/>
    </row>
    <row r="468" spans="2:3" ht="12.75">
      <c r="B468" s="45"/>
      <c r="C468" s="45"/>
    </row>
    <row r="469" spans="2:3" ht="12.75">
      <c r="B469" s="45"/>
      <c r="C469" s="45"/>
    </row>
    <row r="470" spans="2:3" ht="12.75">
      <c r="B470" s="45"/>
      <c r="C470" s="45"/>
    </row>
    <row r="471" spans="2:3" ht="12.75">
      <c r="B471" s="45"/>
      <c r="C471" s="45"/>
    </row>
    <row r="472" spans="2:3" ht="12.75">
      <c r="B472" s="45"/>
      <c r="C472" s="45"/>
    </row>
    <row r="473" spans="2:3" ht="12.75">
      <c r="B473" s="45"/>
      <c r="C473" s="45"/>
    </row>
    <row r="474" spans="2:3" ht="12.75">
      <c r="B474" s="45"/>
      <c r="C474" s="45"/>
    </row>
    <row r="475" spans="2:3" ht="12.75">
      <c r="B475" s="45"/>
      <c r="C475" s="45"/>
    </row>
    <row r="476" spans="2:3" ht="12.75">
      <c r="B476" s="45"/>
      <c r="C476" s="45"/>
    </row>
    <row r="477" spans="2:3" ht="12.75">
      <c r="B477" s="45"/>
      <c r="C477" s="45"/>
    </row>
    <row r="478" spans="2:3" ht="12.75">
      <c r="B478" s="45"/>
      <c r="C478" s="45"/>
    </row>
    <row r="479" spans="2:3" ht="12.75">
      <c r="B479" s="45"/>
      <c r="C479" s="45"/>
    </row>
    <row r="480" spans="2:3" ht="12.75">
      <c r="B480" s="45"/>
      <c r="C480" s="45"/>
    </row>
    <row r="481" spans="2:3" ht="12.75">
      <c r="B481" s="45"/>
      <c r="C481" s="45"/>
    </row>
    <row r="482" spans="2:3" ht="12.75">
      <c r="B482" s="45"/>
      <c r="C482" s="45"/>
    </row>
    <row r="483" spans="2:3" ht="12.75">
      <c r="B483" s="45"/>
      <c r="C483" s="45"/>
    </row>
    <row r="484" spans="2:3" ht="12.75">
      <c r="B484" s="45"/>
      <c r="C484" s="45"/>
    </row>
    <row r="485" spans="2:3" ht="12.75">
      <c r="B485" s="45"/>
      <c r="C485" s="45"/>
    </row>
    <row r="486" spans="2:3" ht="12.75">
      <c r="B486" s="45"/>
      <c r="C486" s="45"/>
    </row>
    <row r="487" spans="2:3" ht="12.75">
      <c r="B487" s="45"/>
      <c r="C487" s="45"/>
    </row>
    <row r="488" spans="2:3" ht="12.75">
      <c r="B488" s="45"/>
      <c r="C488" s="45"/>
    </row>
    <row r="489" spans="2:3" ht="12.75">
      <c r="B489" s="45"/>
      <c r="C489" s="45"/>
    </row>
    <row r="490" spans="2:3" ht="12.75">
      <c r="B490" s="45"/>
      <c r="C490" s="45"/>
    </row>
    <row r="491" spans="2:3" ht="12.75">
      <c r="B491" s="45"/>
      <c r="C491" s="45"/>
    </row>
    <row r="492" spans="2:3" ht="12.75">
      <c r="B492" s="45"/>
      <c r="C492" s="45"/>
    </row>
    <row r="493" spans="2:3" ht="12.75">
      <c r="B493" s="45"/>
      <c r="C493" s="45"/>
    </row>
    <row r="494" spans="2:3" ht="12.75">
      <c r="B494" s="45"/>
      <c r="C494" s="45"/>
    </row>
    <row r="495" spans="2:3" ht="12.75">
      <c r="B495" s="45"/>
      <c r="C495" s="45"/>
    </row>
    <row r="496" spans="2:3" ht="12.75">
      <c r="B496" s="45"/>
      <c r="C496" s="45"/>
    </row>
    <row r="497" spans="2:3" ht="12.75">
      <c r="B497" s="45"/>
      <c r="C497" s="45"/>
    </row>
    <row r="498" spans="2:3" ht="12.75">
      <c r="B498" s="45"/>
      <c r="C498" s="45"/>
    </row>
    <row r="499" spans="2:3" ht="12.75">
      <c r="B499" s="45"/>
      <c r="C499" s="45"/>
    </row>
    <row r="500" spans="2:3" ht="12.75">
      <c r="B500" s="45"/>
      <c r="C500" s="45"/>
    </row>
    <row r="501" spans="2:3" ht="12.75">
      <c r="B501" s="45"/>
      <c r="C501" s="45"/>
    </row>
    <row r="502" spans="2:3" ht="12.75">
      <c r="B502" s="45"/>
      <c r="C502" s="45"/>
    </row>
    <row r="503" spans="2:3" ht="12.75">
      <c r="B503" s="45"/>
      <c r="C503" s="45"/>
    </row>
    <row r="504" spans="2:3" ht="12.75">
      <c r="B504" s="45"/>
      <c r="C504" s="45"/>
    </row>
    <row r="505" spans="2:3" ht="12.75">
      <c r="B505" s="45"/>
      <c r="C505" s="45"/>
    </row>
    <row r="506" spans="2:3" ht="12.75">
      <c r="B506" s="45"/>
      <c r="C506" s="45"/>
    </row>
    <row r="507" spans="2:3" ht="12.75">
      <c r="B507" s="45"/>
      <c r="C507" s="45"/>
    </row>
    <row r="508" spans="2:3" ht="12.75">
      <c r="B508" s="45"/>
      <c r="C508" s="45"/>
    </row>
    <row r="509" spans="2:3" ht="12.75">
      <c r="B509" s="45"/>
      <c r="C509" s="45"/>
    </row>
    <row r="510" spans="2:3" ht="12.75">
      <c r="B510" s="45"/>
      <c r="C510" s="45"/>
    </row>
    <row r="511" spans="2:3" ht="12.75">
      <c r="B511" s="45"/>
      <c r="C511" s="45"/>
    </row>
    <row r="512" spans="2:3" ht="12.75">
      <c r="B512" s="45"/>
      <c r="C512" s="45"/>
    </row>
    <row r="513" spans="2:3" ht="12.75">
      <c r="B513" s="45"/>
      <c r="C513" s="45"/>
    </row>
    <row r="514" spans="2:3" ht="12.75">
      <c r="B514" s="45"/>
      <c r="C514" s="45"/>
    </row>
    <row r="515" spans="2:3" ht="12.75">
      <c r="B515" s="45"/>
      <c r="C515" s="45"/>
    </row>
    <row r="516" spans="2:3" ht="12.75">
      <c r="B516" s="45"/>
      <c r="C516" s="45"/>
    </row>
    <row r="517" spans="2:3" ht="12.75">
      <c r="B517" s="45"/>
      <c r="C517" s="45"/>
    </row>
    <row r="518" spans="2:3" ht="12.75">
      <c r="B518" s="45"/>
      <c r="C518" s="45"/>
    </row>
    <row r="519" spans="2:3" ht="12.75">
      <c r="B519" s="45"/>
      <c r="C519" s="45"/>
    </row>
    <row r="520" spans="2:3" ht="12.75">
      <c r="B520" s="45"/>
      <c r="C520" s="45"/>
    </row>
    <row r="521" spans="2:3" ht="12.75">
      <c r="B521" s="45"/>
      <c r="C521" s="45"/>
    </row>
    <row r="522" spans="2:3" ht="12.75">
      <c r="B522" s="45"/>
      <c r="C522" s="45"/>
    </row>
    <row r="523" spans="2:3" ht="12.75">
      <c r="B523" s="45"/>
      <c r="C523" s="45"/>
    </row>
    <row r="524" spans="2:3" ht="12.75">
      <c r="B524" s="45"/>
      <c r="C524" s="45"/>
    </row>
    <row r="525" spans="2:3" ht="12.75">
      <c r="B525" s="45"/>
      <c r="C525" s="45"/>
    </row>
    <row r="526" spans="2:3" ht="12.75">
      <c r="B526" s="45"/>
      <c r="C526" s="45"/>
    </row>
    <row r="527" spans="2:3" ht="12.75">
      <c r="B527" s="45"/>
      <c r="C527" s="45"/>
    </row>
    <row r="528" spans="2:3" ht="12.75">
      <c r="B528" s="45"/>
      <c r="C528" s="45"/>
    </row>
    <row r="529" spans="2:3" ht="12.75">
      <c r="B529" s="45"/>
      <c r="C529" s="45"/>
    </row>
    <row r="530" spans="2:3" ht="12.75">
      <c r="B530" s="45"/>
      <c r="C530" s="45"/>
    </row>
    <row r="531" spans="2:3" ht="12.75">
      <c r="B531" s="45"/>
      <c r="C531" s="45"/>
    </row>
    <row r="532" spans="2:3" ht="12.75">
      <c r="B532" s="45"/>
      <c r="C532" s="45"/>
    </row>
    <row r="533" spans="2:3" ht="12.75">
      <c r="B533" s="45"/>
      <c r="C533" s="45"/>
    </row>
    <row r="534" spans="2:3" ht="12.75">
      <c r="B534" s="45"/>
      <c r="C534" s="45"/>
    </row>
    <row r="535" spans="2:3" ht="12.75">
      <c r="B535" s="45"/>
      <c r="C535" s="45"/>
    </row>
    <row r="536" spans="2:3" ht="12.75">
      <c r="B536" s="45"/>
      <c r="C536" s="45"/>
    </row>
    <row r="537" spans="2:3" ht="12.75">
      <c r="B537" s="45"/>
      <c r="C537" s="45"/>
    </row>
    <row r="538" spans="2:3" ht="12.75">
      <c r="B538" s="45"/>
      <c r="C538" s="45"/>
    </row>
    <row r="539" spans="2:3" ht="12.75">
      <c r="B539" s="45"/>
      <c r="C539" s="45"/>
    </row>
    <row r="540" spans="2:3" ht="12.75">
      <c r="B540" s="45"/>
      <c r="C540" s="45"/>
    </row>
    <row r="541" spans="2:3" ht="12.75">
      <c r="B541" s="45"/>
      <c r="C541" s="45"/>
    </row>
    <row r="542" spans="2:3" ht="12.75">
      <c r="B542" s="45"/>
      <c r="C542" s="45"/>
    </row>
    <row r="543" spans="2:3" ht="12.75">
      <c r="B543" s="45"/>
      <c r="C543" s="45"/>
    </row>
    <row r="544" spans="2:3" ht="12.75">
      <c r="B544" s="45"/>
      <c r="C544" s="45"/>
    </row>
    <row r="545" spans="2:3" ht="12.75">
      <c r="B545" s="45"/>
      <c r="C545" s="45"/>
    </row>
    <row r="546" spans="2:3" ht="12.75">
      <c r="B546" s="45"/>
      <c r="C546" s="45"/>
    </row>
    <row r="547" spans="2:3" ht="12.75">
      <c r="B547" s="45"/>
      <c r="C547" s="45"/>
    </row>
    <row r="548" spans="2:3" ht="12.75">
      <c r="B548" s="45"/>
      <c r="C548" s="45"/>
    </row>
    <row r="549" spans="2:3" ht="12.75">
      <c r="B549" s="45"/>
      <c r="C549" s="45"/>
    </row>
    <row r="550" spans="2:3" ht="12.75">
      <c r="B550" s="45"/>
      <c r="C550" s="45"/>
    </row>
    <row r="551" spans="2:3" ht="12.75">
      <c r="B551" s="45"/>
      <c r="C551" s="45"/>
    </row>
    <row r="552" spans="2:3" ht="12.75">
      <c r="B552" s="45"/>
      <c r="C552" s="45"/>
    </row>
    <row r="553" spans="2:3" ht="12.75">
      <c r="B553" s="45"/>
      <c r="C553" s="45"/>
    </row>
    <row r="554" spans="2:3" ht="12.75">
      <c r="B554" s="45"/>
      <c r="C554" s="45"/>
    </row>
    <row r="555" spans="2:3" ht="12.75">
      <c r="B555" s="45"/>
      <c r="C555" s="45"/>
    </row>
    <row r="556" spans="2:3" ht="12.75">
      <c r="B556" s="45"/>
      <c r="C556" s="45"/>
    </row>
    <row r="557" spans="2:3" ht="12.75">
      <c r="B557" s="45"/>
      <c r="C557" s="45"/>
    </row>
    <row r="558" spans="2:3" ht="12.75">
      <c r="B558" s="45"/>
      <c r="C558" s="45"/>
    </row>
    <row r="559" spans="2:3" ht="12.75">
      <c r="B559" s="45"/>
      <c r="C559" s="45"/>
    </row>
    <row r="560" spans="2:3" ht="12.75">
      <c r="B560" s="45"/>
      <c r="C560" s="45"/>
    </row>
    <row r="561" spans="2:3" ht="12.75">
      <c r="B561" s="45"/>
      <c r="C561" s="45"/>
    </row>
    <row r="562" spans="2:3" ht="12.75">
      <c r="B562" s="45"/>
      <c r="C562" s="45"/>
    </row>
    <row r="563" spans="2:3" ht="12.75">
      <c r="B563" s="45"/>
      <c r="C563" s="45"/>
    </row>
    <row r="564" spans="2:3" ht="12.75">
      <c r="B564" s="45"/>
      <c r="C564" s="45"/>
    </row>
    <row r="565" spans="2:3" ht="12.75">
      <c r="B565" s="45"/>
      <c r="C565" s="45"/>
    </row>
    <row r="566" spans="2:3" ht="12.75">
      <c r="B566" s="45"/>
      <c r="C566" s="45"/>
    </row>
    <row r="567" spans="2:3" ht="12.75">
      <c r="B567" s="45"/>
      <c r="C567" s="45"/>
    </row>
    <row r="568" spans="2:3" ht="12.75">
      <c r="B568" s="45"/>
      <c r="C568" s="45"/>
    </row>
    <row r="569" spans="2:3" ht="12.75">
      <c r="B569" s="45"/>
      <c r="C569" s="45"/>
    </row>
    <row r="570" spans="2:3" ht="12.75">
      <c r="B570" s="45"/>
      <c r="C570" s="45"/>
    </row>
    <row r="571" spans="2:3" ht="12.75">
      <c r="B571" s="45"/>
      <c r="C571" s="45"/>
    </row>
    <row r="572" spans="2:3" ht="12.75">
      <c r="B572" s="45"/>
      <c r="C572" s="45"/>
    </row>
    <row r="573" spans="2:3" ht="12.75">
      <c r="B573" s="45"/>
      <c r="C573" s="45"/>
    </row>
    <row r="574" spans="2:3" ht="12.75">
      <c r="B574" s="45"/>
      <c r="C574" s="45"/>
    </row>
    <row r="575" spans="2:3" ht="12.75">
      <c r="B575" s="45"/>
      <c r="C575" s="45"/>
    </row>
    <row r="576" spans="2:3" ht="12.75">
      <c r="B576" s="45"/>
      <c r="C576" s="45"/>
    </row>
    <row r="577" spans="2:3" ht="12.75">
      <c r="B577" s="45"/>
      <c r="C577" s="45"/>
    </row>
    <row r="578" spans="2:3" ht="12.75">
      <c r="B578" s="45"/>
      <c r="C578" s="45"/>
    </row>
    <row r="579" spans="2:3" ht="12.75">
      <c r="B579" s="45"/>
      <c r="C579" s="45"/>
    </row>
    <row r="580" spans="2:3" ht="12.75">
      <c r="B580" s="45"/>
      <c r="C580" s="45"/>
    </row>
    <row r="581" spans="2:3" ht="12.75">
      <c r="B581" s="45"/>
      <c r="C581" s="45"/>
    </row>
    <row r="582" spans="2:3" ht="12.75">
      <c r="B582" s="45"/>
      <c r="C582" s="45"/>
    </row>
    <row r="583" spans="2:3" ht="12.75">
      <c r="B583" s="45"/>
      <c r="C583" s="45"/>
    </row>
    <row r="584" spans="2:3" ht="12.75">
      <c r="B584" s="45"/>
      <c r="C584" s="45"/>
    </row>
    <row r="585" spans="2:3" ht="12.75">
      <c r="B585" s="45"/>
      <c r="C585" s="45"/>
    </row>
    <row r="586" spans="2:3" ht="12.75">
      <c r="B586" s="45"/>
      <c r="C586" s="45"/>
    </row>
    <row r="587" spans="2:3" ht="12.75">
      <c r="B587" s="45"/>
      <c r="C587" s="45"/>
    </row>
    <row r="588" spans="2:3" ht="12.75">
      <c r="B588" s="45"/>
      <c r="C588" s="45"/>
    </row>
    <row r="589" spans="2:3" ht="12.75">
      <c r="B589" s="45"/>
      <c r="C589" s="45"/>
    </row>
    <row r="590" spans="2:3" ht="12.75">
      <c r="B590" s="45"/>
      <c r="C590" s="45"/>
    </row>
    <row r="591" spans="2:3" ht="12.75">
      <c r="B591" s="45"/>
      <c r="C591" s="45"/>
    </row>
    <row r="592" spans="2:3" ht="12.75">
      <c r="B592" s="45"/>
      <c r="C592" s="45"/>
    </row>
    <row r="593" spans="2:3" ht="12.75">
      <c r="B593" s="45"/>
      <c r="C593" s="45"/>
    </row>
    <row r="594" spans="2:3" ht="12.75">
      <c r="B594" s="45"/>
      <c r="C594" s="45"/>
    </row>
    <row r="595" spans="2:3" ht="12.75">
      <c r="B595" s="45"/>
      <c r="C595" s="45"/>
    </row>
    <row r="596" spans="2:3" ht="12.75">
      <c r="B596" s="45"/>
      <c r="C596" s="45"/>
    </row>
    <row r="597" spans="2:3" ht="12.75">
      <c r="B597" s="45"/>
      <c r="C597" s="45"/>
    </row>
    <row r="598" spans="2:3" ht="12.75">
      <c r="B598" s="45"/>
      <c r="C598" s="45"/>
    </row>
    <row r="599" spans="2:3" ht="12.75">
      <c r="B599" s="45"/>
      <c r="C599" s="45"/>
    </row>
    <row r="600" spans="2:3" ht="12.75">
      <c r="B600" s="45"/>
      <c r="C600" s="45"/>
    </row>
    <row r="601" spans="2:3" ht="12.75">
      <c r="B601" s="45"/>
      <c r="C601" s="45"/>
    </row>
    <row r="602" spans="2:3" ht="12.75">
      <c r="B602" s="45"/>
      <c r="C602" s="45"/>
    </row>
    <row r="603" spans="2:3" ht="12.75">
      <c r="B603" s="45"/>
      <c r="C603" s="45"/>
    </row>
    <row r="604" spans="2:3" ht="12.75">
      <c r="B604" s="45"/>
      <c r="C604" s="45"/>
    </row>
    <row r="605" spans="2:3" ht="12.75">
      <c r="B605" s="45"/>
      <c r="C605" s="45"/>
    </row>
    <row r="606" spans="2:3" ht="12.75">
      <c r="B606" s="45"/>
      <c r="C606" s="45"/>
    </row>
    <row r="607" spans="2:3" ht="12.75">
      <c r="B607" s="45"/>
      <c r="C607" s="45"/>
    </row>
    <row r="608" spans="2:3" ht="12.75">
      <c r="B608" s="45"/>
      <c r="C608" s="45"/>
    </row>
    <row r="609" spans="2:3" ht="12.75">
      <c r="B609" s="45"/>
      <c r="C609" s="45"/>
    </row>
    <row r="610" spans="2:3" ht="12.75">
      <c r="B610" s="45"/>
      <c r="C610" s="45"/>
    </row>
    <row r="611" spans="2:3" ht="12.75">
      <c r="B611" s="45"/>
      <c r="C611" s="45"/>
    </row>
    <row r="612" spans="2:3" ht="12.75">
      <c r="B612" s="45"/>
      <c r="C612" s="45"/>
    </row>
    <row r="613" spans="2:3" ht="12.75">
      <c r="B613" s="45"/>
      <c r="C613" s="45"/>
    </row>
    <row r="614" spans="2:3" ht="12.75">
      <c r="B614" s="45"/>
      <c r="C614" s="45"/>
    </row>
    <row r="615" spans="2:3" ht="12.75">
      <c r="B615" s="45"/>
      <c r="C615" s="45"/>
    </row>
    <row r="616" spans="2:3" ht="12.75">
      <c r="B616" s="45"/>
      <c r="C616" s="45"/>
    </row>
    <row r="617" spans="2:3" ht="12.75">
      <c r="B617" s="45"/>
      <c r="C617" s="45"/>
    </row>
    <row r="618" spans="2:3" ht="12.75">
      <c r="B618" s="45"/>
      <c r="C618" s="45"/>
    </row>
    <row r="619" spans="2:3" ht="12.75">
      <c r="B619" s="45"/>
      <c r="C619" s="45"/>
    </row>
    <row r="620" spans="2:3" ht="12.75">
      <c r="B620" s="45"/>
      <c r="C620" s="45"/>
    </row>
    <row r="621" spans="2:3" ht="12.75">
      <c r="B621" s="45"/>
      <c r="C621" s="45"/>
    </row>
    <row r="622" spans="2:3" ht="12.75">
      <c r="B622" s="45"/>
      <c r="C622" s="45"/>
    </row>
    <row r="623" spans="2:3" ht="12.75">
      <c r="B623" s="45"/>
      <c r="C623" s="45"/>
    </row>
    <row r="624" spans="2:3" ht="12.75">
      <c r="B624" s="45"/>
      <c r="C624" s="45"/>
    </row>
    <row r="625" spans="2:3" ht="12.75">
      <c r="B625" s="45"/>
      <c r="C625" s="45"/>
    </row>
    <row r="626" spans="2:3" ht="12.75">
      <c r="B626" s="45"/>
      <c r="C626" s="45"/>
    </row>
    <row r="627" spans="2:3" ht="12.75">
      <c r="B627" s="45"/>
      <c r="C627" s="45"/>
    </row>
    <row r="628" spans="2:3" ht="12.75">
      <c r="B628" s="45"/>
      <c r="C628" s="45"/>
    </row>
    <row r="629" spans="2:3" ht="12.75">
      <c r="B629" s="45"/>
      <c r="C629" s="45"/>
    </row>
    <row r="630" spans="2:3" ht="12.75">
      <c r="B630" s="45"/>
      <c r="C630" s="45"/>
    </row>
    <row r="631" spans="2:3" ht="12.75">
      <c r="B631" s="45"/>
      <c r="C631" s="45"/>
    </row>
    <row r="632" spans="2:3" ht="12.75">
      <c r="B632" s="45"/>
      <c r="C632" s="45"/>
    </row>
    <row r="633" spans="2:3" ht="12.75">
      <c r="B633" s="45"/>
      <c r="C633" s="45"/>
    </row>
    <row r="634" spans="2:3" ht="12.75">
      <c r="B634" s="45"/>
      <c r="C634" s="45"/>
    </row>
    <row r="635" spans="2:3" ht="12.75">
      <c r="B635" s="45"/>
      <c r="C635" s="45"/>
    </row>
    <row r="636" spans="2:3" ht="12.75">
      <c r="B636" s="45"/>
      <c r="C636" s="45"/>
    </row>
    <row r="637" spans="2:3" ht="12.75">
      <c r="B637" s="45"/>
      <c r="C637" s="45"/>
    </row>
    <row r="638" spans="2:3" ht="12.75">
      <c r="B638" s="45"/>
      <c r="C638" s="45"/>
    </row>
    <row r="639" spans="2:3" ht="12.75">
      <c r="B639" s="45"/>
      <c r="C639" s="45"/>
    </row>
    <row r="640" spans="2:3" ht="12.75">
      <c r="B640" s="45"/>
      <c r="C640" s="45"/>
    </row>
    <row r="641" spans="2:3" ht="12.75">
      <c r="B641" s="45"/>
      <c r="C641" s="45"/>
    </row>
    <row r="642" spans="2:3" ht="12.75">
      <c r="B642" s="45"/>
      <c r="C642" s="45"/>
    </row>
    <row r="643" spans="2:3" ht="12.75">
      <c r="B643" s="45"/>
      <c r="C643" s="45"/>
    </row>
    <row r="644" spans="2:3" ht="12.75">
      <c r="B644" s="45"/>
      <c r="C644" s="45"/>
    </row>
    <row r="645" spans="2:3" ht="12.75">
      <c r="B645" s="45"/>
      <c r="C645" s="45"/>
    </row>
    <row r="646" spans="2:3" ht="12.75">
      <c r="B646" s="45"/>
      <c r="C646" s="45"/>
    </row>
    <row r="647" spans="2:3" ht="12.75">
      <c r="B647" s="45"/>
      <c r="C647" s="45"/>
    </row>
    <row r="648" spans="2:3" ht="12.75">
      <c r="B648" s="45"/>
      <c r="C648" s="45"/>
    </row>
    <row r="649" spans="2:3" ht="12.75">
      <c r="B649" s="45"/>
      <c r="C649" s="45"/>
    </row>
    <row r="650" spans="2:3" ht="12.75">
      <c r="B650" s="45"/>
      <c r="C650" s="45"/>
    </row>
    <row r="651" spans="2:3" ht="12.75">
      <c r="B651" s="45"/>
      <c r="C651" s="45"/>
    </row>
    <row r="652" spans="2:3" ht="12.75">
      <c r="B652" s="45"/>
      <c r="C652" s="45"/>
    </row>
    <row r="653" spans="2:3" ht="12.75">
      <c r="B653" s="45"/>
      <c r="C653" s="45"/>
    </row>
    <row r="654" spans="2:3" ht="12.75">
      <c r="B654" s="45"/>
      <c r="C654" s="45"/>
    </row>
    <row r="655" spans="2:3" ht="12.75">
      <c r="B655" s="45"/>
      <c r="C655" s="45"/>
    </row>
    <row r="656" spans="2:3" ht="12.75">
      <c r="B656" s="45"/>
      <c r="C656" s="45"/>
    </row>
    <row r="657" spans="2:3" ht="12.75">
      <c r="B657" s="45"/>
      <c r="C657" s="45"/>
    </row>
    <row r="658" spans="2:3" ht="12.75">
      <c r="B658" s="45"/>
      <c r="C658" s="45"/>
    </row>
    <row r="659" spans="2:3" ht="12.75">
      <c r="B659" s="45"/>
      <c r="C659" s="45"/>
    </row>
    <row r="660" spans="2:3" ht="12.75">
      <c r="B660" s="45"/>
      <c r="C660" s="45"/>
    </row>
    <row r="661" spans="2:3" ht="12.75">
      <c r="B661" s="45"/>
      <c r="C661" s="45"/>
    </row>
    <row r="662" spans="2:3" ht="12.75">
      <c r="B662" s="45"/>
      <c r="C662" s="45"/>
    </row>
    <row r="663" spans="2:3" ht="12.75">
      <c r="B663" s="45"/>
      <c r="C663" s="45"/>
    </row>
    <row r="664" spans="2:3" ht="12.75">
      <c r="B664" s="45"/>
      <c r="C664" s="45"/>
    </row>
    <row r="665" spans="2:3" ht="12.75">
      <c r="B665" s="45"/>
      <c r="C665" s="45"/>
    </row>
    <row r="666" spans="2:3" ht="12.75">
      <c r="B666" s="45"/>
      <c r="C666" s="45"/>
    </row>
    <row r="667" spans="2:3" ht="12.75">
      <c r="B667" s="45"/>
      <c r="C667" s="45"/>
    </row>
    <row r="668" spans="2:3" ht="12.75">
      <c r="B668" s="45"/>
      <c r="C668" s="45"/>
    </row>
    <row r="669" spans="2:3" ht="12.75">
      <c r="B669" s="45"/>
      <c r="C669" s="45"/>
    </row>
    <row r="670" spans="2:3" ht="12.75">
      <c r="B670" s="45"/>
      <c r="C670" s="45"/>
    </row>
    <row r="671" spans="2:3" ht="12.75">
      <c r="B671" s="45"/>
      <c r="C671" s="45"/>
    </row>
    <row r="672" spans="2:3" ht="12.75">
      <c r="B672" s="45"/>
      <c r="C672" s="45"/>
    </row>
    <row r="673" spans="2:3" ht="12.75">
      <c r="B673" s="45"/>
      <c r="C673" s="45"/>
    </row>
    <row r="674" spans="2:3" ht="12.75">
      <c r="B674" s="45"/>
      <c r="C674" s="45"/>
    </row>
    <row r="675" spans="2:3" ht="12.75">
      <c r="B675" s="45"/>
      <c r="C675" s="45"/>
    </row>
    <row r="676" spans="2:3" ht="12.75">
      <c r="B676" s="45"/>
      <c r="C676" s="45"/>
    </row>
    <row r="677" spans="2:3" ht="12.75">
      <c r="B677" s="45"/>
      <c r="C677" s="45"/>
    </row>
    <row r="678" spans="2:3" ht="12.75">
      <c r="B678" s="45"/>
      <c r="C678" s="45"/>
    </row>
    <row r="679" spans="2:3" ht="12.75">
      <c r="B679" s="45"/>
      <c r="C679" s="45"/>
    </row>
    <row r="680" spans="2:3" ht="12.75">
      <c r="B680" s="45"/>
      <c r="C680" s="45"/>
    </row>
    <row r="681" spans="2:3" ht="12.75">
      <c r="B681" s="45"/>
      <c r="C681" s="45"/>
    </row>
    <row r="682" spans="2:3" ht="12.75">
      <c r="B682" s="45"/>
      <c r="C682" s="45"/>
    </row>
    <row r="683" spans="2:3" ht="12.75">
      <c r="B683" s="45"/>
      <c r="C683" s="45"/>
    </row>
    <row r="684" spans="2:3" ht="12.75">
      <c r="B684" s="45"/>
      <c r="C684" s="45"/>
    </row>
    <row r="685" spans="2:3" ht="12.75">
      <c r="B685" s="45"/>
      <c r="C685" s="45"/>
    </row>
    <row r="686" spans="2:3" ht="12.75">
      <c r="B686" s="45"/>
      <c r="C686" s="45"/>
    </row>
    <row r="687" spans="2:3" ht="12.75">
      <c r="B687" s="45"/>
      <c r="C687" s="45"/>
    </row>
    <row r="688" spans="2:3" ht="12.75">
      <c r="B688" s="45"/>
      <c r="C688" s="45"/>
    </row>
    <row r="689" spans="2:3" ht="12.75">
      <c r="B689" s="45"/>
      <c r="C689" s="45"/>
    </row>
    <row r="690" spans="2:3" ht="12.75">
      <c r="B690" s="45"/>
      <c r="C690" s="45"/>
    </row>
    <row r="691" spans="2:3" ht="12.75">
      <c r="B691" s="45"/>
      <c r="C691" s="45"/>
    </row>
    <row r="692" spans="2:3" ht="12.75">
      <c r="B692" s="45"/>
      <c r="C692" s="45"/>
    </row>
    <row r="693" spans="2:3" ht="12.75">
      <c r="B693" s="45"/>
      <c r="C693" s="45"/>
    </row>
    <row r="694" spans="2:3" ht="12.75">
      <c r="B694" s="45"/>
      <c r="C694" s="45"/>
    </row>
    <row r="695" spans="2:3" ht="12.75">
      <c r="B695" s="45"/>
      <c r="C695" s="45"/>
    </row>
    <row r="696" spans="2:3" ht="12.75">
      <c r="B696" s="45"/>
      <c r="C696" s="45"/>
    </row>
    <row r="697" spans="2:3" ht="12.75">
      <c r="B697" s="45"/>
      <c r="C697" s="45"/>
    </row>
    <row r="698" spans="2:3" ht="12.75">
      <c r="B698" s="45"/>
      <c r="C698" s="45"/>
    </row>
    <row r="699" spans="2:3" ht="12.75">
      <c r="B699" s="45"/>
      <c r="C699" s="45"/>
    </row>
    <row r="700" spans="2:3" ht="12.75">
      <c r="B700" s="45"/>
      <c r="C700" s="45"/>
    </row>
    <row r="701" spans="2:3" ht="12.75">
      <c r="B701" s="45"/>
      <c r="C701" s="45"/>
    </row>
    <row r="702" spans="2:3" ht="12.75">
      <c r="B702" s="45"/>
      <c r="C702" s="45"/>
    </row>
    <row r="703" spans="2:3" ht="12.75">
      <c r="B703" s="45"/>
      <c r="C703" s="45"/>
    </row>
    <row r="704" spans="2:3" ht="12.75">
      <c r="B704" s="45"/>
      <c r="C704" s="45"/>
    </row>
    <row r="705" spans="2:3" ht="12.75">
      <c r="B705" s="45"/>
      <c r="C705" s="45"/>
    </row>
    <row r="706" spans="2:3" ht="12.75">
      <c r="B706" s="45"/>
      <c r="C706" s="45"/>
    </row>
    <row r="707" spans="2:3" ht="12.75">
      <c r="B707" s="45"/>
      <c r="C707" s="45"/>
    </row>
    <row r="708" spans="2:3" ht="12.75">
      <c r="B708" s="45"/>
      <c r="C708" s="45"/>
    </row>
    <row r="709" spans="2:3" ht="12.75">
      <c r="B709" s="45"/>
      <c r="C709" s="45"/>
    </row>
    <row r="710" spans="2:3" ht="12.75">
      <c r="B710" s="45"/>
      <c r="C710" s="45"/>
    </row>
    <row r="711" spans="2:3" ht="12.75">
      <c r="B711" s="45"/>
      <c r="C711" s="45"/>
    </row>
    <row r="712" spans="2:3" ht="12.75">
      <c r="B712" s="45"/>
      <c r="C712" s="45"/>
    </row>
    <row r="713" spans="2:3" ht="12.75">
      <c r="B713" s="45"/>
      <c r="C713" s="45"/>
    </row>
    <row r="714" spans="2:3" ht="12.75">
      <c r="B714" s="45"/>
      <c r="C714" s="45"/>
    </row>
    <row r="715" spans="2:3" ht="12.75">
      <c r="B715" s="45"/>
      <c r="C715" s="45"/>
    </row>
    <row r="716" spans="2:3" ht="12.75">
      <c r="B716" s="45"/>
      <c r="C716" s="45"/>
    </row>
    <row r="717" spans="2:3" ht="12.75">
      <c r="B717" s="45"/>
      <c r="C717" s="45"/>
    </row>
    <row r="718" spans="2:3" ht="12.75">
      <c r="B718" s="45"/>
      <c r="C718" s="45"/>
    </row>
    <row r="719" spans="2:3" ht="12.75">
      <c r="B719" s="45"/>
      <c r="C719" s="45"/>
    </row>
    <row r="720" spans="2:3" ht="12.75">
      <c r="B720" s="45"/>
      <c r="C720" s="45"/>
    </row>
    <row r="721" spans="2:3" ht="12.75">
      <c r="B721" s="45"/>
      <c r="C721" s="45"/>
    </row>
    <row r="722" spans="2:3" ht="12.75">
      <c r="B722" s="45"/>
      <c r="C722" s="45"/>
    </row>
    <row r="723" spans="2:3" ht="12.75">
      <c r="B723" s="45"/>
      <c r="C723" s="45"/>
    </row>
    <row r="724" spans="2:3" ht="12.75">
      <c r="B724" s="45"/>
      <c r="C724" s="45"/>
    </row>
    <row r="725" spans="2:3" ht="12.75">
      <c r="B725" s="45"/>
      <c r="C725" s="45"/>
    </row>
    <row r="726" spans="2:3" ht="12.75">
      <c r="B726" s="45"/>
      <c r="C726" s="45"/>
    </row>
    <row r="727" spans="2:3" ht="12.75">
      <c r="B727" s="45"/>
      <c r="C727" s="45"/>
    </row>
    <row r="728" spans="2:3" ht="12.75">
      <c r="B728" s="45"/>
      <c r="C728" s="45"/>
    </row>
    <row r="729" spans="2:3" ht="12.75">
      <c r="B729" s="45"/>
      <c r="C729" s="45"/>
    </row>
    <row r="730" spans="2:3" ht="12.75">
      <c r="B730" s="45"/>
      <c r="C730" s="45"/>
    </row>
    <row r="731" spans="2:3" ht="12.75">
      <c r="B731" s="45"/>
      <c r="C731" s="45"/>
    </row>
    <row r="732" spans="2:3" ht="12.75">
      <c r="B732" s="45"/>
      <c r="C732" s="45"/>
    </row>
    <row r="733" spans="2:3" ht="12.75">
      <c r="B733" s="45"/>
      <c r="C733" s="45"/>
    </row>
    <row r="734" spans="2:3" ht="12.75">
      <c r="B734" s="45"/>
      <c r="C734" s="45"/>
    </row>
    <row r="735" spans="2:3" ht="12.75">
      <c r="B735" s="45"/>
      <c r="C735" s="45"/>
    </row>
    <row r="736" spans="2:3" ht="12.75">
      <c r="B736" s="45"/>
      <c r="C736" s="45"/>
    </row>
    <row r="737" spans="2:3" ht="12.75">
      <c r="B737" s="45"/>
      <c r="C737" s="45"/>
    </row>
    <row r="738" spans="2:3" ht="12.75">
      <c r="B738" s="45"/>
      <c r="C738" s="45"/>
    </row>
    <row r="739" spans="2:3" ht="12.75">
      <c r="B739" s="45"/>
      <c r="C739" s="45"/>
    </row>
    <row r="740" spans="2:3" ht="12.75">
      <c r="B740" s="45"/>
      <c r="C740" s="45"/>
    </row>
    <row r="741" spans="2:3" ht="12.75">
      <c r="B741" s="45"/>
      <c r="C741" s="45"/>
    </row>
    <row r="742" spans="2:3" ht="12.75">
      <c r="B742" s="45"/>
      <c r="C742" s="45"/>
    </row>
    <row r="743" spans="2:3" ht="12.75">
      <c r="B743" s="45"/>
      <c r="C743" s="45"/>
    </row>
    <row r="744" spans="2:3" ht="12.75">
      <c r="B744" s="45"/>
      <c r="C744" s="45"/>
    </row>
    <row r="745" spans="2:3" ht="12.75">
      <c r="B745" s="45"/>
      <c r="C745" s="45"/>
    </row>
    <row r="746" spans="2:3" ht="12.75">
      <c r="B746" s="45"/>
      <c r="C746" s="45"/>
    </row>
    <row r="747" spans="2:3" ht="12.75">
      <c r="B747" s="45"/>
      <c r="C747" s="45"/>
    </row>
    <row r="748" spans="2:3" ht="12.75">
      <c r="B748" s="45"/>
      <c r="C748" s="45"/>
    </row>
    <row r="749" spans="2:3" ht="12.75">
      <c r="B749" s="45"/>
      <c r="C749" s="45"/>
    </row>
    <row r="750" spans="2:3" ht="12.75">
      <c r="B750" s="45"/>
      <c r="C750" s="45"/>
    </row>
    <row r="751" spans="2:3" ht="12.75">
      <c r="B751" s="45"/>
      <c r="C751" s="45"/>
    </row>
    <row r="752" spans="2:3" ht="12.75">
      <c r="B752" s="45"/>
      <c r="C752" s="45"/>
    </row>
    <row r="753" spans="2:3" ht="12.75">
      <c r="B753" s="45"/>
      <c r="C753" s="45"/>
    </row>
    <row r="754" spans="2:3" ht="12.75">
      <c r="B754" s="45"/>
      <c r="C754" s="45"/>
    </row>
    <row r="755" spans="2:3" ht="12.75">
      <c r="B755" s="45"/>
      <c r="C755" s="45"/>
    </row>
    <row r="756" spans="2:3" ht="12.75">
      <c r="B756" s="45"/>
      <c r="C756" s="45"/>
    </row>
    <row r="757" spans="2:3" ht="12.75">
      <c r="B757" s="45"/>
      <c r="C757" s="45"/>
    </row>
    <row r="758" spans="2:3" ht="12.75">
      <c r="B758" s="45"/>
      <c r="C758" s="45"/>
    </row>
    <row r="759" spans="2:3" ht="12.75">
      <c r="B759" s="45"/>
      <c r="C759" s="45"/>
    </row>
    <row r="760" spans="2:3" ht="12.75">
      <c r="B760" s="45"/>
      <c r="C760" s="45"/>
    </row>
    <row r="761" spans="2:3" ht="12.75">
      <c r="B761" s="45"/>
      <c r="C761" s="45"/>
    </row>
    <row r="762" spans="2:3" ht="12.75">
      <c r="B762" s="45"/>
      <c r="C762" s="45"/>
    </row>
    <row r="763" spans="2:3" ht="12.75">
      <c r="B763" s="45"/>
      <c r="C763" s="45"/>
    </row>
    <row r="764" spans="2:3" ht="12.75">
      <c r="B764" s="45"/>
      <c r="C764" s="45"/>
    </row>
    <row r="765" spans="2:3" ht="12.75">
      <c r="B765" s="45"/>
      <c r="C765" s="45"/>
    </row>
    <row r="766" spans="2:3" ht="12.75">
      <c r="B766" s="45"/>
      <c r="C766" s="45"/>
    </row>
    <row r="767" spans="2:3" ht="12.75">
      <c r="B767" s="45"/>
      <c r="C767" s="45"/>
    </row>
    <row r="768" spans="2:3" ht="12.75">
      <c r="B768" s="45"/>
      <c r="C768" s="45"/>
    </row>
    <row r="769" spans="2:3" ht="12.75">
      <c r="B769" s="45"/>
      <c r="C769" s="45"/>
    </row>
    <row r="770" spans="2:3" ht="12.75">
      <c r="B770" s="45"/>
      <c r="C770" s="45"/>
    </row>
    <row r="771" spans="2:3" ht="12.75">
      <c r="B771" s="45"/>
      <c r="C771" s="45"/>
    </row>
    <row r="772" spans="2:3" ht="12.75">
      <c r="B772" s="45"/>
      <c r="C772" s="45"/>
    </row>
    <row r="773" spans="2:3" ht="12.75">
      <c r="B773" s="45"/>
      <c r="C773" s="45"/>
    </row>
    <row r="774" spans="2:3" ht="12.75">
      <c r="B774" s="45"/>
      <c r="C774" s="45"/>
    </row>
    <row r="775" spans="2:3" ht="12.75">
      <c r="B775" s="45"/>
      <c r="C775" s="45"/>
    </row>
    <row r="776" spans="2:3" ht="12.75">
      <c r="B776" s="45"/>
      <c r="C776" s="45"/>
    </row>
    <row r="777" spans="2:3" ht="12.75">
      <c r="B777" s="45"/>
      <c r="C777" s="45"/>
    </row>
    <row r="778" spans="2:3" ht="12.75">
      <c r="B778" s="45"/>
      <c r="C778" s="45"/>
    </row>
    <row r="779" spans="2:3" ht="12.75">
      <c r="B779" s="45"/>
      <c r="C779" s="45"/>
    </row>
    <row r="780" spans="2:3" ht="12.75">
      <c r="B780" s="45"/>
      <c r="C780" s="45"/>
    </row>
    <row r="781" spans="2:3" ht="12.75">
      <c r="B781" s="45"/>
      <c r="C781" s="45"/>
    </row>
    <row r="782" spans="2:3" ht="12.75">
      <c r="B782" s="45"/>
      <c r="C782" s="45"/>
    </row>
    <row r="783" spans="2:3" ht="12.75">
      <c r="B783" s="45"/>
      <c r="C783" s="45"/>
    </row>
    <row r="784" spans="2:3" ht="12.75">
      <c r="B784" s="45"/>
      <c r="C784" s="45"/>
    </row>
    <row r="785" spans="2:3" ht="12.75">
      <c r="B785" s="45"/>
      <c r="C785" s="45"/>
    </row>
    <row r="786" spans="2:3" ht="12.75">
      <c r="B786" s="45"/>
      <c r="C786" s="45"/>
    </row>
    <row r="787" spans="2:3" ht="12.75">
      <c r="B787" s="45"/>
      <c r="C787" s="45"/>
    </row>
    <row r="788" spans="2:3" ht="12.75">
      <c r="B788" s="45"/>
      <c r="C788" s="45"/>
    </row>
    <row r="789" spans="2:3" ht="12.75">
      <c r="B789" s="45"/>
      <c r="C789" s="45"/>
    </row>
    <row r="790" spans="2:3" ht="12.75">
      <c r="B790" s="45"/>
      <c r="C790" s="45"/>
    </row>
    <row r="791" spans="2:3" ht="12.75">
      <c r="B791" s="45"/>
      <c r="C791" s="45"/>
    </row>
    <row r="792" spans="2:3" ht="12.75">
      <c r="B792" s="45"/>
      <c r="C792" s="45"/>
    </row>
    <row r="793" spans="2:3" ht="12.75">
      <c r="B793" s="45"/>
      <c r="C793" s="45"/>
    </row>
    <row r="794" spans="2:3" ht="12.75">
      <c r="B794" s="45"/>
      <c r="C794" s="45"/>
    </row>
    <row r="795" spans="2:3" ht="12.75">
      <c r="B795" s="45"/>
      <c r="C795" s="45"/>
    </row>
    <row r="796" spans="2:3" ht="12.75">
      <c r="B796" s="45"/>
      <c r="C796" s="45"/>
    </row>
    <row r="797" spans="2:3" ht="12.75">
      <c r="B797" s="45"/>
      <c r="C797" s="45"/>
    </row>
    <row r="798" spans="2:3" ht="12.75">
      <c r="B798" s="45"/>
      <c r="C798" s="45"/>
    </row>
    <row r="799" spans="2:3" ht="12.75">
      <c r="B799" s="45"/>
      <c r="C799" s="45"/>
    </row>
    <row r="800" spans="2:3" ht="12.75">
      <c r="B800" s="45"/>
      <c r="C800" s="45"/>
    </row>
    <row r="801" spans="2:3" ht="12.75">
      <c r="B801" s="45"/>
      <c r="C801" s="45"/>
    </row>
    <row r="802" spans="2:3" ht="12.75">
      <c r="B802" s="45"/>
      <c r="C802" s="45"/>
    </row>
    <row r="803" spans="2:3" ht="12.75">
      <c r="B803" s="45"/>
      <c r="C803" s="45"/>
    </row>
    <row r="804" spans="2:3" ht="12.75">
      <c r="B804" s="45"/>
      <c r="C804" s="45"/>
    </row>
    <row r="805" spans="2:3" ht="12.75">
      <c r="B805" s="45"/>
      <c r="C805" s="45"/>
    </row>
    <row r="806" spans="2:3" ht="12.75">
      <c r="B806" s="45"/>
      <c r="C806" s="45"/>
    </row>
    <row r="807" spans="2:3" ht="12.75">
      <c r="B807" s="45"/>
      <c r="C807" s="45"/>
    </row>
    <row r="808" spans="2:3" ht="12.75">
      <c r="B808" s="45"/>
      <c r="C808" s="45"/>
    </row>
    <row r="809" spans="2:3" ht="12.75">
      <c r="B809" s="45"/>
      <c r="C809" s="45"/>
    </row>
    <row r="810" spans="2:3" ht="12.75">
      <c r="B810" s="45"/>
      <c r="C810" s="45"/>
    </row>
    <row r="811" spans="2:3" ht="12.75">
      <c r="B811" s="45"/>
      <c r="C811" s="45"/>
    </row>
    <row r="812" spans="2:3" ht="12.75">
      <c r="B812" s="45"/>
      <c r="C812" s="45"/>
    </row>
    <row r="813" spans="2:3" ht="12.75">
      <c r="B813" s="45"/>
      <c r="C813" s="45"/>
    </row>
    <row r="814" spans="2:3" ht="12.75">
      <c r="B814" s="45"/>
      <c r="C814" s="45"/>
    </row>
    <row r="815" spans="2:3" ht="12.75">
      <c r="B815" s="45"/>
      <c r="C815" s="45"/>
    </row>
    <row r="816" spans="2:3" ht="12.75">
      <c r="B816" s="45"/>
      <c r="C816" s="45"/>
    </row>
    <row r="817" spans="2:3" ht="12.75">
      <c r="B817" s="45"/>
      <c r="C817" s="45"/>
    </row>
    <row r="818" spans="2:3" ht="12.75">
      <c r="B818" s="45"/>
      <c r="C818" s="45"/>
    </row>
    <row r="819" spans="2:3" ht="12.75">
      <c r="B819" s="45"/>
      <c r="C819" s="45"/>
    </row>
    <row r="820" spans="2:3" ht="12.75">
      <c r="B820" s="45"/>
      <c r="C820" s="45"/>
    </row>
    <row r="821" spans="2:3" ht="12.75">
      <c r="B821" s="45"/>
      <c r="C821" s="45"/>
    </row>
    <row r="822" spans="2:3" ht="12.75">
      <c r="B822" s="45"/>
      <c r="C822" s="45"/>
    </row>
    <row r="823" spans="2:3" ht="12.75">
      <c r="B823" s="45"/>
      <c r="C823" s="45"/>
    </row>
    <row r="824" spans="2:3" ht="12.75">
      <c r="B824" s="45"/>
      <c r="C824" s="45"/>
    </row>
    <row r="825" spans="2:3" ht="12.75">
      <c r="B825" s="45"/>
      <c r="C825" s="45"/>
    </row>
    <row r="826" spans="2:3" ht="12.75">
      <c r="B826" s="45"/>
      <c r="C826" s="45"/>
    </row>
    <row r="827" spans="2:3" ht="12.75">
      <c r="B827" s="45"/>
      <c r="C827" s="45"/>
    </row>
    <row r="828" spans="2:3" ht="12.75">
      <c r="B828" s="45"/>
      <c r="C828" s="45"/>
    </row>
    <row r="829" spans="2:3" ht="12.75">
      <c r="B829" s="45"/>
      <c r="C829" s="45"/>
    </row>
    <row r="830" spans="2:3" ht="12.75">
      <c r="B830" s="45"/>
      <c r="C830" s="45"/>
    </row>
    <row r="831" spans="2:3" ht="12.75">
      <c r="B831" s="45"/>
      <c r="C831" s="45"/>
    </row>
    <row r="832" spans="2:3" ht="12.75">
      <c r="B832" s="45"/>
      <c r="C832" s="45"/>
    </row>
    <row r="833" spans="2:3" ht="12.75">
      <c r="B833" s="45"/>
      <c r="C833" s="45"/>
    </row>
    <row r="834" spans="2:3" ht="12.75">
      <c r="B834" s="45"/>
      <c r="C834" s="45"/>
    </row>
    <row r="835" spans="2:3" ht="12.75">
      <c r="B835" s="45"/>
      <c r="C835" s="45"/>
    </row>
    <row r="836" spans="2:3" ht="12.75">
      <c r="B836" s="45"/>
      <c r="C836" s="45"/>
    </row>
    <row r="837" spans="2:3" ht="12.75">
      <c r="B837" s="45"/>
      <c r="C837" s="45"/>
    </row>
    <row r="838" spans="2:3" ht="12.75">
      <c r="B838" s="45"/>
      <c r="C838" s="45"/>
    </row>
    <row r="839" spans="2:3" ht="12.75">
      <c r="B839" s="45"/>
      <c r="C839" s="45"/>
    </row>
    <row r="840" spans="2:3" ht="12.75">
      <c r="B840" s="45"/>
      <c r="C840" s="45"/>
    </row>
    <row r="841" spans="2:3" ht="12.75">
      <c r="B841" s="45"/>
      <c r="C841" s="45"/>
    </row>
    <row r="842" spans="2:3" ht="12.75">
      <c r="B842" s="45"/>
      <c r="C842" s="45"/>
    </row>
    <row r="843" spans="2:3" ht="12.75">
      <c r="B843" s="45"/>
      <c r="C843" s="45"/>
    </row>
    <row r="844" spans="2:3" ht="12.75">
      <c r="B844" s="45"/>
      <c r="C844" s="45"/>
    </row>
    <row r="845" spans="2:3" ht="12.75">
      <c r="B845" s="45"/>
      <c r="C845" s="45"/>
    </row>
    <row r="846" spans="2:3" ht="12.75">
      <c r="B846" s="45"/>
      <c r="C846" s="45"/>
    </row>
    <row r="847" spans="2:3" ht="12.75">
      <c r="B847" s="45"/>
      <c r="C847" s="45"/>
    </row>
    <row r="848" spans="2:3" ht="12.75">
      <c r="B848" s="45"/>
      <c r="C848" s="45"/>
    </row>
    <row r="849" spans="2:3" ht="12.75">
      <c r="B849" s="45"/>
      <c r="C849" s="45"/>
    </row>
    <row r="850" spans="2:3" ht="12.75">
      <c r="B850" s="45"/>
      <c r="C850" s="45"/>
    </row>
    <row r="851" spans="2:3" ht="12.75">
      <c r="B851" s="45"/>
      <c r="C851" s="45"/>
    </row>
    <row r="852" spans="2:3" ht="12.75">
      <c r="B852" s="45"/>
      <c r="C852" s="45"/>
    </row>
    <row r="853" spans="2:3" ht="12.75">
      <c r="B853" s="45"/>
      <c r="C853" s="45"/>
    </row>
    <row r="854" spans="2:3" ht="12.75">
      <c r="B854" s="45"/>
      <c r="C854" s="45"/>
    </row>
    <row r="855" spans="2:3" ht="12.75">
      <c r="B855" s="45"/>
      <c r="C855" s="45"/>
    </row>
    <row r="856" spans="2:3" ht="12.75">
      <c r="B856" s="45"/>
      <c r="C856" s="45"/>
    </row>
    <row r="857" spans="2:3" ht="12.75">
      <c r="B857" s="45"/>
      <c r="C857" s="45"/>
    </row>
    <row r="858" spans="2:3" ht="12.75">
      <c r="B858" s="45"/>
      <c r="C858" s="45"/>
    </row>
    <row r="859" spans="2:3" ht="12.75">
      <c r="B859" s="45"/>
      <c r="C859" s="45"/>
    </row>
    <row r="860" spans="2:3" ht="12.75">
      <c r="B860" s="45"/>
      <c r="C860" s="45"/>
    </row>
    <row r="861" spans="2:3" ht="12.75">
      <c r="B861" s="45"/>
      <c r="C861" s="45"/>
    </row>
    <row r="862" spans="2:3" ht="12.75">
      <c r="B862" s="45"/>
      <c r="C862" s="45"/>
    </row>
    <row r="863" spans="2:3" ht="12.75">
      <c r="B863" s="45"/>
      <c r="C863" s="45"/>
    </row>
    <row r="864" spans="2:3" ht="12.75">
      <c r="B864" s="45"/>
      <c r="C864" s="45"/>
    </row>
    <row r="865" spans="2:3" ht="12.75">
      <c r="B865" s="45"/>
      <c r="C865" s="45"/>
    </row>
    <row r="866" spans="2:3" ht="12.75">
      <c r="B866" s="45"/>
      <c r="C866" s="45"/>
    </row>
    <row r="867" spans="2:3" ht="12.75">
      <c r="B867" s="45"/>
      <c r="C867" s="45"/>
    </row>
    <row r="868" spans="2:3" ht="12.75">
      <c r="B868" s="45"/>
      <c r="C868" s="45"/>
    </row>
    <row r="869" spans="2:3" ht="12.75">
      <c r="B869" s="45"/>
      <c r="C869" s="45"/>
    </row>
    <row r="870" spans="2:3" ht="12.75">
      <c r="B870" s="45"/>
      <c r="C870" s="45"/>
    </row>
    <row r="871" spans="2:3" ht="12.75">
      <c r="B871" s="45"/>
      <c r="C871" s="45"/>
    </row>
    <row r="872" spans="2:3" ht="12.75">
      <c r="B872" s="45"/>
      <c r="C872" s="45"/>
    </row>
    <row r="873" spans="2:3" ht="12.75">
      <c r="B873" s="45"/>
      <c r="C873" s="45"/>
    </row>
    <row r="874" spans="2:3" ht="12.75">
      <c r="B874" s="45"/>
      <c r="C874" s="45"/>
    </row>
    <row r="875" spans="2:3" ht="12.75">
      <c r="B875" s="45"/>
      <c r="C875" s="45"/>
    </row>
    <row r="876" spans="2:3" ht="12.75">
      <c r="B876" s="45"/>
      <c r="C876" s="45"/>
    </row>
    <row r="877" spans="2:3" ht="12.75">
      <c r="B877" s="45"/>
      <c r="C877" s="45"/>
    </row>
    <row r="878" spans="2:3" ht="12.75">
      <c r="B878" s="45"/>
      <c r="C878" s="45"/>
    </row>
    <row r="879" spans="2:3" ht="12.75">
      <c r="B879" s="45"/>
      <c r="C879" s="45"/>
    </row>
    <row r="880" spans="2:3" ht="12.75">
      <c r="B880" s="45"/>
      <c r="C880" s="45"/>
    </row>
    <row r="881" spans="2:3" ht="12.75">
      <c r="B881" s="45"/>
      <c r="C881" s="45"/>
    </row>
    <row r="882" spans="2:3" ht="12.75">
      <c r="B882" s="45"/>
      <c r="C882" s="45"/>
    </row>
    <row r="883" spans="2:3" ht="12.75">
      <c r="B883" s="45"/>
      <c r="C883" s="45"/>
    </row>
    <row r="884" spans="2:3" ht="12.75">
      <c r="B884" s="45"/>
      <c r="C884" s="45"/>
    </row>
    <row r="885" spans="2:3" ht="12.75">
      <c r="B885" s="45"/>
      <c r="C885" s="45"/>
    </row>
    <row r="886" spans="2:3" ht="12.75">
      <c r="B886" s="45"/>
      <c r="C886" s="45"/>
    </row>
    <row r="887" spans="2:3" ht="12.75">
      <c r="B887" s="45"/>
      <c r="C887" s="45"/>
    </row>
    <row r="888" spans="2:3" ht="12.75">
      <c r="B888" s="45"/>
      <c r="C888" s="45"/>
    </row>
    <row r="889" spans="2:3" ht="12.75">
      <c r="B889" s="45"/>
      <c r="C889" s="45"/>
    </row>
    <row r="890" spans="2:3" ht="12.75">
      <c r="B890" s="45"/>
      <c r="C890" s="45"/>
    </row>
    <row r="891" spans="2:3" ht="12.75">
      <c r="B891" s="45"/>
      <c r="C891" s="45"/>
    </row>
    <row r="892" spans="2:3" ht="12.75">
      <c r="B892" s="45"/>
      <c r="C892" s="45"/>
    </row>
    <row r="893" spans="2:3" ht="12.75">
      <c r="B893" s="45"/>
      <c r="C893" s="45"/>
    </row>
    <row r="894" spans="2:3" ht="12.75">
      <c r="B894" s="45"/>
      <c r="C894" s="45"/>
    </row>
    <row r="895" spans="2:3" ht="12.75">
      <c r="B895" s="45"/>
      <c r="C895" s="45"/>
    </row>
    <row r="896" spans="2:3" ht="12.75">
      <c r="B896" s="45"/>
      <c r="C896" s="45"/>
    </row>
    <row r="897" spans="2:3" ht="12.75">
      <c r="B897" s="45"/>
      <c r="C897" s="45"/>
    </row>
    <row r="898" spans="2:3" ht="12.75">
      <c r="B898" s="45"/>
      <c r="C898" s="45"/>
    </row>
    <row r="899" spans="2:3" ht="12.75">
      <c r="B899" s="45"/>
      <c r="C899" s="45"/>
    </row>
    <row r="900" spans="2:3" ht="12.75">
      <c r="B900" s="45"/>
      <c r="C900" s="45"/>
    </row>
    <row r="901" spans="2:3" ht="12.75">
      <c r="B901" s="45"/>
      <c r="C901" s="45"/>
    </row>
    <row r="902" spans="2:3" ht="12.75">
      <c r="B902" s="45"/>
      <c r="C902" s="45"/>
    </row>
    <row r="903" spans="2:3" ht="12.75">
      <c r="B903" s="45"/>
      <c r="C903" s="45"/>
    </row>
    <row r="904" spans="2:3" ht="12.75">
      <c r="B904" s="45"/>
      <c r="C904" s="45"/>
    </row>
    <row r="905" spans="2:3" ht="12.75">
      <c r="B905" s="45"/>
      <c r="C905" s="45"/>
    </row>
    <row r="906" spans="2:3" ht="12.75">
      <c r="B906" s="45"/>
      <c r="C906" s="45"/>
    </row>
    <row r="907" spans="2:3" ht="12.75">
      <c r="B907" s="45"/>
      <c r="C907" s="45"/>
    </row>
    <row r="908" spans="2:3" ht="12.75">
      <c r="B908" s="45"/>
      <c r="C908" s="45"/>
    </row>
    <row r="909" spans="2:3" ht="12.75">
      <c r="B909" s="45"/>
      <c r="C909" s="45"/>
    </row>
    <row r="910" spans="2:3" ht="12.75">
      <c r="B910" s="45"/>
      <c r="C910" s="45"/>
    </row>
    <row r="911" spans="2:3" ht="12.75">
      <c r="B911" s="45"/>
      <c r="C911" s="45"/>
    </row>
    <row r="912" spans="2:3" ht="12.75">
      <c r="B912" s="45"/>
      <c r="C912" s="45"/>
    </row>
    <row r="913" spans="2:3" ht="12.75">
      <c r="B913" s="45"/>
      <c r="C913" s="45"/>
    </row>
    <row r="914" spans="2:3" ht="12.75">
      <c r="B914" s="45"/>
      <c r="C914" s="45"/>
    </row>
    <row r="915" spans="2:3" ht="12.75">
      <c r="B915" s="45"/>
      <c r="C915" s="45"/>
    </row>
    <row r="916" spans="2:3" ht="12.75">
      <c r="B916" s="45"/>
      <c r="C916" s="45"/>
    </row>
    <row r="917" spans="2:3" ht="12.75">
      <c r="B917" s="45"/>
      <c r="C917" s="45"/>
    </row>
    <row r="918" spans="2:3" ht="12.75">
      <c r="B918" s="45"/>
      <c r="C918" s="45"/>
    </row>
    <row r="919" spans="2:3" ht="12.75">
      <c r="B919" s="45"/>
      <c r="C919" s="45"/>
    </row>
    <row r="920" spans="2:3" ht="12.75">
      <c r="B920" s="45"/>
      <c r="C920" s="45"/>
    </row>
    <row r="921" spans="2:3" ht="12.75">
      <c r="B921" s="45"/>
      <c r="C921" s="45"/>
    </row>
    <row r="922" spans="2:3" ht="12.75">
      <c r="B922" s="45"/>
      <c r="C922" s="45"/>
    </row>
    <row r="923" spans="2:3" ht="12.75">
      <c r="B923" s="45"/>
      <c r="C923" s="45"/>
    </row>
    <row r="924" spans="2:3" ht="12.75">
      <c r="B924" s="45"/>
      <c r="C924" s="45"/>
    </row>
    <row r="925" spans="2:3" ht="12.75">
      <c r="B925" s="45"/>
      <c r="C925" s="45"/>
    </row>
    <row r="926" spans="2:3" ht="12.75">
      <c r="B926" s="45"/>
      <c r="C926" s="45"/>
    </row>
    <row r="927" spans="2:3" ht="12.75">
      <c r="B927" s="45"/>
      <c r="C927" s="45"/>
    </row>
    <row r="928" spans="2:3" ht="12.75">
      <c r="B928" s="45"/>
      <c r="C928" s="45"/>
    </row>
    <row r="929" spans="2:3" ht="12.75">
      <c r="B929" s="45"/>
      <c r="C929" s="45"/>
    </row>
    <row r="930" spans="2:3" ht="12.75">
      <c r="B930" s="45"/>
      <c r="C930" s="45"/>
    </row>
    <row r="931" spans="2:3" ht="12.75">
      <c r="B931" s="45"/>
      <c r="C931" s="45"/>
    </row>
    <row r="932" spans="2:3" ht="12.75">
      <c r="B932" s="45"/>
      <c r="C932" s="45"/>
    </row>
    <row r="933" spans="2:3" ht="12.75">
      <c r="B933" s="45"/>
      <c r="C933" s="45"/>
    </row>
    <row r="934" spans="2:3" ht="12.75">
      <c r="B934" s="45"/>
      <c r="C934" s="45"/>
    </row>
    <row r="935" spans="2:3" ht="12.75">
      <c r="B935" s="45"/>
      <c r="C935" s="45"/>
    </row>
    <row r="936" spans="2:3" ht="12.75">
      <c r="B936" s="45"/>
      <c r="C936" s="45"/>
    </row>
    <row r="937" spans="2:3" ht="12.75">
      <c r="B937" s="45"/>
      <c r="C937" s="45"/>
    </row>
    <row r="938" spans="2:3" ht="12.75">
      <c r="B938" s="45"/>
      <c r="C938" s="45"/>
    </row>
    <row r="939" spans="2:3" ht="12.75">
      <c r="B939" s="45"/>
      <c r="C939" s="45"/>
    </row>
    <row r="940" spans="2:3" ht="12.75">
      <c r="B940" s="45"/>
      <c r="C940" s="45"/>
    </row>
    <row r="941" spans="2:3" ht="12.75">
      <c r="B941" s="45"/>
      <c r="C941" s="45"/>
    </row>
    <row r="942" spans="2:3" ht="12.75">
      <c r="B942" s="45"/>
      <c r="C942" s="45"/>
    </row>
    <row r="943" spans="2:3" ht="12.75">
      <c r="B943" s="45"/>
      <c r="C943" s="45"/>
    </row>
    <row r="944" spans="2:3" ht="12.75">
      <c r="B944" s="45"/>
      <c r="C944" s="45"/>
    </row>
    <row r="945" spans="2:3" ht="12.75">
      <c r="B945" s="45"/>
      <c r="C945" s="45"/>
    </row>
    <row r="946" spans="2:3" ht="12.75">
      <c r="B946" s="45"/>
      <c r="C946" s="45"/>
    </row>
    <row r="947" spans="2:3" ht="12.75">
      <c r="B947" s="45"/>
      <c r="C947" s="45"/>
    </row>
    <row r="948" spans="2:3" ht="12.75">
      <c r="B948" s="45"/>
      <c r="C948" s="45"/>
    </row>
    <row r="949" spans="2:3" ht="12.75">
      <c r="B949" s="45"/>
      <c r="C949" s="45"/>
    </row>
    <row r="950" spans="2:3" ht="12.75">
      <c r="B950" s="45"/>
      <c r="C950" s="45"/>
    </row>
    <row r="951" spans="2:3" ht="12.75">
      <c r="B951" s="45"/>
      <c r="C951" s="45"/>
    </row>
    <row r="952" spans="2:3" ht="12.75">
      <c r="B952" s="45"/>
      <c r="C952" s="45"/>
    </row>
    <row r="953" spans="2:3" ht="12.75">
      <c r="B953" s="45"/>
      <c r="C953" s="45"/>
    </row>
    <row r="954" spans="2:3" ht="12.75">
      <c r="B954" s="45"/>
      <c r="C954" s="45"/>
    </row>
    <row r="955" spans="2:3" ht="12.75">
      <c r="B955" s="45"/>
      <c r="C955" s="45"/>
    </row>
    <row r="956" spans="2:3" ht="12.75">
      <c r="B956" s="45"/>
      <c r="C956" s="45"/>
    </row>
    <row r="957" spans="2:3" ht="12.75">
      <c r="B957" s="45"/>
      <c r="C957" s="45"/>
    </row>
    <row r="958" spans="2:3" ht="12.75">
      <c r="B958" s="45"/>
      <c r="C958" s="45"/>
    </row>
    <row r="959" spans="2:3" ht="12.75">
      <c r="B959" s="45"/>
      <c r="C959" s="45"/>
    </row>
    <row r="960" spans="2:3" ht="12.75">
      <c r="B960" s="45"/>
      <c r="C960" s="45"/>
    </row>
    <row r="961" spans="2:3" ht="12.75">
      <c r="B961" s="45"/>
      <c r="C961" s="45"/>
    </row>
    <row r="962" spans="2:3" ht="12.75">
      <c r="B962" s="45"/>
      <c r="C962" s="45"/>
    </row>
    <row r="963" spans="2:3" ht="12.75">
      <c r="B963" s="45"/>
      <c r="C963" s="45"/>
    </row>
    <row r="964" spans="2:3" ht="12.75">
      <c r="B964" s="45"/>
      <c r="C964" s="45"/>
    </row>
    <row r="965" spans="2:3" ht="12.75">
      <c r="B965" s="45"/>
      <c r="C965" s="45"/>
    </row>
    <row r="966" spans="2:3" ht="12.75">
      <c r="B966" s="45"/>
      <c r="C966" s="45"/>
    </row>
    <row r="967" spans="2:3" ht="12.75">
      <c r="B967" s="45"/>
      <c r="C967" s="45"/>
    </row>
    <row r="968" spans="2:3" ht="12.75">
      <c r="B968" s="45"/>
      <c r="C968" s="45"/>
    </row>
    <row r="969" spans="2:3" ht="12.75">
      <c r="B969" s="45"/>
      <c r="C969" s="45"/>
    </row>
    <row r="970" spans="2:3" ht="12.75">
      <c r="B970" s="45"/>
      <c r="C970" s="45"/>
    </row>
    <row r="971" spans="2:3" ht="12.75">
      <c r="B971" s="45"/>
      <c r="C971" s="45"/>
    </row>
    <row r="972" spans="2:3" ht="12.75">
      <c r="B972" s="45"/>
      <c r="C972" s="45"/>
    </row>
    <row r="973" spans="2:3" ht="12.75">
      <c r="B973" s="45"/>
      <c r="C973" s="45"/>
    </row>
    <row r="974" spans="2:3" ht="12.75">
      <c r="B974" s="45"/>
      <c r="C974" s="45"/>
    </row>
    <row r="975" spans="2:3" ht="12.75">
      <c r="B975" s="45"/>
      <c r="C975" s="45"/>
    </row>
    <row r="976" spans="2:3" ht="12.75">
      <c r="B976" s="45"/>
      <c r="C976" s="45"/>
    </row>
    <row r="977" spans="2:3" ht="12.75">
      <c r="B977" s="45"/>
      <c r="C977" s="45"/>
    </row>
    <row r="978" spans="2:3" ht="12.75">
      <c r="B978" s="45"/>
      <c r="C978" s="45"/>
    </row>
    <row r="979" spans="2:3" ht="12.75">
      <c r="B979" s="45"/>
      <c r="C979" s="45"/>
    </row>
    <row r="980" spans="2:3" ht="12.75">
      <c r="B980" s="45"/>
      <c r="C980" s="45"/>
    </row>
    <row r="981" spans="2:3" ht="12.75">
      <c r="B981" s="45"/>
      <c r="C981" s="45"/>
    </row>
    <row r="982" spans="2:3" ht="12.75">
      <c r="B982" s="45"/>
      <c r="C982" s="45"/>
    </row>
    <row r="983" spans="2:3" ht="12.75">
      <c r="B983" s="45"/>
      <c r="C983" s="45"/>
    </row>
    <row r="984" spans="2:3" ht="12.75">
      <c r="B984" s="45"/>
      <c r="C984" s="45"/>
    </row>
    <row r="985" spans="2:3" ht="12.75">
      <c r="B985" s="45"/>
      <c r="C985" s="45"/>
    </row>
    <row r="986" spans="2:3" ht="12.75">
      <c r="B986" s="45"/>
      <c r="C986" s="45"/>
    </row>
    <row r="987" spans="2:3" ht="12.75">
      <c r="B987" s="45"/>
      <c r="C987" s="45"/>
    </row>
    <row r="988" spans="2:3" ht="12.75">
      <c r="B988" s="45"/>
      <c r="C988" s="45"/>
    </row>
    <row r="989" spans="2:3" ht="12.75">
      <c r="B989" s="45"/>
      <c r="C989" s="45"/>
    </row>
    <row r="990" spans="2:3" ht="12.75">
      <c r="B990" s="45"/>
      <c r="C990" s="45"/>
    </row>
    <row r="991" spans="2:3" ht="12.75">
      <c r="B991" s="45"/>
      <c r="C991" s="45"/>
    </row>
    <row r="992" spans="2:3" ht="12.75">
      <c r="B992" s="45"/>
      <c r="C992" s="45"/>
    </row>
    <row r="993" spans="2:3" ht="12.75">
      <c r="B993" s="45"/>
      <c r="C993" s="45"/>
    </row>
    <row r="994" spans="2:3" ht="12.75">
      <c r="B994" s="45"/>
      <c r="C994" s="45"/>
    </row>
    <row r="995" spans="2:3" ht="12.75">
      <c r="B995" s="45"/>
      <c r="C995" s="45"/>
    </row>
    <row r="996" spans="2:3" ht="12.75">
      <c r="B996" s="45"/>
      <c r="C996" s="45"/>
    </row>
  </sheetData>
  <mergeCells count="25">
    <mergeCell ref="A68:B68"/>
    <mergeCell ref="A73:B73"/>
    <mergeCell ref="A15:B15"/>
    <mergeCell ref="A16:B16"/>
    <mergeCell ref="A21:B21"/>
    <mergeCell ref="A28:B28"/>
    <mergeCell ref="A29:B29"/>
    <mergeCell ref="A34:B34"/>
    <mergeCell ref="A41:B41"/>
    <mergeCell ref="A42:B42"/>
    <mergeCell ref="A47:B47"/>
    <mergeCell ref="A54:B54"/>
    <mergeCell ref="A55:B55"/>
    <mergeCell ref="A60:B60"/>
    <mergeCell ref="A67:B67"/>
    <mergeCell ref="E8:F8"/>
    <mergeCell ref="E9:F9"/>
    <mergeCell ref="E10:F10"/>
    <mergeCell ref="A2:B2"/>
    <mergeCell ref="A3:B3"/>
    <mergeCell ref="E4:F4"/>
    <mergeCell ref="E5:F5"/>
    <mergeCell ref="E6:F6"/>
    <mergeCell ref="E7:F7"/>
    <mergeCell ref="A8:B8"/>
  </mergeCells>
  <phoneticPr fontId="2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V65"/>
  <sheetViews>
    <sheetView showGridLines="0" tabSelected="1" zoomScale="89" zoomScaleNormal="89" workbookViewId="0">
      <selection activeCell="E34" sqref="E34"/>
    </sheetView>
  </sheetViews>
  <sheetFormatPr baseColWidth="10" defaultRowHeight="14.25"/>
  <cols>
    <col min="1" max="1" width="2.85546875" style="133" customWidth="1"/>
    <col min="2" max="2" width="21.140625" style="133" customWidth="1"/>
    <col min="3" max="3" width="16" style="133" bestFit="1" customWidth="1"/>
    <col min="4" max="9" width="18.85546875" style="133" customWidth="1"/>
    <col min="10" max="12" width="11.42578125" style="133"/>
    <col min="13" max="13" width="16.7109375" style="133" customWidth="1"/>
    <col min="14" max="14" width="15.140625" style="133" bestFit="1" customWidth="1"/>
    <col min="15" max="18" width="16.7109375" style="133" bestFit="1" customWidth="1"/>
    <col min="19" max="19" width="16.7109375" style="133" customWidth="1"/>
    <col min="20" max="22" width="16.7109375" style="133" bestFit="1" customWidth="1"/>
    <col min="23" max="16384" width="11.42578125" style="133"/>
  </cols>
  <sheetData>
    <row r="1" spans="2:22" ht="15.75" thickBot="1">
      <c r="B1" s="102"/>
      <c r="C1" s="114"/>
      <c r="D1" s="114"/>
      <c r="E1" s="114"/>
      <c r="F1" s="114"/>
      <c r="G1" s="114"/>
      <c r="H1" s="114"/>
      <c r="I1" s="114"/>
    </row>
    <row r="2" spans="2:22">
      <c r="B2" s="151" t="s">
        <v>217</v>
      </c>
      <c r="C2" s="116"/>
      <c r="D2" s="116"/>
      <c r="E2" s="117">
        <v>3.2500000000000001E-2</v>
      </c>
      <c r="F2" s="117">
        <v>3.2500000000000001E-2</v>
      </c>
      <c r="G2" s="117">
        <v>3.2500000000000001E-2</v>
      </c>
      <c r="H2" s="117">
        <v>3.2500000000000001E-2</v>
      </c>
      <c r="I2" s="118">
        <v>3.2500000000000001E-2</v>
      </c>
    </row>
    <row r="3" spans="2:22">
      <c r="B3" s="221"/>
      <c r="C3" s="156"/>
      <c r="D3" s="156"/>
      <c r="E3" s="222"/>
      <c r="F3" s="222"/>
      <c r="G3" s="222"/>
      <c r="H3" s="222"/>
      <c r="I3" s="258"/>
    </row>
    <row r="4" spans="2:22" ht="15">
      <c r="B4" s="103" t="s">
        <v>178</v>
      </c>
      <c r="C4" s="162"/>
      <c r="D4" s="163">
        <v>0</v>
      </c>
      <c r="E4" s="163" t="s">
        <v>179</v>
      </c>
      <c r="F4" s="163" t="s">
        <v>110</v>
      </c>
      <c r="G4" s="163" t="s">
        <v>111</v>
      </c>
      <c r="H4" s="163" t="s">
        <v>112</v>
      </c>
      <c r="I4" s="104" t="s">
        <v>113</v>
      </c>
    </row>
    <row r="5" spans="2:22">
      <c r="B5" s="108" t="s">
        <v>146</v>
      </c>
      <c r="C5" s="164">
        <v>0.1</v>
      </c>
      <c r="D5" s="165"/>
      <c r="E5" s="165">
        <v>900</v>
      </c>
      <c r="F5" s="165">
        <f>+E5*110%</f>
        <v>990.00000000000011</v>
      </c>
      <c r="G5" s="165">
        <f>+F5*110%</f>
        <v>1089.0000000000002</v>
      </c>
      <c r="H5" s="165">
        <f>+G5*110%</f>
        <v>1197.9000000000003</v>
      </c>
      <c r="I5" s="166">
        <f>+H5*110%</f>
        <v>1317.6900000000005</v>
      </c>
    </row>
    <row r="6" spans="2:22">
      <c r="B6" s="108" t="s">
        <v>125</v>
      </c>
      <c r="C6" s="156"/>
      <c r="D6" s="167"/>
      <c r="E6" s="156"/>
      <c r="F6" s="156"/>
      <c r="G6" s="156"/>
      <c r="H6" s="156"/>
      <c r="I6" s="119"/>
    </row>
    <row r="7" spans="2:22">
      <c r="B7" s="120" t="s">
        <v>121</v>
      </c>
      <c r="C7" s="152">
        <v>0.1</v>
      </c>
      <c r="D7" s="167">
        <f>+'COSTO DE PRODUCCION'!J5</f>
        <v>1850000</v>
      </c>
      <c r="E7" s="167">
        <f>+(E5*C7)*D7</f>
        <v>166500000</v>
      </c>
      <c r="F7" s="167">
        <f t="shared" ref="F7:F12" si="0">+(F$5*C7)*(D7*103.3%)</f>
        <v>189193950</v>
      </c>
      <c r="G7" s="167">
        <f t="shared" ref="G7:G12" si="1">+($G$5*C7)*(D7*106.6%)</f>
        <v>214761690.00000003</v>
      </c>
      <c r="H7" s="167">
        <f t="shared" ref="H7:H12" si="2">+(H$5*C7)*(D7*109.9%)</f>
        <v>243551038.50000006</v>
      </c>
      <c r="I7" s="168">
        <f t="shared" ref="I7:I12" si="3">+(I$5*C7)*(D7*112.12%)</f>
        <v>273317895.18000013</v>
      </c>
    </row>
    <row r="8" spans="2:22">
      <c r="B8" s="120" t="s">
        <v>128</v>
      </c>
      <c r="C8" s="152">
        <v>0.19</v>
      </c>
      <c r="D8" s="167">
        <f>+'COSTO DE PRODUCCION'!J6</f>
        <v>1450000</v>
      </c>
      <c r="E8" s="167">
        <f>+(E5*C8)*D8</f>
        <v>247950000</v>
      </c>
      <c r="F8" s="167">
        <f t="shared" si="0"/>
        <v>281745585</v>
      </c>
      <c r="G8" s="167">
        <f t="shared" si="1"/>
        <v>319820787.00000006</v>
      </c>
      <c r="H8" s="167">
        <f t="shared" si="2"/>
        <v>362693573.55000007</v>
      </c>
      <c r="I8" s="168">
        <f t="shared" si="3"/>
        <v>407022054.71400017</v>
      </c>
    </row>
    <row r="9" spans="2:22">
      <c r="B9" s="120" t="s">
        <v>129</v>
      </c>
      <c r="C9" s="152">
        <v>0.43</v>
      </c>
      <c r="D9" s="167">
        <f>+'COSTO DE PRODUCCION'!J7</f>
        <v>950000</v>
      </c>
      <c r="E9" s="167">
        <f>+(E5*C9)*D9</f>
        <v>367650000</v>
      </c>
      <c r="F9" s="167">
        <f t="shared" si="0"/>
        <v>417760695</v>
      </c>
      <c r="G9" s="167">
        <f t="shared" si="1"/>
        <v>474217029.00000006</v>
      </c>
      <c r="H9" s="167">
        <f t="shared" si="2"/>
        <v>537787022.85000014</v>
      </c>
      <c r="I9" s="168">
        <f t="shared" si="3"/>
        <v>603515460.4380002</v>
      </c>
    </row>
    <row r="10" spans="2:22">
      <c r="B10" s="120" t="s">
        <v>131</v>
      </c>
      <c r="C10" s="152">
        <v>0.24</v>
      </c>
      <c r="D10" s="167">
        <f>+'COSTO DE PRODUCCION'!J8</f>
        <v>795000</v>
      </c>
      <c r="E10" s="167">
        <f>+(E5*C10)*D10</f>
        <v>171720000</v>
      </c>
      <c r="F10" s="167">
        <f t="shared" si="0"/>
        <v>195125436</v>
      </c>
      <c r="G10" s="167">
        <f t="shared" si="1"/>
        <v>221494759.20000002</v>
      </c>
      <c r="H10" s="167">
        <f t="shared" si="2"/>
        <v>251186692.68000004</v>
      </c>
      <c r="I10" s="168">
        <f t="shared" si="3"/>
        <v>281886780.54240012</v>
      </c>
    </row>
    <row r="11" spans="2:22">
      <c r="B11" s="120" t="s">
        <v>132</v>
      </c>
      <c r="C11" s="152">
        <v>0.02</v>
      </c>
      <c r="D11" s="167">
        <f>+'COSTO DE PRODUCCION'!J9</f>
        <v>500000</v>
      </c>
      <c r="E11" s="167">
        <f>+(E5*C11)*D11</f>
        <v>9000000</v>
      </c>
      <c r="F11" s="167">
        <f t="shared" si="0"/>
        <v>10226700.000000002</v>
      </c>
      <c r="G11" s="167">
        <f t="shared" si="1"/>
        <v>11608740</v>
      </c>
      <c r="H11" s="167">
        <f t="shared" si="2"/>
        <v>13164921.000000004</v>
      </c>
      <c r="I11" s="168">
        <f t="shared" si="3"/>
        <v>14773940.280000005</v>
      </c>
    </row>
    <row r="12" spans="2:22">
      <c r="B12" s="120" t="s">
        <v>133</v>
      </c>
      <c r="C12" s="152">
        <v>0.02</v>
      </c>
      <c r="D12" s="167">
        <f>+'COSTO DE PRODUCCION'!J10</f>
        <v>500000</v>
      </c>
      <c r="E12" s="167">
        <f>+(E5*C12)*D12</f>
        <v>9000000</v>
      </c>
      <c r="F12" s="167">
        <f t="shared" si="0"/>
        <v>10226700.000000002</v>
      </c>
      <c r="G12" s="167">
        <f t="shared" si="1"/>
        <v>11608740</v>
      </c>
      <c r="H12" s="167">
        <f t="shared" si="2"/>
        <v>13164921.000000004</v>
      </c>
      <c r="I12" s="168">
        <f t="shared" si="3"/>
        <v>14773940.280000005</v>
      </c>
    </row>
    <row r="13" spans="2:22" ht="15.75" thickBot="1">
      <c r="B13" s="121" t="s">
        <v>180</v>
      </c>
      <c r="C13" s="122" t="s">
        <v>270</v>
      </c>
      <c r="D13" s="134"/>
      <c r="E13" s="122"/>
      <c r="F13" s="122"/>
      <c r="G13" s="122"/>
      <c r="H13" s="122"/>
      <c r="I13" s="169">
        <v>51624999.5</v>
      </c>
    </row>
    <row r="14" spans="2:22">
      <c r="B14" s="114"/>
      <c r="C14" s="114"/>
      <c r="D14" s="114"/>
      <c r="E14" s="114"/>
      <c r="F14" s="114"/>
      <c r="G14" s="114"/>
      <c r="H14" s="114"/>
      <c r="I14" s="123"/>
    </row>
    <row r="15" spans="2:22" ht="15">
      <c r="B15" s="105" t="s">
        <v>181</v>
      </c>
      <c r="C15" s="105"/>
      <c r="D15" s="105"/>
      <c r="E15" s="150">
        <f>+SUM(E7:E12)</f>
        <v>971820000</v>
      </c>
      <c r="F15" s="150">
        <f>+SUM(F7:F12)</f>
        <v>1104279066</v>
      </c>
      <c r="G15" s="150">
        <f>+SUM(G7:G12)</f>
        <v>1253511745.2000003</v>
      </c>
      <c r="H15" s="150">
        <f>+SUM(H7:H12)</f>
        <v>1421548169.5800004</v>
      </c>
      <c r="I15" s="150">
        <f>+SUM(I7:I12)</f>
        <v>1595290071.4344006</v>
      </c>
    </row>
    <row r="16" spans="2:22" ht="15" thickBot="1">
      <c r="B16" s="114"/>
      <c r="C16" s="114"/>
      <c r="D16" s="114"/>
      <c r="E16" s="135"/>
      <c r="F16" s="114"/>
      <c r="G16" s="114"/>
      <c r="H16" s="114"/>
      <c r="I16" s="114"/>
      <c r="M16" s="230">
        <v>1</v>
      </c>
      <c r="N16" s="230">
        <v>1</v>
      </c>
      <c r="O16" s="133">
        <v>2</v>
      </c>
      <c r="P16" s="133">
        <v>2</v>
      </c>
      <c r="Q16" s="133">
        <v>3</v>
      </c>
      <c r="R16" s="133">
        <v>3</v>
      </c>
      <c r="S16" s="133">
        <v>4</v>
      </c>
      <c r="T16" s="133">
        <v>4</v>
      </c>
      <c r="U16" s="133">
        <v>5</v>
      </c>
      <c r="V16" s="133">
        <v>5</v>
      </c>
    </row>
    <row r="17" spans="2:22" ht="15">
      <c r="B17" s="106" t="s">
        <v>182</v>
      </c>
      <c r="C17" s="260"/>
      <c r="D17" s="260"/>
      <c r="E17" s="261">
        <f>+SUM(E18:E24)</f>
        <v>234550809</v>
      </c>
      <c r="F17" s="261">
        <f>+SUM(F18:F24)</f>
        <v>266146404.2667</v>
      </c>
      <c r="G17" s="261">
        <f>+SUM(G18:G24)</f>
        <v>301732012.9967401</v>
      </c>
      <c r="H17" s="261">
        <f>+SUM(H18:H24)</f>
        <v>341790215.01137108</v>
      </c>
      <c r="I17" s="262">
        <f>+SUM(I18:I24)</f>
        <v>383208364.42846704</v>
      </c>
      <c r="K17" s="225" t="s">
        <v>122</v>
      </c>
      <c r="L17" s="225" t="s">
        <v>130</v>
      </c>
      <c r="M17" s="225" t="s">
        <v>122</v>
      </c>
      <c r="N17" s="225" t="s">
        <v>130</v>
      </c>
      <c r="O17" s="225" t="s">
        <v>122</v>
      </c>
      <c r="P17" s="225" t="s">
        <v>130</v>
      </c>
      <c r="Q17" s="225" t="s">
        <v>122</v>
      </c>
      <c r="R17" s="225" t="s">
        <v>130</v>
      </c>
      <c r="S17" s="225" t="s">
        <v>122</v>
      </c>
      <c r="T17" s="225" t="s">
        <v>130</v>
      </c>
      <c r="U17" s="225" t="s">
        <v>122</v>
      </c>
      <c r="V17" s="225" t="s">
        <v>130</v>
      </c>
    </row>
    <row r="18" spans="2:22">
      <c r="B18" s="120" t="s">
        <v>121</v>
      </c>
      <c r="C18" s="152">
        <v>0.1</v>
      </c>
      <c r="D18" s="153">
        <f>+'COSTO DE PRODUCCION'!I5</f>
        <v>433150</v>
      </c>
      <c r="E18" s="154">
        <f t="shared" ref="E18:E23" si="4">+(C18*$E$5)*(D18)</f>
        <v>38983500</v>
      </c>
      <c r="F18" s="154">
        <f t="shared" ref="F18:F23" si="5">+(C18*$F$5)*(D18*103.3%)</f>
        <v>44296951.050000004</v>
      </c>
      <c r="G18" s="154">
        <f t="shared" ref="G18:G23" si="6">+(C18*$G$5)*(D18*106.6%)</f>
        <v>50283257.310000002</v>
      </c>
      <c r="H18" s="154">
        <f t="shared" ref="H18:H23" si="7">+(C18*$H$5)*(D18*109.9%)</f>
        <v>57023855.311500013</v>
      </c>
      <c r="I18" s="155">
        <f t="shared" ref="I18:I23" si="8">+(C18*$I$5)*(D18*112.12%)</f>
        <v>63993322.322820023</v>
      </c>
      <c r="K18" s="133">
        <f>+'COSTO DE PRODUCCION'!G5</f>
        <v>272250</v>
      </c>
      <c r="L18" s="133">
        <f>+'COSTO DE PRODUCCION'!H5</f>
        <v>160900</v>
      </c>
      <c r="M18" s="229">
        <f t="shared" ref="M18:M23" si="9">+(C18*$E$5)*(K18)</f>
        <v>24502500</v>
      </c>
      <c r="N18" s="229">
        <f t="shared" ref="N18:N23" si="10">+(C18*$E$5)*(L18)</f>
        <v>14481000</v>
      </c>
      <c r="O18" s="229">
        <f t="shared" ref="O18:O23" si="11">+(C18*$F$5)*(K18*103.3%)</f>
        <v>27842190.750000004</v>
      </c>
      <c r="P18" s="229">
        <f t="shared" ref="P18:P23" si="12">+(C18*$F$5)*(L18*103.3%)</f>
        <v>16454760.300000001</v>
      </c>
      <c r="Q18" s="229">
        <f t="shared" ref="Q18:Q23" si="13">+(C18*$G$5)*(K18*106.6%)</f>
        <v>31604794.650000002</v>
      </c>
      <c r="R18" s="229">
        <f t="shared" ref="R18:R23" si="14">+(C18*$G$5)*(L18*106.6%)</f>
        <v>18678462.660000004</v>
      </c>
      <c r="S18" s="229">
        <f t="shared" ref="S18:S23" si="15">+(C18*$H$5)*(K18*109.9%)</f>
        <v>35841497.422500007</v>
      </c>
      <c r="T18" s="229">
        <f t="shared" ref="T18:T23" si="16">+(C18*$H$5)*(L18*109.9%)</f>
        <v>21182357.889000006</v>
      </c>
      <c r="U18" s="229">
        <f t="shared" ref="U18:U23" si="17">+(C18*$I$5)*(K18*112.12%)</f>
        <v>40222052.41230002</v>
      </c>
      <c r="V18" s="229">
        <f t="shared" ref="V18:V23" si="18">+(C18*$I$5)*(L18*109.9%)</f>
        <v>23300593.677900013</v>
      </c>
    </row>
    <row r="19" spans="2:22">
      <c r="B19" s="120" t="s">
        <v>128</v>
      </c>
      <c r="C19" s="152">
        <v>0.19</v>
      </c>
      <c r="D19" s="153">
        <f>+'COSTO DE PRODUCCION'!I6</f>
        <v>336628</v>
      </c>
      <c r="E19" s="154">
        <f t="shared" si="4"/>
        <v>57563388</v>
      </c>
      <c r="F19" s="154">
        <f t="shared" si="5"/>
        <v>65409277.784400009</v>
      </c>
      <c r="G19" s="154">
        <f t="shared" si="6"/>
        <v>74248711.645679995</v>
      </c>
      <c r="H19" s="154">
        <f t="shared" si="7"/>
        <v>84201939.501372024</v>
      </c>
      <c r="I19" s="155">
        <f t="shared" si="8"/>
        <v>94493117.402941003</v>
      </c>
      <c r="K19" s="133">
        <f>+'COSTO DE PRODUCCION'!G6</f>
        <v>198428</v>
      </c>
      <c r="L19" s="133">
        <f>+'COSTO DE PRODUCCION'!H6</f>
        <v>138200</v>
      </c>
      <c r="M19" s="229">
        <f t="shared" si="9"/>
        <v>33931188</v>
      </c>
      <c r="N19" s="229">
        <f t="shared" si="10"/>
        <v>23632200</v>
      </c>
      <c r="O19" s="229">
        <f t="shared" si="11"/>
        <v>38556008.924400002</v>
      </c>
      <c r="P19" s="229">
        <f t="shared" si="12"/>
        <v>26853268.859999999</v>
      </c>
      <c r="Q19" s="229">
        <f t="shared" si="13"/>
        <v>43766482.153680004</v>
      </c>
      <c r="R19" s="229">
        <f t="shared" si="14"/>
        <v>30482229.492000002</v>
      </c>
      <c r="S19" s="229">
        <f t="shared" si="15"/>
        <v>49633489.939572014</v>
      </c>
      <c r="T19" s="229">
        <f t="shared" si="16"/>
        <v>34568449.561800003</v>
      </c>
      <c r="U19" s="229">
        <f t="shared" si="17"/>
        <v>55699705.015716985</v>
      </c>
      <c r="V19" s="229">
        <f t="shared" si="18"/>
        <v>38025294.517980017</v>
      </c>
    </row>
    <row r="20" spans="2:22">
      <c r="B20" s="120" t="s">
        <v>129</v>
      </c>
      <c r="C20" s="152">
        <v>0.43</v>
      </c>
      <c r="D20" s="153">
        <f>+'COSTO DE PRODUCCION'!I7</f>
        <v>227251</v>
      </c>
      <c r="E20" s="154">
        <f t="shared" si="4"/>
        <v>87946137</v>
      </c>
      <c r="F20" s="154">
        <f t="shared" si="5"/>
        <v>99933195.473100007</v>
      </c>
      <c r="G20" s="154">
        <f t="shared" si="6"/>
        <v>113438204.27082001</v>
      </c>
      <c r="H20" s="154">
        <f t="shared" si="7"/>
        <v>128644882.87335302</v>
      </c>
      <c r="I20" s="155">
        <f t="shared" si="8"/>
        <v>144367886.21052209</v>
      </c>
      <c r="K20" s="133">
        <f>+'COSTO DE PRODUCCION'!G7</f>
        <v>132351</v>
      </c>
      <c r="L20" s="133">
        <f>+'COSTO DE PRODUCCION'!H7</f>
        <v>94900</v>
      </c>
      <c r="M20" s="229">
        <f t="shared" si="9"/>
        <v>51219837</v>
      </c>
      <c r="N20" s="229">
        <f t="shared" si="10"/>
        <v>36726300</v>
      </c>
      <c r="O20" s="229">
        <f t="shared" si="11"/>
        <v>58201100.783100002</v>
      </c>
      <c r="P20" s="229">
        <f t="shared" si="12"/>
        <v>41732094.690000005</v>
      </c>
      <c r="Q20" s="229">
        <f t="shared" si="13"/>
        <v>66066418.952819996</v>
      </c>
      <c r="R20" s="229">
        <f t="shared" si="14"/>
        <v>47371785.318000004</v>
      </c>
      <c r="S20" s="229">
        <f t="shared" si="15"/>
        <v>74922789.748653024</v>
      </c>
      <c r="T20" s="229">
        <f t="shared" si="16"/>
        <v>53722093.124700002</v>
      </c>
      <c r="U20" s="229">
        <f t="shared" si="17"/>
        <v>84079868.10992606</v>
      </c>
      <c r="V20" s="229">
        <f t="shared" si="18"/>
        <v>59094302.437170014</v>
      </c>
    </row>
    <row r="21" spans="2:22">
      <c r="B21" s="120" t="s">
        <v>131</v>
      </c>
      <c r="C21" s="152">
        <v>0.24</v>
      </c>
      <c r="D21" s="153">
        <f>+'COSTO DE PRODUCCION'!I8</f>
        <v>191996</v>
      </c>
      <c r="E21" s="154">
        <f t="shared" si="4"/>
        <v>41471136</v>
      </c>
      <c r="F21" s="154">
        <f t="shared" si="5"/>
        <v>47123651.836800002</v>
      </c>
      <c r="G21" s="154">
        <f t="shared" si="6"/>
        <v>53491959.480960011</v>
      </c>
      <c r="H21" s="154">
        <f t="shared" si="7"/>
        <v>60662692.135584004</v>
      </c>
      <c r="I21" s="155">
        <f t="shared" si="8"/>
        <v>68076898.511973143</v>
      </c>
      <c r="K21" s="133">
        <f>+'COSTO DE PRODUCCION'!G8</f>
        <v>91606</v>
      </c>
      <c r="L21" s="133">
        <f>+'COSTO DE PRODUCCION'!H8</f>
        <v>76470</v>
      </c>
      <c r="M21" s="229">
        <f t="shared" si="9"/>
        <v>19786896</v>
      </c>
      <c r="N21" s="229">
        <f t="shared" si="10"/>
        <v>16517520</v>
      </c>
      <c r="O21" s="229">
        <f t="shared" si="11"/>
        <v>22483849.924800001</v>
      </c>
      <c r="P21" s="229">
        <f t="shared" si="12"/>
        <v>18768857.976</v>
      </c>
      <c r="Q21" s="229">
        <f t="shared" si="13"/>
        <v>25522325.674560003</v>
      </c>
      <c r="R21" s="229">
        <f t="shared" si="14"/>
        <v>21305288.347200003</v>
      </c>
      <c r="S21" s="229">
        <f t="shared" si="15"/>
        <v>28943658.075024001</v>
      </c>
      <c r="T21" s="229">
        <f t="shared" si="16"/>
        <v>24161316.212880004</v>
      </c>
      <c r="U21" s="229">
        <f t="shared" si="17"/>
        <v>32481157.758952331</v>
      </c>
      <c r="V21" s="229">
        <f t="shared" si="18"/>
        <v>26577447.834168009</v>
      </c>
    </row>
    <row r="22" spans="2:22">
      <c r="B22" s="120" t="s">
        <v>132</v>
      </c>
      <c r="C22" s="152">
        <v>0.02</v>
      </c>
      <c r="D22" s="153">
        <f>+'COSTO DE PRODUCCION'!I9</f>
        <v>138518</v>
      </c>
      <c r="E22" s="154">
        <f t="shared" si="4"/>
        <v>2493324</v>
      </c>
      <c r="F22" s="154">
        <f t="shared" si="5"/>
        <v>2833164.0612000003</v>
      </c>
      <c r="G22" s="154">
        <f t="shared" si="6"/>
        <v>3216038.8946400001</v>
      </c>
      <c r="H22" s="154">
        <f t="shared" si="7"/>
        <v>3647157.0541560012</v>
      </c>
      <c r="I22" s="155">
        <f t="shared" si="8"/>
        <v>4092913.3194100815</v>
      </c>
      <c r="K22" s="133">
        <f>+'COSTO DE PRODUCCION'!G9</f>
        <v>92504</v>
      </c>
      <c r="L22" s="133">
        <f>+'COSTO DE PRODUCCION'!H9</f>
        <v>46014</v>
      </c>
      <c r="M22" s="229">
        <f t="shared" si="9"/>
        <v>1665072</v>
      </c>
      <c r="N22" s="229">
        <f t="shared" si="10"/>
        <v>828252</v>
      </c>
      <c r="O22" s="229">
        <f t="shared" si="11"/>
        <v>1892021.3136000005</v>
      </c>
      <c r="P22" s="229">
        <f t="shared" si="12"/>
        <v>941142.74760000024</v>
      </c>
      <c r="Q22" s="229">
        <f t="shared" si="13"/>
        <v>2147709.7699199999</v>
      </c>
      <c r="R22" s="229">
        <f t="shared" si="14"/>
        <v>1068329.12472</v>
      </c>
      <c r="S22" s="229">
        <f t="shared" si="15"/>
        <v>2435615.7043680004</v>
      </c>
      <c r="T22" s="229">
        <f t="shared" si="16"/>
        <v>1211541.3497880003</v>
      </c>
      <c r="U22" s="229">
        <f t="shared" si="17"/>
        <v>2733297.143322241</v>
      </c>
      <c r="V22" s="229">
        <f t="shared" si="18"/>
        <v>1332695.4847668004</v>
      </c>
    </row>
    <row r="23" spans="2:22">
      <c r="B23" s="120" t="s">
        <v>133</v>
      </c>
      <c r="C23" s="152">
        <v>0.02</v>
      </c>
      <c r="D23" s="153">
        <f>+'COSTO DE PRODUCCION'!I10</f>
        <v>138518</v>
      </c>
      <c r="E23" s="154">
        <f t="shared" si="4"/>
        <v>2493324</v>
      </c>
      <c r="F23" s="154">
        <f t="shared" si="5"/>
        <v>2833164.0612000003</v>
      </c>
      <c r="G23" s="154">
        <f t="shared" si="6"/>
        <v>3216038.8946400001</v>
      </c>
      <c r="H23" s="154">
        <f t="shared" si="7"/>
        <v>3647157.0541560012</v>
      </c>
      <c r="I23" s="155">
        <f t="shared" si="8"/>
        <v>4092913.3194100815</v>
      </c>
      <c r="K23" s="133">
        <f>+'COSTO DE PRODUCCION'!G10</f>
        <v>92504</v>
      </c>
      <c r="L23" s="133">
        <f>+'COSTO DE PRODUCCION'!H10</f>
        <v>46014</v>
      </c>
      <c r="M23" s="229">
        <f t="shared" si="9"/>
        <v>1665072</v>
      </c>
      <c r="N23" s="229">
        <f t="shared" si="10"/>
        <v>828252</v>
      </c>
      <c r="O23" s="229">
        <f t="shared" si="11"/>
        <v>1892021.3136000005</v>
      </c>
      <c r="P23" s="229">
        <f t="shared" si="12"/>
        <v>941142.74760000024</v>
      </c>
      <c r="Q23" s="229">
        <f t="shared" si="13"/>
        <v>2147709.7699199999</v>
      </c>
      <c r="R23" s="229">
        <f t="shared" si="14"/>
        <v>1068329.12472</v>
      </c>
      <c r="S23" s="229">
        <f t="shared" si="15"/>
        <v>2435615.7043680004</v>
      </c>
      <c r="T23" s="229">
        <f t="shared" si="16"/>
        <v>1211541.3497880003</v>
      </c>
      <c r="U23" s="229">
        <f t="shared" si="17"/>
        <v>2733297.143322241</v>
      </c>
      <c r="V23" s="229">
        <f t="shared" si="18"/>
        <v>1332695.4847668004</v>
      </c>
    </row>
    <row r="24" spans="2:22" ht="15.75" thickBot="1">
      <c r="B24" s="157" t="s">
        <v>183</v>
      </c>
      <c r="C24" s="158"/>
      <c r="D24" s="159">
        <f>300000*12</f>
        <v>3600000</v>
      </c>
      <c r="E24" s="160">
        <f>+D24</f>
        <v>3600000</v>
      </c>
      <c r="F24" s="160">
        <f>+(E24*F2)+E24</f>
        <v>3717000</v>
      </c>
      <c r="G24" s="160">
        <f>+(F24*G2)+F24</f>
        <v>3837802.5</v>
      </c>
      <c r="H24" s="160">
        <f>+(G24*H2)+G24</f>
        <v>3962531.0812499998</v>
      </c>
      <c r="I24" s="161">
        <f>+(H24*I2)+H24</f>
        <v>4091313.3413906246</v>
      </c>
      <c r="M24" s="231">
        <f t="shared" ref="M24:V24" si="19">SUM(M18:M23)</f>
        <v>132770565</v>
      </c>
      <c r="N24" s="231">
        <f t="shared" si="19"/>
        <v>93013524</v>
      </c>
      <c r="O24" s="231">
        <f t="shared" si="19"/>
        <v>150867193.00950003</v>
      </c>
      <c r="P24" s="231">
        <f t="shared" si="19"/>
        <v>105691267.3212</v>
      </c>
      <c r="Q24" s="231">
        <f t="shared" si="19"/>
        <v>171255440.9709</v>
      </c>
      <c r="R24" s="231">
        <f t="shared" si="19"/>
        <v>119974424.06664003</v>
      </c>
      <c r="S24" s="231">
        <f t="shared" si="19"/>
        <v>194212666.59448504</v>
      </c>
      <c r="T24" s="231">
        <f t="shared" si="19"/>
        <v>136057299.48795602</v>
      </c>
      <c r="U24" s="231">
        <f t="shared" si="19"/>
        <v>217949377.58353984</v>
      </c>
      <c r="V24" s="231">
        <f t="shared" si="19"/>
        <v>149663029.43675166</v>
      </c>
    </row>
    <row r="25" spans="2:22" ht="15" thickBot="1">
      <c r="B25" s="114"/>
      <c r="C25" s="114"/>
      <c r="D25" s="114"/>
      <c r="E25" s="114"/>
      <c r="F25" s="114"/>
      <c r="G25" s="114"/>
      <c r="H25" s="114"/>
      <c r="I25" s="114"/>
    </row>
    <row r="26" spans="2:22" ht="15">
      <c r="B26" s="106" t="s">
        <v>184</v>
      </c>
      <c r="C26" s="116"/>
      <c r="D26" s="116"/>
      <c r="E26" s="116"/>
      <c r="F26" s="116"/>
      <c r="G26" s="116"/>
      <c r="H26" s="116"/>
      <c r="I26" s="125"/>
    </row>
    <row r="27" spans="2:22">
      <c r="B27" s="108" t="s">
        <v>116</v>
      </c>
      <c r="C27" s="156"/>
      <c r="D27" s="154">
        <v>122608343</v>
      </c>
      <c r="E27" s="136">
        <f>+D27*3.3%+D27</f>
        <v>126654418.31900001</v>
      </c>
      <c r="F27" s="136">
        <f>+E27*3.3%+E27</f>
        <v>130834014.12352701</v>
      </c>
      <c r="G27" s="136">
        <f>+F27*3.3%+F27</f>
        <v>135151536.58960339</v>
      </c>
      <c r="H27" s="136">
        <f>+G27*3.3%+G27</f>
        <v>139611537.29706031</v>
      </c>
      <c r="I27" s="137">
        <f>+H27*3.3%+H27</f>
        <v>144218718.02786329</v>
      </c>
    </row>
    <row r="28" spans="2:22">
      <c r="B28" s="108" t="s">
        <v>185</v>
      </c>
      <c r="C28" s="156"/>
      <c r="D28" s="138"/>
      <c r="E28" s="136">
        <f>+'GASTOS ADMINISTRATIVOS'!D5</f>
        <v>84000000</v>
      </c>
      <c r="F28" s="136">
        <f>+'GASTOS ADMINISTRATIVOS'!E5</f>
        <v>86400000</v>
      </c>
      <c r="G28" s="136">
        <f>+'GASTOS ADMINISTRATIVOS'!F5</f>
        <v>88800000</v>
      </c>
      <c r="H28" s="136">
        <f>+'GASTOS ADMINISTRATIVOS'!G5</f>
        <v>0</v>
      </c>
      <c r="I28" s="137">
        <f>+'GASTOS ADMINISTRATIVOS'!H5</f>
        <v>0</v>
      </c>
    </row>
    <row r="29" spans="2:22">
      <c r="B29" s="108" t="s">
        <v>186</v>
      </c>
      <c r="C29" s="156"/>
      <c r="D29" s="138"/>
      <c r="E29" s="136">
        <v>10500000</v>
      </c>
      <c r="F29" s="136">
        <v>10846500</v>
      </c>
      <c r="G29" s="136">
        <v>11204434.5</v>
      </c>
      <c r="H29" s="136">
        <v>11574180.838499999</v>
      </c>
      <c r="I29" s="137">
        <v>11956128.806170497</v>
      </c>
    </row>
    <row r="30" spans="2:22">
      <c r="B30" s="108" t="s">
        <v>187</v>
      </c>
      <c r="C30" s="156"/>
      <c r="D30" s="138"/>
      <c r="E30" s="139">
        <v>30034150.427999664</v>
      </c>
      <c r="F30" s="139">
        <v>35277710.177093133</v>
      </c>
      <c r="G30" s="139">
        <v>41436725.114713609</v>
      </c>
      <c r="H30" s="139">
        <v>48671021.435717747</v>
      </c>
      <c r="I30" s="145">
        <v>57168328.844475791</v>
      </c>
    </row>
    <row r="31" spans="2:22">
      <c r="B31" s="108" t="s">
        <v>188</v>
      </c>
      <c r="C31" s="156"/>
      <c r="D31" s="138"/>
      <c r="E31" s="139">
        <v>32273973.997305091</v>
      </c>
      <c r="F31" s="139">
        <v>27030414.248211622</v>
      </c>
      <c r="G31" s="139">
        <v>20871399.310591139</v>
      </c>
      <c r="H31" s="139">
        <v>13637102.989587007</v>
      </c>
      <c r="I31" s="145">
        <v>5139795.580828961</v>
      </c>
    </row>
    <row r="32" spans="2:22">
      <c r="B32" s="108" t="s">
        <v>189</v>
      </c>
      <c r="C32" s="156"/>
      <c r="D32" s="138"/>
      <c r="E32" s="140">
        <v>10324999.9</v>
      </c>
      <c r="F32" s="140">
        <v>10324999.9</v>
      </c>
      <c r="G32" s="140">
        <v>10324999.9</v>
      </c>
      <c r="H32" s="140">
        <v>10324999.9</v>
      </c>
      <c r="I32" s="259">
        <v>10324999.9</v>
      </c>
    </row>
    <row r="33" spans="2:9" ht="15.75" thickBot="1">
      <c r="B33" s="107" t="s">
        <v>190</v>
      </c>
      <c r="C33" s="124"/>
      <c r="D33" s="142"/>
      <c r="E33" s="263">
        <f>SUM(E27:E32)</f>
        <v>293787542.64430475</v>
      </c>
      <c r="F33" s="263">
        <f>SUM(F27:F32)</f>
        <v>300713638.44883174</v>
      </c>
      <c r="G33" s="263">
        <f>SUM(G27:G32)</f>
        <v>307789095.41490811</v>
      </c>
      <c r="H33" s="263">
        <f>SUM(H27:H32)</f>
        <v>223818842.46086505</v>
      </c>
      <c r="I33" s="264">
        <f>SUM(I27:I32)</f>
        <v>228807971.15933856</v>
      </c>
    </row>
    <row r="34" spans="2:9">
      <c r="B34" s="115" t="s">
        <v>191</v>
      </c>
      <c r="C34" s="116"/>
      <c r="D34" s="143"/>
      <c r="E34" s="143">
        <f>+E15-E17-E33</f>
        <v>443481648.35569525</v>
      </c>
      <c r="F34" s="143">
        <f>+F15-F17-F33</f>
        <v>537419023.28446817</v>
      </c>
      <c r="G34" s="143">
        <f>+G15-G17-G33</f>
        <v>643990636.78835201</v>
      </c>
      <c r="H34" s="143">
        <f>+H15-H17-H33</f>
        <v>855939112.10776424</v>
      </c>
      <c r="I34" s="144">
        <f>+I15-I17-I33</f>
        <v>983273735.84659493</v>
      </c>
    </row>
    <row r="35" spans="2:9">
      <c r="B35" s="108" t="s">
        <v>192</v>
      </c>
      <c r="C35" s="164">
        <v>0.33</v>
      </c>
      <c r="D35" s="138"/>
      <c r="E35" s="138">
        <f>+E34*$C$35</f>
        <v>146348943.95737943</v>
      </c>
      <c r="F35" s="138">
        <f>+F34*$C$35</f>
        <v>177348277.68387452</v>
      </c>
      <c r="G35" s="138">
        <f>+G34*$C$35</f>
        <v>212516910.14015618</v>
      </c>
      <c r="H35" s="138">
        <f>+H34*$C$35</f>
        <v>282459906.9955622</v>
      </c>
      <c r="I35" s="141">
        <f>+I34*$C$35</f>
        <v>324480332.82937634</v>
      </c>
    </row>
    <row r="36" spans="2:9">
      <c r="B36" s="108" t="s">
        <v>177</v>
      </c>
      <c r="C36" s="156"/>
      <c r="D36" s="138"/>
      <c r="E36" s="138">
        <f>+E34-E35</f>
        <v>297132704.39831579</v>
      </c>
      <c r="F36" s="138">
        <f>+F34-F35</f>
        <v>360070745.60059369</v>
      </c>
      <c r="G36" s="138">
        <f>+G34-G35</f>
        <v>431473726.64819586</v>
      </c>
      <c r="H36" s="138">
        <f>+H34-H35</f>
        <v>573479205.11220205</v>
      </c>
      <c r="I36" s="141">
        <f>+I34-I35</f>
        <v>658793403.01721859</v>
      </c>
    </row>
    <row r="37" spans="2:9">
      <c r="B37" s="126" t="s">
        <v>193</v>
      </c>
      <c r="C37" s="156"/>
      <c r="D37" s="138"/>
      <c r="E37" s="140">
        <f>+E32</f>
        <v>10324999.9</v>
      </c>
      <c r="F37" s="138">
        <f>+F32</f>
        <v>10324999.9</v>
      </c>
      <c r="G37" s="138">
        <f>+G32</f>
        <v>10324999.9</v>
      </c>
      <c r="H37" s="138">
        <f>+H32</f>
        <v>10324999.9</v>
      </c>
      <c r="I37" s="141">
        <f>+I32</f>
        <v>10324999.9</v>
      </c>
    </row>
    <row r="38" spans="2:9">
      <c r="B38" s="126" t="s">
        <v>194</v>
      </c>
      <c r="C38" s="156"/>
      <c r="D38" s="138"/>
      <c r="E38" s="139">
        <f>+E30</f>
        <v>30034150.427999664</v>
      </c>
      <c r="F38" s="139">
        <f>+F30</f>
        <v>35277710.177093133</v>
      </c>
      <c r="G38" s="139">
        <f>+G30</f>
        <v>41436725.114713609</v>
      </c>
      <c r="H38" s="139">
        <f>+H30</f>
        <v>48671021.435717747</v>
      </c>
      <c r="I38" s="145">
        <f>+I30</f>
        <v>57168328.844475791</v>
      </c>
    </row>
    <row r="39" spans="2:9">
      <c r="B39" s="108" t="s">
        <v>195</v>
      </c>
      <c r="C39" s="156"/>
      <c r="D39" s="138"/>
      <c r="E39" s="156"/>
      <c r="F39" s="156"/>
      <c r="G39" s="156"/>
      <c r="H39" s="156"/>
      <c r="I39" s="119"/>
    </row>
    <row r="40" spans="2:9" ht="15.75" thickBot="1">
      <c r="B40" s="107" t="s">
        <v>330</v>
      </c>
      <c r="C40" s="142"/>
      <c r="D40" s="263">
        <v>-425175872</v>
      </c>
      <c r="E40" s="263">
        <f>SUM(E36:E38)</f>
        <v>337491854.72631544</v>
      </c>
      <c r="F40" s="263">
        <f>SUM(F36:F38)</f>
        <v>405673455.67768681</v>
      </c>
      <c r="G40" s="263">
        <f>SUM(G36:G38)</f>
        <v>483235451.66290945</v>
      </c>
      <c r="H40" s="263">
        <f>SUM(H36:H38)</f>
        <v>632475226.44791973</v>
      </c>
      <c r="I40" s="264">
        <f>SUM(I36:I38)</f>
        <v>726286731.76169431</v>
      </c>
    </row>
    <row r="41" spans="2:9">
      <c r="B41" s="114"/>
      <c r="C41" s="114"/>
      <c r="D41" s="114"/>
      <c r="E41" s="146"/>
      <c r="F41" s="146"/>
      <c r="G41" s="146"/>
      <c r="H41" s="146"/>
      <c r="I41" s="146"/>
    </row>
    <row r="42" spans="2:9">
      <c r="B42" s="127" t="s">
        <v>196</v>
      </c>
      <c r="C42" s="128">
        <f>NPV(C45,E40:I40)+D40</f>
        <v>1215490503.7454667</v>
      </c>
      <c r="D42" s="146" t="s">
        <v>197</v>
      </c>
      <c r="E42" s="146"/>
      <c r="F42" s="146"/>
      <c r="G42" s="146"/>
      <c r="H42" s="146"/>
      <c r="I42" s="146"/>
    </row>
    <row r="43" spans="2:9">
      <c r="B43" s="127" t="s">
        <v>198</v>
      </c>
      <c r="C43" s="129">
        <f>IRR(D40:I40)</f>
        <v>0.92688571804084963</v>
      </c>
      <c r="D43" s="146"/>
      <c r="E43" s="146"/>
      <c r="F43" s="146"/>
      <c r="G43" s="146"/>
      <c r="H43" s="146"/>
      <c r="I43" s="146"/>
    </row>
    <row r="44" spans="2:9">
      <c r="B44" s="127" t="s">
        <v>199</v>
      </c>
      <c r="C44" s="130">
        <f>NPER(C45,C46,D40)</f>
        <v>0.94194721906680257</v>
      </c>
      <c r="D44" s="146" t="s">
        <v>200</v>
      </c>
      <c r="E44" s="146"/>
      <c r="F44" s="146"/>
      <c r="G44" s="146"/>
      <c r="H44" s="146"/>
      <c r="I44" s="146"/>
    </row>
    <row r="45" spans="2:9">
      <c r="B45" s="127" t="s">
        <v>201</v>
      </c>
      <c r="C45" s="147">
        <v>0.15</v>
      </c>
      <c r="D45" s="146"/>
      <c r="E45" s="146"/>
      <c r="F45" s="146"/>
      <c r="G45" s="146"/>
      <c r="H45" s="146"/>
      <c r="I45" s="146"/>
    </row>
    <row r="46" spans="2:9">
      <c r="B46" s="127" t="s">
        <v>202</v>
      </c>
      <c r="C46" s="148">
        <f>+AVERAGE(E40:I40)</f>
        <v>517032544.05530518</v>
      </c>
      <c r="D46" s="146"/>
      <c r="E46" s="146"/>
      <c r="F46" s="146"/>
      <c r="G46" s="146"/>
      <c r="H46" s="146"/>
      <c r="I46" s="146"/>
    </row>
    <row r="47" spans="2:9">
      <c r="B47" s="291" t="s">
        <v>203</v>
      </c>
      <c r="C47" s="131">
        <f>NPV(C45,E40:I40)/-D40</f>
        <v>3.8587946395638055</v>
      </c>
      <c r="D47" s="146"/>
      <c r="E47" s="149"/>
      <c r="F47" s="146"/>
      <c r="G47" s="146"/>
      <c r="H47" s="146"/>
      <c r="I47" s="146"/>
    </row>
    <row r="48" spans="2:9">
      <c r="B48" s="127" t="s">
        <v>204</v>
      </c>
      <c r="C48" s="132">
        <f>PMT(C45,5,D40)</f>
        <v>126836575.14899206</v>
      </c>
      <c r="D48" s="146"/>
      <c r="E48" s="146"/>
      <c r="F48" s="146"/>
      <c r="G48" s="146"/>
      <c r="H48" s="146"/>
      <c r="I48" s="146"/>
    </row>
    <row r="49" spans="2:9">
      <c r="B49" s="217" t="s">
        <v>324</v>
      </c>
      <c r="C49" s="214">
        <f>(SUM(D18:D24)+E33)/(SUM(D7:D12)-0)</f>
        <v>49.438147831977624</v>
      </c>
      <c r="D49" s="213" t="s">
        <v>205</v>
      </c>
      <c r="E49" s="146"/>
      <c r="F49" s="146"/>
      <c r="G49" s="146"/>
      <c r="H49" s="146"/>
      <c r="I49" s="146"/>
    </row>
    <row r="50" spans="2:9">
      <c r="B50" s="212" t="s">
        <v>206</v>
      </c>
      <c r="C50" s="215">
        <f>(SUM(D18:D24)+E33)/1-(0-SUM(D7:D12))</f>
        <v>304898603.64430475</v>
      </c>
      <c r="D50" s="213"/>
      <c r="E50" s="146"/>
      <c r="F50" s="146"/>
      <c r="G50" s="146"/>
      <c r="H50" s="146"/>
      <c r="I50" s="146"/>
    </row>
    <row r="51" spans="2:9">
      <c r="B51" s="212" t="s">
        <v>207</v>
      </c>
      <c r="C51" s="214">
        <f>(SUM(D18:D24)+F33)/(SUM(D7:D12)-0)</f>
        <v>50.583903961758764</v>
      </c>
      <c r="D51" s="213" t="s">
        <v>205</v>
      </c>
      <c r="E51" s="146"/>
      <c r="F51" s="146"/>
      <c r="G51" s="146"/>
      <c r="H51" s="146"/>
      <c r="I51" s="146"/>
    </row>
    <row r="52" spans="2:9">
      <c r="B52" s="212" t="s">
        <v>208</v>
      </c>
      <c r="C52" s="215">
        <f>(SUM(D18:D24)+F33)/1-(0-SUM(D7:D12))</f>
        <v>311824699.44883174</v>
      </c>
      <c r="D52" s="213"/>
      <c r="E52" s="146"/>
      <c r="F52" s="146"/>
      <c r="G52" s="146"/>
      <c r="H52" s="146"/>
      <c r="I52" s="146"/>
    </row>
    <row r="53" spans="2:9">
      <c r="B53" s="212" t="s">
        <v>209</v>
      </c>
      <c r="C53" s="214">
        <f>(SUM(D18:D24)+G33)/(SUM(D7:D12)-0)</f>
        <v>51.754368306849976</v>
      </c>
      <c r="D53" s="213" t="s">
        <v>205</v>
      </c>
      <c r="E53" s="146"/>
      <c r="F53" s="146"/>
      <c r="G53" s="146"/>
      <c r="H53" s="146"/>
      <c r="I53" s="146"/>
    </row>
    <row r="54" spans="2:9">
      <c r="B54" s="212" t="s">
        <v>210</v>
      </c>
      <c r="C54" s="216">
        <f>(SUM(D18:D24)+G33)/1-(0-SUM(D7:D12))</f>
        <v>318900156.41490811</v>
      </c>
      <c r="D54" s="213"/>
      <c r="E54" s="146"/>
      <c r="F54" s="146"/>
      <c r="G54" s="146"/>
      <c r="H54" s="146"/>
      <c r="I54" s="146"/>
    </row>
    <row r="55" spans="2:9">
      <c r="B55" s="212" t="s">
        <v>211</v>
      </c>
      <c r="C55" s="214">
        <f>(SUM(D18:D24)+H33)/(SUM(D7:D12)-0)</f>
        <v>37.863507603120766</v>
      </c>
      <c r="D55" s="213" t="s">
        <v>205</v>
      </c>
      <c r="E55" s="146"/>
      <c r="F55" s="146"/>
      <c r="G55" s="146"/>
      <c r="H55" s="146"/>
      <c r="I55" s="146"/>
    </row>
    <row r="56" spans="2:9">
      <c r="B56" s="212" t="s">
        <v>212</v>
      </c>
      <c r="C56" s="216">
        <f>(SUM(D18:D24)+H33)/1-(0-SUM(D7:D12))</f>
        <v>234929903.46086505</v>
      </c>
      <c r="D56" s="213"/>
      <c r="E56" s="146"/>
      <c r="F56" s="146"/>
      <c r="G56" s="146"/>
      <c r="H56" s="146"/>
      <c r="I56" s="146"/>
    </row>
    <row r="57" spans="2:9">
      <c r="B57" s="212" t="s">
        <v>213</v>
      </c>
      <c r="C57" s="214">
        <f>(SUM(D18:D24)+I33)/(SUM(D7:D12)-0)</f>
        <v>38.6888390668881</v>
      </c>
      <c r="D57" s="213" t="s">
        <v>205</v>
      </c>
      <c r="E57" s="146"/>
      <c r="F57" s="146"/>
      <c r="G57" s="146"/>
      <c r="H57" s="146"/>
      <c r="I57" s="146"/>
    </row>
    <row r="58" spans="2:9">
      <c r="B58" s="212" t="s">
        <v>214</v>
      </c>
      <c r="C58" s="216">
        <f>(SUM(D18:D24)+I33)/1-(0-SUM(D7:D12))</f>
        <v>239919032.15933856</v>
      </c>
      <c r="D58" s="146"/>
      <c r="E58" s="146"/>
      <c r="F58" s="146"/>
      <c r="G58" s="146"/>
      <c r="H58" s="146"/>
      <c r="I58" s="146"/>
    </row>
    <row r="59" spans="2:9">
      <c r="B59" s="114"/>
      <c r="C59" s="114"/>
      <c r="E59" s="146"/>
      <c r="F59" s="146"/>
      <c r="G59" s="146"/>
      <c r="H59" s="146"/>
      <c r="I59" s="146"/>
    </row>
    <row r="60" spans="2:9">
      <c r="E60" s="146"/>
      <c r="F60" s="146"/>
      <c r="G60" s="146"/>
      <c r="H60" s="146"/>
      <c r="I60" s="146"/>
    </row>
    <row r="63" spans="2:9" ht="15">
      <c r="B63" s="324" t="s">
        <v>377</v>
      </c>
      <c r="C63" s="324"/>
    </row>
    <row r="64" spans="2:9">
      <c r="B64" s="230" t="s">
        <v>378</v>
      </c>
      <c r="C64" s="230" t="s">
        <v>379</v>
      </c>
    </row>
    <row r="65" spans="2:2">
      <c r="B65" s="229">
        <v>1215490503.7454667</v>
      </c>
    </row>
  </sheetData>
  <mergeCells count="1">
    <mergeCell ref="B63:C63"/>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dimension ref="A1:S67"/>
  <sheetViews>
    <sheetView showGridLines="0" topLeftCell="A17" workbookViewId="0">
      <pane xSplit="2" topLeftCell="C1" activePane="topRight" state="frozen"/>
      <selection activeCell="A17" sqref="A17"/>
      <selection pane="topRight" activeCell="A17" sqref="A17"/>
    </sheetView>
  </sheetViews>
  <sheetFormatPr baseColWidth="10" defaultRowHeight="12.75"/>
  <cols>
    <col min="1" max="1" width="2" customWidth="1"/>
    <col min="2" max="2" width="28.28515625" bestFit="1" customWidth="1"/>
    <col min="3" max="3" width="17.140625" bestFit="1" customWidth="1"/>
    <col min="4" max="4" width="16.85546875" bestFit="1" customWidth="1"/>
    <col min="5" max="5" width="19.140625" bestFit="1" customWidth="1"/>
    <col min="6" max="7" width="16.85546875" bestFit="1" customWidth="1"/>
    <col min="8" max="8" width="16.5703125" bestFit="1" customWidth="1"/>
    <col min="9" max="10" width="7.42578125" customWidth="1"/>
    <col min="14" max="14" width="14" bestFit="1" customWidth="1"/>
    <col min="15" max="17" width="14.85546875" bestFit="1" customWidth="1"/>
    <col min="18" max="18" width="15.5703125" bestFit="1" customWidth="1"/>
  </cols>
  <sheetData>
    <row r="1" spans="1:8" ht="14.25">
      <c r="B1" s="289"/>
      <c r="C1" s="328" t="s">
        <v>160</v>
      </c>
      <c r="D1" s="328"/>
      <c r="E1" s="328"/>
      <c r="F1" s="328"/>
      <c r="G1" s="329"/>
      <c r="H1" s="290"/>
    </row>
    <row r="2" spans="1:8" ht="14.25">
      <c r="B2" s="70"/>
      <c r="C2" s="330"/>
      <c r="D2" s="330"/>
      <c r="E2" s="330"/>
      <c r="F2" s="330"/>
      <c r="G2" s="331"/>
    </row>
    <row r="3" spans="1:8" ht="15">
      <c r="A3" s="288"/>
      <c r="B3" s="287"/>
      <c r="C3" s="101" t="s">
        <v>147</v>
      </c>
      <c r="D3" s="101" t="s">
        <v>148</v>
      </c>
      <c r="E3" s="101" t="s">
        <v>149</v>
      </c>
      <c r="F3" s="101" t="s">
        <v>150</v>
      </c>
      <c r="G3" s="101" t="s">
        <v>151</v>
      </c>
    </row>
    <row r="4" spans="1:8" ht="14.25">
      <c r="B4" s="93" t="s">
        <v>173</v>
      </c>
      <c r="C4" s="281">
        <f>+'FLUJO DE CAJA'!E15</f>
        <v>971820000</v>
      </c>
      <c r="D4" s="74">
        <f>+'FLUJO DE CAJA'!F15</f>
        <v>1104279066</v>
      </c>
      <c r="E4" s="74">
        <f>+'FLUJO DE CAJA'!G15</f>
        <v>1253511745.2000003</v>
      </c>
      <c r="F4" s="74">
        <f>+'FLUJO DE CAJA'!H15</f>
        <v>1421548169.5800004</v>
      </c>
      <c r="G4" s="74">
        <f>+'FLUJO DE CAJA'!I15</f>
        <v>1595290071.4344006</v>
      </c>
    </row>
    <row r="5" spans="1:8" ht="15" thickBot="1">
      <c r="B5" s="83" t="s">
        <v>152</v>
      </c>
      <c r="C5" s="282">
        <f>+'FLUJO DE CAJA'!E17</f>
        <v>234550809</v>
      </c>
      <c r="D5" s="80">
        <f>+'FLUJO DE CAJA'!F17</f>
        <v>266146404.2667</v>
      </c>
      <c r="E5" s="80">
        <f>+'FLUJO DE CAJA'!G17</f>
        <v>301732012.9967401</v>
      </c>
      <c r="F5" s="80">
        <f>+'FLUJO DE CAJA'!H17</f>
        <v>341790215.01137108</v>
      </c>
      <c r="G5" s="80">
        <f>+'FLUJO DE CAJA'!I17</f>
        <v>383208364.42846704</v>
      </c>
    </row>
    <row r="6" spans="1:8" ht="15.75" thickTop="1">
      <c r="B6" s="82" t="s">
        <v>153</v>
      </c>
      <c r="C6" s="283">
        <f>+C4-C5</f>
        <v>737269191</v>
      </c>
      <c r="D6" s="79">
        <f>+D4-D5</f>
        <v>838132661.73329997</v>
      </c>
      <c r="E6" s="79">
        <f>+E4-E5</f>
        <v>951779732.20326018</v>
      </c>
      <c r="F6" s="79">
        <f>+F4-F5</f>
        <v>1079757954.5686293</v>
      </c>
      <c r="G6" s="79">
        <f>+G4-G5</f>
        <v>1212081707.0059335</v>
      </c>
    </row>
    <row r="7" spans="1:8" ht="14.25">
      <c r="B7" s="76" t="s">
        <v>154</v>
      </c>
      <c r="C7" s="284">
        <f>+SUM(C8:C14)</f>
        <v>234733342.90000001</v>
      </c>
      <c r="D7" s="75">
        <f>+SUM(D8:D14)</f>
        <v>245944614.023527</v>
      </c>
      <c r="E7" s="75">
        <f>+SUM(E8:E14)</f>
        <v>253267002.78960341</v>
      </c>
      <c r="F7" s="75">
        <f>+SUM(F8:F14)</f>
        <v>260751769.98371032</v>
      </c>
      <c r="G7" s="75">
        <f>+SUM(G8:G14)</f>
        <v>268404272.13093215</v>
      </c>
    </row>
    <row r="8" spans="1:8" ht="14.25">
      <c r="B8" s="98" t="s">
        <v>40</v>
      </c>
      <c r="C8" s="281">
        <v>122608343</v>
      </c>
      <c r="D8" s="74">
        <f>+'FLUJO DE CAJA'!F27</f>
        <v>130834014.12352701</v>
      </c>
      <c r="E8" s="74">
        <f>+'FLUJO DE CAJA'!G27</f>
        <v>135151536.58960339</v>
      </c>
      <c r="F8" s="74">
        <f>+'FLUJO DE CAJA'!H27</f>
        <v>139611537.29706031</v>
      </c>
      <c r="G8" s="74">
        <f>+'FLUJO DE CAJA'!I27</f>
        <v>144218718.02786329</v>
      </c>
    </row>
    <row r="9" spans="1:8" ht="14.25">
      <c r="B9" s="98" t="s">
        <v>233</v>
      </c>
      <c r="C9" s="281">
        <v>10500000</v>
      </c>
      <c r="D9" s="74">
        <v>10846500</v>
      </c>
      <c r="E9" s="74">
        <v>11204434.5</v>
      </c>
      <c r="F9" s="74">
        <v>11574180.838499999</v>
      </c>
      <c r="G9" s="74">
        <v>11956128.806170497</v>
      </c>
    </row>
    <row r="10" spans="1:8" ht="14.25">
      <c r="B10" s="98" t="s">
        <v>175</v>
      </c>
      <c r="C10" s="281">
        <v>2500000</v>
      </c>
      <c r="D10" s="74">
        <v>2582500</v>
      </c>
      <c r="E10" s="74">
        <v>2667722.5</v>
      </c>
      <c r="F10" s="74">
        <v>2755757.3424999998</v>
      </c>
      <c r="G10" s="74">
        <v>2846697.3348024995</v>
      </c>
    </row>
    <row r="11" spans="1:8" ht="14.25">
      <c r="B11" s="98" t="s">
        <v>155</v>
      </c>
      <c r="C11" s="281">
        <v>10324999.9</v>
      </c>
      <c r="D11" s="74">
        <v>10324999.9</v>
      </c>
      <c r="E11" s="74">
        <v>10324999.9</v>
      </c>
      <c r="F11" s="74">
        <v>10324999.9</v>
      </c>
      <c r="G11" s="74">
        <v>10324999.9</v>
      </c>
    </row>
    <row r="12" spans="1:8" ht="14.25">
      <c r="B12" s="98" t="s">
        <v>234</v>
      </c>
      <c r="C12" s="281">
        <v>1200000</v>
      </c>
      <c r="D12" s="74">
        <v>1239600</v>
      </c>
      <c r="E12" s="74">
        <v>1280506.7999999998</v>
      </c>
      <c r="F12" s="74">
        <v>1322763.5243999998</v>
      </c>
      <c r="G12" s="74">
        <v>1366414.7207051998</v>
      </c>
    </row>
    <row r="13" spans="1:8" ht="14.25">
      <c r="B13" s="180" t="s">
        <v>232</v>
      </c>
      <c r="C13" s="285">
        <v>3600000</v>
      </c>
      <c r="D13" s="97">
        <v>3717000</v>
      </c>
      <c r="E13" s="97">
        <v>3837802.5</v>
      </c>
      <c r="F13" s="97">
        <v>3962531.0812499998</v>
      </c>
      <c r="G13" s="97">
        <v>4091313.3413906246</v>
      </c>
    </row>
    <row r="14" spans="1:8" ht="15" thickBot="1">
      <c r="B14" s="100" t="s">
        <v>174</v>
      </c>
      <c r="C14" s="282">
        <v>84000000</v>
      </c>
      <c r="D14" s="80">
        <v>86400000</v>
      </c>
      <c r="E14" s="80">
        <v>88800000</v>
      </c>
      <c r="F14" s="80">
        <v>91200000</v>
      </c>
      <c r="G14" s="80">
        <v>93600000</v>
      </c>
    </row>
    <row r="15" spans="1:8" ht="15.75" thickTop="1">
      <c r="B15" s="82" t="s">
        <v>156</v>
      </c>
      <c r="C15" s="283">
        <f>+C6-C7</f>
        <v>502535848.10000002</v>
      </c>
      <c r="D15" s="79">
        <f>+D6-D7</f>
        <v>592188047.70977294</v>
      </c>
      <c r="E15" s="79">
        <f>+E6-E7</f>
        <v>698512729.41365671</v>
      </c>
      <c r="F15" s="79">
        <f>+F6-F7</f>
        <v>819006184.58491898</v>
      </c>
      <c r="G15" s="79">
        <f>+G6-G7</f>
        <v>943677434.87500143</v>
      </c>
    </row>
    <row r="16" spans="1:8" ht="14.25">
      <c r="B16" s="76" t="s">
        <v>157</v>
      </c>
      <c r="C16" s="286">
        <v>0</v>
      </c>
      <c r="D16" s="73">
        <v>0</v>
      </c>
      <c r="E16" s="73">
        <v>0</v>
      </c>
      <c r="F16" s="73">
        <v>0</v>
      </c>
      <c r="G16" s="73">
        <v>0</v>
      </c>
    </row>
    <row r="17" spans="2:18" ht="14.25">
      <c r="B17" s="76" t="s">
        <v>158</v>
      </c>
      <c r="C17" s="281">
        <f>+C18</f>
        <v>32273973.997305091</v>
      </c>
      <c r="D17" s="74">
        <f>+D18</f>
        <v>27030414.248211622</v>
      </c>
      <c r="E17" s="74">
        <f>+E18</f>
        <v>20871399.310591139</v>
      </c>
      <c r="F17" s="74">
        <f>+F18</f>
        <v>13637102.989587007</v>
      </c>
      <c r="G17" s="74">
        <f>+G18</f>
        <v>5139795.580828961</v>
      </c>
    </row>
    <row r="18" spans="2:18" ht="15" thickBot="1">
      <c r="B18" s="100" t="s">
        <v>236</v>
      </c>
      <c r="C18" s="282">
        <v>32273973.997305091</v>
      </c>
      <c r="D18" s="80">
        <v>27030414.248211622</v>
      </c>
      <c r="E18" s="80">
        <v>20871399.310591139</v>
      </c>
      <c r="F18" s="80">
        <v>13637102.989587007</v>
      </c>
      <c r="G18" s="80">
        <v>5139795.580828961</v>
      </c>
    </row>
    <row r="19" spans="2:18" ht="15.75" thickTop="1">
      <c r="B19" s="82" t="s">
        <v>159</v>
      </c>
      <c r="C19" s="79">
        <f>+C15+C16-C17</f>
        <v>470261874.10269493</v>
      </c>
      <c r="D19" s="79">
        <f>+D15+D16-D17</f>
        <v>565157633.46156132</v>
      </c>
      <c r="E19" s="79">
        <f>+E15+E16-E17</f>
        <v>677641330.10306561</v>
      </c>
      <c r="F19" s="79">
        <f>+F15+F16-F17</f>
        <v>805369081.59533203</v>
      </c>
      <c r="G19" s="79">
        <f>+G15+G16-G17</f>
        <v>938537639.29417253</v>
      </c>
    </row>
    <row r="20" spans="2:18" ht="15" thickBot="1">
      <c r="B20" s="99" t="s">
        <v>215</v>
      </c>
      <c r="C20" s="109">
        <f>+C19*33%</f>
        <v>155186418.45388934</v>
      </c>
      <c r="D20" s="81">
        <f>+D19*33%</f>
        <v>186502019.04231524</v>
      </c>
      <c r="E20" s="81">
        <f>+E19*33%</f>
        <v>223621638.93401167</v>
      </c>
      <c r="F20" s="109">
        <f>+F19*33%</f>
        <v>265771796.92645958</v>
      </c>
      <c r="G20" s="109">
        <f>+G19*33%</f>
        <v>309717420.96707696</v>
      </c>
    </row>
    <row r="21" spans="2:18" ht="15.75" thickTop="1">
      <c r="B21" s="82" t="s">
        <v>332</v>
      </c>
      <c r="C21" s="110">
        <f>+C19-C20</f>
        <v>315075455.64880562</v>
      </c>
      <c r="D21" s="84">
        <f>+D19-D20</f>
        <v>378655614.41924608</v>
      </c>
      <c r="E21" s="84">
        <f>+E19-E20</f>
        <v>454019691.16905391</v>
      </c>
      <c r="F21" s="110">
        <f>+F19-F20</f>
        <v>539597284.66887248</v>
      </c>
      <c r="G21" s="110">
        <f>+G19-G20</f>
        <v>628820218.32709551</v>
      </c>
    </row>
    <row r="23" spans="2:18">
      <c r="B23" s="190"/>
      <c r="C23" s="332" t="s">
        <v>320</v>
      </c>
      <c r="D23" s="333"/>
      <c r="E23" s="333"/>
      <c r="F23" s="333"/>
      <c r="G23" s="333"/>
      <c r="H23" s="334"/>
      <c r="I23" s="190"/>
      <c r="J23" s="190"/>
      <c r="K23" s="190"/>
      <c r="L23" s="190"/>
      <c r="M23" s="190"/>
      <c r="N23" s="190"/>
      <c r="O23" s="190"/>
      <c r="P23" s="190"/>
      <c r="Q23" s="190"/>
      <c r="R23" s="190"/>
    </row>
    <row r="24" spans="2:18" ht="15">
      <c r="B24" s="208"/>
      <c r="C24" s="335"/>
      <c r="D24" s="336"/>
      <c r="E24" s="336"/>
      <c r="F24" s="336"/>
      <c r="G24" s="336"/>
      <c r="H24" s="337"/>
      <c r="I24" s="190"/>
      <c r="J24" s="190"/>
      <c r="K24" s="338" t="s">
        <v>271</v>
      </c>
      <c r="L24" s="339"/>
      <c r="M24" s="339"/>
      <c r="N24" s="339"/>
      <c r="O24" s="339"/>
      <c r="P24" s="339"/>
      <c r="Q24" s="339"/>
      <c r="R24" s="339"/>
    </row>
    <row r="25" spans="2:18" ht="15">
      <c r="B25" s="190"/>
      <c r="C25" s="191" t="s">
        <v>272</v>
      </c>
      <c r="D25" s="191" t="s">
        <v>147</v>
      </c>
      <c r="E25" s="191" t="s">
        <v>148</v>
      </c>
      <c r="F25" s="191" t="s">
        <v>149</v>
      </c>
      <c r="G25" s="191" t="s">
        <v>150</v>
      </c>
      <c r="H25" s="191" t="s">
        <v>151</v>
      </c>
      <c r="I25" s="190"/>
      <c r="J25" s="190"/>
      <c r="K25" s="340" t="s">
        <v>273</v>
      </c>
      <c r="L25" s="341"/>
      <c r="M25" s="341"/>
      <c r="N25" s="341"/>
      <c r="O25" s="341"/>
      <c r="P25" s="341"/>
      <c r="Q25" s="341"/>
      <c r="R25" s="341"/>
    </row>
    <row r="26" spans="2:18" ht="15">
      <c r="B26" s="342" t="s">
        <v>274</v>
      </c>
      <c r="C26" s="342"/>
      <c r="D26" s="342"/>
      <c r="E26" s="342"/>
      <c r="F26" s="342"/>
      <c r="G26" s="342"/>
      <c r="H26" s="342"/>
      <c r="I26" s="190"/>
      <c r="J26" s="190"/>
      <c r="K26" s="343"/>
      <c r="L26" s="344"/>
      <c r="M26" s="345"/>
      <c r="N26" s="192" t="s">
        <v>147</v>
      </c>
      <c r="O26" s="192" t="s">
        <v>148</v>
      </c>
      <c r="P26" s="192" t="s">
        <v>149</v>
      </c>
      <c r="Q26" s="192" t="s">
        <v>150</v>
      </c>
      <c r="R26" s="192" t="s">
        <v>151</v>
      </c>
    </row>
    <row r="27" spans="2:18" ht="15">
      <c r="B27" s="193" t="s">
        <v>275</v>
      </c>
      <c r="C27" s="194">
        <f>502587936-C38</f>
        <v>311499291</v>
      </c>
      <c r="D27" s="194">
        <v>430038155</v>
      </c>
      <c r="E27" s="194">
        <v>732798937.71366835</v>
      </c>
      <c r="F27" s="194">
        <v>207706143.96634507</v>
      </c>
      <c r="G27" s="194">
        <v>701428937.3659035</v>
      </c>
      <c r="H27" s="194">
        <v>1268626909.7695718</v>
      </c>
      <c r="I27" s="190"/>
      <c r="J27" s="190"/>
      <c r="K27" s="325" t="s">
        <v>276</v>
      </c>
      <c r="L27" s="326"/>
      <c r="M27" s="327"/>
      <c r="N27" s="195">
        <f>D29/D45</f>
        <v>2.1365065408223849</v>
      </c>
      <c r="O27" s="195">
        <f>E29/E45</f>
        <v>3.1879942849688803</v>
      </c>
      <c r="P27" s="195">
        <f>F29/F45</f>
        <v>1.7718627899426442</v>
      </c>
      <c r="Q27" s="195">
        <f>G29/G45</f>
        <v>3.4925774105876504</v>
      </c>
      <c r="R27" s="195">
        <f>H29/H45</f>
        <v>5.6413162867762008</v>
      </c>
    </row>
    <row r="28" spans="2:18" ht="15">
      <c r="B28" s="193" t="s">
        <v>277</v>
      </c>
      <c r="C28" s="196"/>
      <c r="D28" s="194">
        <f>+C4*0.3</f>
        <v>291546000</v>
      </c>
      <c r="E28" s="194">
        <f>+D4*0.3</f>
        <v>331283719.80000001</v>
      </c>
      <c r="F28" s="194">
        <f>+E4*0.3</f>
        <v>376053523.56000006</v>
      </c>
      <c r="G28" s="194">
        <f>+F4*0.3</f>
        <v>426464450.87400013</v>
      </c>
      <c r="H28" s="194">
        <f>+G4*0.3</f>
        <v>478587021.43032014</v>
      </c>
      <c r="I28" s="208"/>
      <c r="J28" s="190"/>
      <c r="K28" s="325" t="s">
        <v>278</v>
      </c>
      <c r="L28" s="326"/>
      <c r="M28" s="327"/>
      <c r="N28" s="197">
        <f>D29-D45</f>
        <v>383843950.97411036</v>
      </c>
      <c r="O28" s="197">
        <f>E29-E45</f>
        <v>730304563.07644582</v>
      </c>
      <c r="P28" s="197">
        <f>F29-F45</f>
        <v>254298678.31213987</v>
      </c>
      <c r="Q28" s="197">
        <f>G29-G45</f>
        <v>804953262.46896827</v>
      </c>
      <c r="R28" s="197">
        <f>H29-H45</f>
        <v>1437496510.232815</v>
      </c>
    </row>
    <row r="29" spans="2:18" ht="15">
      <c r="B29" s="193" t="s">
        <v>279</v>
      </c>
      <c r="C29" s="194">
        <f t="shared" ref="C29:H29" si="0">SUM(C27:C28)</f>
        <v>311499291</v>
      </c>
      <c r="D29" s="194">
        <f t="shared" si="0"/>
        <v>721584155</v>
      </c>
      <c r="E29" s="194">
        <f t="shared" si="0"/>
        <v>1064082657.5136683</v>
      </c>
      <c r="F29" s="194">
        <f t="shared" si="0"/>
        <v>583759667.52634513</v>
      </c>
      <c r="G29" s="194">
        <f t="shared" si="0"/>
        <v>1127893388.2399037</v>
      </c>
      <c r="H29" s="194">
        <f t="shared" si="0"/>
        <v>1747213931.199892</v>
      </c>
      <c r="I29" s="190"/>
      <c r="J29" s="190"/>
      <c r="K29" s="346" t="s">
        <v>280</v>
      </c>
      <c r="L29" s="347"/>
      <c r="M29" s="347"/>
      <c r="N29" s="347"/>
      <c r="O29" s="347"/>
      <c r="P29" s="347"/>
      <c r="Q29" s="347"/>
      <c r="R29" s="347"/>
    </row>
    <row r="30" spans="2:18" ht="15">
      <c r="B30" s="342" t="s">
        <v>281</v>
      </c>
      <c r="C30" s="342"/>
      <c r="D30" s="342"/>
      <c r="E30" s="342"/>
      <c r="F30" s="342"/>
      <c r="G30" s="342"/>
      <c r="H30" s="342"/>
      <c r="I30" s="190"/>
      <c r="J30" s="190"/>
      <c r="K30" s="325" t="s">
        <v>282</v>
      </c>
      <c r="L30" s="326"/>
      <c r="M30" s="327"/>
      <c r="N30" s="195">
        <f>D49/D39</f>
        <v>0.35822506807965737</v>
      </c>
      <c r="O30" s="195">
        <f>E49/E39</f>
        <v>0.25334024484469075</v>
      </c>
      <c r="P30" s="195">
        <f>F49/F39</f>
        <v>0.18642983165116456</v>
      </c>
      <c r="Q30" s="195">
        <f>G49/G39</f>
        <v>0.14039116041319502</v>
      </c>
      <c r="R30" s="195">
        <f>H49/H39</f>
        <v>0.10621727130466818</v>
      </c>
    </row>
    <row r="31" spans="2:18" ht="15">
      <c r="B31" s="193" t="s">
        <v>283</v>
      </c>
      <c r="C31" s="198">
        <v>10338599</v>
      </c>
      <c r="D31" s="198">
        <v>10338599</v>
      </c>
      <c r="E31" s="198">
        <v>10338599</v>
      </c>
      <c r="F31" s="198">
        <v>10338599</v>
      </c>
      <c r="G31" s="198">
        <v>10338599</v>
      </c>
      <c r="H31" s="198">
        <v>10338599</v>
      </c>
      <c r="I31" s="190"/>
      <c r="J31" s="190"/>
      <c r="K31" s="325" t="s">
        <v>284</v>
      </c>
      <c r="L31" s="326"/>
      <c r="M31" s="327"/>
      <c r="N31" s="195">
        <f>D45/D39</f>
        <v>0.35822506807965737</v>
      </c>
      <c r="O31" s="195">
        <f>E45/E39</f>
        <v>0.25334024484469075</v>
      </c>
      <c r="P31" s="195">
        <f>F45/F39</f>
        <v>0.18642983165116456</v>
      </c>
      <c r="Q31" s="195">
        <f>G45/G39</f>
        <v>0.14039116041319502</v>
      </c>
      <c r="R31" s="195">
        <f>H45/H39</f>
        <v>0.10621727130466818</v>
      </c>
    </row>
    <row r="32" spans="2:18" ht="15">
      <c r="B32" s="193" t="s">
        <v>285</v>
      </c>
      <c r="C32" s="198">
        <v>11299700</v>
      </c>
      <c r="D32" s="198">
        <v>11299700</v>
      </c>
      <c r="E32" s="198">
        <v>11299700</v>
      </c>
      <c r="F32" s="198">
        <v>11299700</v>
      </c>
      <c r="G32" s="198">
        <v>11299700</v>
      </c>
      <c r="H32" s="198">
        <v>11299700</v>
      </c>
      <c r="I32" s="190"/>
      <c r="J32" s="190"/>
      <c r="K32" s="325" t="s">
        <v>287</v>
      </c>
      <c r="L32" s="326"/>
      <c r="M32" s="327"/>
      <c r="N32" s="200">
        <f>C18/C15</f>
        <v>6.4222232342881269E-2</v>
      </c>
      <c r="O32" s="200">
        <f>D18/D15</f>
        <v>4.5644984482123542E-2</v>
      </c>
      <c r="P32" s="200">
        <f>E18/E15</f>
        <v>2.987976944688029E-2</v>
      </c>
      <c r="Q32" s="200">
        <f>F18/F15</f>
        <v>1.6650793664639341E-2</v>
      </c>
      <c r="R32" s="200">
        <f>G18/G15</f>
        <v>5.4465597998640007E-3</v>
      </c>
    </row>
    <row r="33" spans="2:19" ht="15">
      <c r="B33" s="193" t="s">
        <v>286</v>
      </c>
      <c r="C33" s="198">
        <v>135000000</v>
      </c>
      <c r="D33" s="198">
        <v>135000000</v>
      </c>
      <c r="E33" s="198">
        <v>135000000</v>
      </c>
      <c r="F33" s="198">
        <v>135000000</v>
      </c>
      <c r="G33" s="198">
        <v>135000000</v>
      </c>
      <c r="H33" s="198">
        <v>135000000</v>
      </c>
      <c r="I33" s="190"/>
      <c r="J33" s="190"/>
      <c r="K33" s="325" t="s">
        <v>288</v>
      </c>
      <c r="L33" s="326"/>
      <c r="M33" s="327"/>
      <c r="N33" s="199">
        <f>D45/D49</f>
        <v>1</v>
      </c>
      <c r="O33" s="199">
        <f>E45/E49</f>
        <v>1</v>
      </c>
      <c r="P33" s="199">
        <f>F45/F49</f>
        <v>1</v>
      </c>
      <c r="Q33" s="199">
        <f>G45/G49</f>
        <v>1</v>
      </c>
      <c r="R33" s="199">
        <f>H45/H49</f>
        <v>1</v>
      </c>
    </row>
    <row r="34" spans="2:19" ht="15">
      <c r="B34" s="193" t="s">
        <v>333</v>
      </c>
      <c r="C34" s="198">
        <v>0</v>
      </c>
      <c r="D34" s="198">
        <v>0</v>
      </c>
      <c r="E34" s="198">
        <v>0</v>
      </c>
      <c r="F34" s="198">
        <v>980000000</v>
      </c>
      <c r="G34" s="198">
        <v>980000000</v>
      </c>
      <c r="H34" s="198">
        <v>980000000</v>
      </c>
      <c r="I34" s="190"/>
      <c r="J34" s="190"/>
      <c r="K34" s="325" t="s">
        <v>291</v>
      </c>
      <c r="L34" s="326"/>
      <c r="M34" s="327"/>
      <c r="N34" s="201"/>
      <c r="O34" s="195"/>
      <c r="P34" s="196"/>
      <c r="Q34" s="196"/>
      <c r="R34" s="196"/>
    </row>
    <row r="35" spans="2:19" ht="15">
      <c r="B35" s="193" t="s">
        <v>331</v>
      </c>
      <c r="C35" s="198">
        <v>33370346</v>
      </c>
      <c r="D35" s="198">
        <v>73838206</v>
      </c>
      <c r="E35" s="198">
        <v>106033208.35079999</v>
      </c>
      <c r="F35" s="198">
        <v>56058784.284159958</v>
      </c>
      <c r="G35" s="198">
        <v>45001484.796203941</v>
      </c>
      <c r="H35" s="198">
        <v>41278455.359452277</v>
      </c>
      <c r="I35" s="190"/>
      <c r="J35" s="190"/>
      <c r="K35" s="325" t="s">
        <v>293</v>
      </c>
      <c r="L35" s="326"/>
      <c r="M35" s="327"/>
      <c r="N35" s="195">
        <f>D49/D54</f>
        <v>0.55817865503028907</v>
      </c>
      <c r="O35" s="195">
        <f>E49/E54</f>
        <v>0.33929811164156137</v>
      </c>
      <c r="P35" s="195">
        <f>F49/F54</f>
        <v>0.22915027979586822</v>
      </c>
      <c r="Q35" s="195">
        <f>G49/G54</f>
        <v>0.16331981941144369</v>
      </c>
      <c r="R35" s="195">
        <f>H49/H54</f>
        <v>0.11884014751373645</v>
      </c>
    </row>
    <row r="36" spans="2:19" ht="15">
      <c r="B36" s="193" t="s">
        <v>155</v>
      </c>
      <c r="C36" s="198">
        <v>0</v>
      </c>
      <c r="D36" s="198">
        <v>-10324999.9</v>
      </c>
      <c r="E36" s="198">
        <v>-10324999.9</v>
      </c>
      <c r="F36" s="198">
        <v>-10324999.9</v>
      </c>
      <c r="G36" s="198">
        <v>-10324999.9</v>
      </c>
      <c r="H36" s="198">
        <v>-10324999.9</v>
      </c>
      <c r="I36" s="190"/>
      <c r="J36" s="190"/>
      <c r="K36" s="346" t="s">
        <v>294</v>
      </c>
      <c r="L36" s="347"/>
      <c r="M36" s="347"/>
      <c r="N36" s="347"/>
      <c r="O36" s="347"/>
      <c r="P36" s="347"/>
      <c r="Q36" s="347"/>
      <c r="R36" s="347"/>
    </row>
    <row r="37" spans="2:19" ht="15">
      <c r="B37" s="193" t="s">
        <v>289</v>
      </c>
      <c r="C37" s="198">
        <v>1080000</v>
      </c>
      <c r="D37" s="198">
        <v>1080000</v>
      </c>
      <c r="E37" s="198">
        <v>1080000</v>
      </c>
      <c r="F37" s="198">
        <v>1080000</v>
      </c>
      <c r="G37" s="198">
        <v>1080000</v>
      </c>
      <c r="H37" s="198">
        <v>1080000</v>
      </c>
      <c r="I37" s="190"/>
      <c r="J37" s="190"/>
      <c r="K37" s="325" t="s">
        <v>296</v>
      </c>
      <c r="L37" s="326"/>
      <c r="M37" s="327"/>
      <c r="N37" s="195">
        <f>+C6/C4</f>
        <v>0.75864788849787002</v>
      </c>
      <c r="O37" s="195">
        <f>+D6/D4</f>
        <v>0.75898628122078338</v>
      </c>
      <c r="P37" s="195">
        <f>+E6/E4</f>
        <v>0.75929063756111981</v>
      </c>
      <c r="Q37" s="195">
        <f>+F6/F4</f>
        <v>0.75956480242779689</v>
      </c>
      <c r="R37" s="195">
        <f>+G6/G4</f>
        <v>0.75978765787471725</v>
      </c>
    </row>
    <row r="38" spans="2:19" ht="15">
      <c r="B38" s="193" t="s">
        <v>290</v>
      </c>
      <c r="C38" s="194">
        <f>C31+C32+C33+C36+C37+C35</f>
        <v>191088645</v>
      </c>
      <c r="D38" s="194">
        <f>D31+D32+D33+D36+D37+D35</f>
        <v>221231505.09999999</v>
      </c>
      <c r="E38" s="194">
        <f>E31+E32+E33+E36+E37+E35</f>
        <v>253426507.4508</v>
      </c>
      <c r="F38" s="194">
        <f>F31+F32+F33+F36+F37+F35+F34</f>
        <v>1183452083.38416</v>
      </c>
      <c r="G38" s="194">
        <f>G31+G32+G33+G36+G37+G35+G34</f>
        <v>1172394783.896204</v>
      </c>
      <c r="H38" s="194">
        <f>H31+H32+H33+H36+H37+H35+H34</f>
        <v>1168671754.4594522</v>
      </c>
      <c r="I38" s="190"/>
      <c r="J38" s="190"/>
      <c r="K38" s="325" t="s">
        <v>298</v>
      </c>
      <c r="L38" s="326"/>
      <c r="M38" s="327"/>
      <c r="N38" s="195">
        <f>+C15/C4</f>
        <v>0.5171079501347986</v>
      </c>
      <c r="O38" s="195">
        <f>+D15/D4</f>
        <v>0.53626666115734634</v>
      </c>
      <c r="P38" s="195">
        <f>+E15/E4</f>
        <v>0.55724466251587268</v>
      </c>
      <c r="Q38" s="195">
        <f>+F15/F4</f>
        <v>0.57613677968218002</v>
      </c>
      <c r="R38" s="195">
        <f>+G15/G4</f>
        <v>0.5915397154239771</v>
      </c>
    </row>
    <row r="39" spans="2:19" ht="15">
      <c r="B39" s="202" t="s">
        <v>292</v>
      </c>
      <c r="C39" s="203">
        <f t="shared" ref="C39:H39" si="1">C38+C29</f>
        <v>502587936</v>
      </c>
      <c r="D39" s="203">
        <f t="shared" si="1"/>
        <v>942815660.10000002</v>
      </c>
      <c r="E39" s="203">
        <f t="shared" si="1"/>
        <v>1317509164.9644682</v>
      </c>
      <c r="F39" s="203">
        <f t="shared" si="1"/>
        <v>1767211750.9105053</v>
      </c>
      <c r="G39" s="203">
        <f t="shared" si="1"/>
        <v>2300288172.1361074</v>
      </c>
      <c r="H39" s="203">
        <f t="shared" si="1"/>
        <v>2915885685.6593442</v>
      </c>
      <c r="I39" s="190"/>
      <c r="J39" s="190"/>
      <c r="K39" s="325" t="s">
        <v>300</v>
      </c>
      <c r="L39" s="326"/>
      <c r="M39" s="327"/>
      <c r="N39" s="195">
        <f>+C21/C4</f>
        <v>0.32421174255397667</v>
      </c>
      <c r="O39" s="195">
        <f>+D21/D4</f>
        <v>0.34289848107946119</v>
      </c>
      <c r="P39" s="195">
        <f>+E21/E4</f>
        <v>0.36219819471784381</v>
      </c>
      <c r="Q39" s="195">
        <f>+F21/F4</f>
        <v>0.37958424217752518</v>
      </c>
      <c r="R39" s="195">
        <f>+G21/G4</f>
        <v>0.39417296552325032</v>
      </c>
    </row>
    <row r="40" spans="2:19" ht="15">
      <c r="B40" s="190"/>
      <c r="C40" s="190"/>
      <c r="D40" s="190"/>
      <c r="E40" s="190"/>
      <c r="F40" s="190"/>
      <c r="G40" s="190"/>
      <c r="H40" s="190"/>
      <c r="I40" s="190"/>
      <c r="J40" s="190"/>
      <c r="K40" s="325" t="s">
        <v>302</v>
      </c>
      <c r="L40" s="326"/>
      <c r="M40" s="327"/>
      <c r="N40" s="195">
        <f>+(C21/D39)*(D39/D54)</f>
        <v>0.52072093274872466</v>
      </c>
      <c r="O40" s="195">
        <f>+(D21/E39)*(E39/E54)</f>
        <v>0.38491781538734138</v>
      </c>
      <c r="P40" s="195">
        <f>+(E21/F39)*(F39/F54)</f>
        <v>0.31578469885725874</v>
      </c>
      <c r="Q40" s="195">
        <f>+(F21/G39)*(G39/G54)</f>
        <v>0.27288938120230655</v>
      </c>
      <c r="R40" s="195">
        <f>+(G21/H39)*(H39/H54)</f>
        <v>0.24128151161879818</v>
      </c>
    </row>
    <row r="41" spans="2:19" ht="15">
      <c r="B41" s="342" t="s">
        <v>295</v>
      </c>
      <c r="C41" s="342"/>
      <c r="D41" s="342"/>
      <c r="E41" s="342"/>
      <c r="F41" s="342"/>
      <c r="G41" s="342"/>
      <c r="H41" s="342"/>
      <c r="I41" s="190"/>
      <c r="J41" s="190"/>
      <c r="K41" s="325" t="s">
        <v>304</v>
      </c>
      <c r="L41" s="326"/>
      <c r="M41" s="327"/>
      <c r="N41" s="195">
        <f>+(C21/C4)*(C4/D39)</f>
        <v>0.33418564092941244</v>
      </c>
      <c r="O41" s="195">
        <f>+(D21/D4)*(D4/E39)</f>
        <v>0.2874026416578726</v>
      </c>
      <c r="P41" s="195">
        <f>+(E21/E4)*(E4/F39)</f>
        <v>0.25691301052923243</v>
      </c>
      <c r="Q41" s="195">
        <f>+(F21/F4)*(F4/G39)</f>
        <v>0.23457812425640062</v>
      </c>
      <c r="R41" s="195">
        <f>+(G21/G4)*(G4/H39)</f>
        <v>0.21565324780038686</v>
      </c>
    </row>
    <row r="42" spans="2:19" ht="15">
      <c r="B42" s="193" t="s">
        <v>297</v>
      </c>
      <c r="C42" s="198">
        <v>212587936</v>
      </c>
      <c r="D42" s="198">
        <f>C42-('FLUJO DE CAJA'!E30)</f>
        <v>182553785.57200032</v>
      </c>
      <c r="E42" s="198">
        <f>D42-('FLUJO DE CAJA'!F30)</f>
        <v>147276075.39490718</v>
      </c>
      <c r="F42" s="198">
        <f>E42-('FLUJO DE CAJA'!G30)</f>
        <v>105839350.28019357</v>
      </c>
      <c r="G42" s="198">
        <f>F42-('FLUJO DE CAJA'!H30)</f>
        <v>57168328.844475821</v>
      </c>
      <c r="H42" s="198">
        <f>G42-('FLUJO DE CAJA'!I30)</f>
        <v>0</v>
      </c>
      <c r="I42" s="190"/>
      <c r="J42" s="190"/>
      <c r="K42" s="349" t="s">
        <v>307</v>
      </c>
      <c r="L42" s="349"/>
      <c r="M42" s="349"/>
      <c r="N42" s="197">
        <f>+C15+C11+'FLUJO DE CAJA'!E30</f>
        <v>542894998.42799962</v>
      </c>
      <c r="O42" s="197">
        <f>+D15+D11+'FLUJO DE CAJA'!F30</f>
        <v>637790757.78686607</v>
      </c>
      <c r="P42" s="197">
        <f>+E15+E11+'FLUJO DE CAJA'!G30</f>
        <v>750274454.42837024</v>
      </c>
      <c r="Q42" s="197">
        <f>+F15+F11+'FLUJO DE CAJA'!H30</f>
        <v>878002205.92063665</v>
      </c>
      <c r="R42" s="197">
        <f>+G15+G11+'FLUJO DE CAJA'!I30</f>
        <v>1011170763.6194772</v>
      </c>
    </row>
    <row r="43" spans="2:19" ht="15">
      <c r="B43" s="193" t="s">
        <v>299</v>
      </c>
      <c r="C43" s="204">
        <v>0</v>
      </c>
      <c r="D43" s="204">
        <v>0</v>
      </c>
      <c r="E43" s="204">
        <v>0</v>
      </c>
      <c r="F43" s="204">
        <v>0</v>
      </c>
      <c r="G43" s="204">
        <v>0</v>
      </c>
      <c r="H43" s="204">
        <v>0</v>
      </c>
      <c r="I43" s="190"/>
      <c r="J43" s="190"/>
      <c r="K43" s="294"/>
      <c r="L43" s="294" t="s">
        <v>381</v>
      </c>
      <c r="M43" s="294"/>
      <c r="N43" s="199">
        <f>+(N42/C4)</f>
        <v>0.55863740037043852</v>
      </c>
      <c r="O43" s="199">
        <f>+(O42/D4)</f>
        <v>0.57756302498526768</v>
      </c>
      <c r="P43" s="199">
        <f>+(P42/E4)</f>
        <v>0.59853803309091647</v>
      </c>
      <c r="Q43" s="199">
        <f>+(Q42/F4)</f>
        <v>0.61763802642019816</v>
      </c>
      <c r="R43" s="199">
        <f>+(R42/G4)</f>
        <v>0.63384758779968198</v>
      </c>
    </row>
    <row r="44" spans="2:19">
      <c r="B44" s="193" t="s">
        <v>301</v>
      </c>
      <c r="C44" s="204">
        <v>0</v>
      </c>
      <c r="D44" s="194">
        <f>+C20</f>
        <v>155186418.45388934</v>
      </c>
      <c r="E44" s="194">
        <f>+D20</f>
        <v>186502019.04231524</v>
      </c>
      <c r="F44" s="194">
        <f>+E20</f>
        <v>223621638.93401167</v>
      </c>
      <c r="G44" s="194">
        <f>+F20</f>
        <v>265771796.92645958</v>
      </c>
      <c r="H44" s="194">
        <f>+G20</f>
        <v>309717420.96707696</v>
      </c>
      <c r="I44" s="190"/>
      <c r="J44" s="190"/>
      <c r="K44" s="190"/>
      <c r="L44" s="190"/>
      <c r="M44" s="190"/>
      <c r="N44" s="190"/>
      <c r="O44" s="190"/>
      <c r="P44" s="190"/>
      <c r="Q44" s="190"/>
      <c r="R44" s="190"/>
    </row>
    <row r="45" spans="2:19">
      <c r="B45" s="193" t="s">
        <v>303</v>
      </c>
      <c r="C45" s="194">
        <f t="shared" ref="C45:H45" si="2">C42+C43+C44</f>
        <v>212587936</v>
      </c>
      <c r="D45" s="194">
        <f t="shared" si="2"/>
        <v>337740204.02588964</v>
      </c>
      <c r="E45" s="194">
        <f t="shared" si="2"/>
        <v>333778094.43722242</v>
      </c>
      <c r="F45" s="194">
        <f t="shared" si="2"/>
        <v>329460989.21420527</v>
      </c>
      <c r="G45" s="194">
        <f t="shared" si="2"/>
        <v>322940125.77093542</v>
      </c>
      <c r="H45" s="194">
        <f t="shared" si="2"/>
        <v>309717420.96707696</v>
      </c>
      <c r="I45" s="190"/>
      <c r="J45" s="190"/>
      <c r="K45" s="190"/>
      <c r="L45" s="190"/>
      <c r="M45" s="190"/>
      <c r="N45" s="206" t="s">
        <v>147</v>
      </c>
      <c r="O45" s="206" t="s">
        <v>148</v>
      </c>
      <c r="P45" s="206" t="s">
        <v>149</v>
      </c>
      <c r="Q45" s="206" t="s">
        <v>150</v>
      </c>
      <c r="R45" s="206" t="s">
        <v>151</v>
      </c>
    </row>
    <row r="46" spans="2:19" ht="15">
      <c r="B46" s="342" t="s">
        <v>305</v>
      </c>
      <c r="C46" s="342"/>
      <c r="D46" s="342"/>
      <c r="E46" s="342"/>
      <c r="F46" s="342"/>
      <c r="G46" s="342"/>
      <c r="H46" s="342"/>
      <c r="I46" s="190"/>
      <c r="J46" s="190"/>
      <c r="K46" s="350" t="s">
        <v>310</v>
      </c>
      <c r="L46" s="350"/>
      <c r="M46" s="350"/>
      <c r="N46" s="194">
        <f>+C18+C19</f>
        <v>502535848.10000002</v>
      </c>
      <c r="O46" s="194">
        <f>+D18+D19</f>
        <v>592188047.70977294</v>
      </c>
      <c r="P46" s="194">
        <f>+E18+E19</f>
        <v>698512729.41365671</v>
      </c>
      <c r="Q46" s="194">
        <f>+F18+F19</f>
        <v>819006184.58491898</v>
      </c>
      <c r="R46" s="194">
        <f>+G18+G19</f>
        <v>943677434.87500143</v>
      </c>
      <c r="S46" s="94" t="s">
        <v>380</v>
      </c>
    </row>
    <row r="47" spans="2:19">
      <c r="B47" s="193"/>
      <c r="C47" s="204"/>
      <c r="D47" s="204"/>
      <c r="E47" s="204"/>
      <c r="F47" s="204"/>
      <c r="G47" s="204"/>
      <c r="H47" s="204"/>
      <c r="I47" s="190"/>
      <c r="J47" s="190"/>
      <c r="K47" s="350" t="s">
        <v>312</v>
      </c>
      <c r="L47" s="350"/>
      <c r="M47" s="350"/>
      <c r="N47" s="194">
        <f>D42+D47+D54</f>
        <v>787629241.22080588</v>
      </c>
      <c r="O47" s="194">
        <f>E42+E47+E54</f>
        <v>1131007145.4629588</v>
      </c>
      <c r="P47" s="194">
        <f>F42+F47+F54</f>
        <v>1543590111.5172992</v>
      </c>
      <c r="Q47" s="194">
        <f>G42+G47+G54</f>
        <v>2034516374.7504539</v>
      </c>
      <c r="R47" s="194">
        <f>H42+H47+H54</f>
        <v>2606168264.2330737</v>
      </c>
    </row>
    <row r="48" spans="2:19">
      <c r="B48" s="193" t="s">
        <v>308</v>
      </c>
      <c r="C48" s="204">
        <f t="shared" ref="C48:H48" si="3">C47</f>
        <v>0</v>
      </c>
      <c r="D48" s="204">
        <f t="shared" si="3"/>
        <v>0</v>
      </c>
      <c r="E48" s="204">
        <f t="shared" si="3"/>
        <v>0</v>
      </c>
      <c r="F48" s="204">
        <f t="shared" si="3"/>
        <v>0</v>
      </c>
      <c r="G48" s="204">
        <f t="shared" si="3"/>
        <v>0</v>
      </c>
      <c r="H48" s="204">
        <f t="shared" si="3"/>
        <v>0</v>
      </c>
      <c r="I48" s="190"/>
      <c r="J48" s="190"/>
      <c r="K48" s="350" t="s">
        <v>314</v>
      </c>
      <c r="L48" s="350"/>
      <c r="M48" s="350"/>
      <c r="N48" s="196">
        <f>(N61*N56)+(N40*(1-N61))</f>
        <v>0.44186794048626316</v>
      </c>
      <c r="O48" s="196">
        <f>(O61*O56)+(O40*(1-O61))</f>
        <v>0.38491781538734138</v>
      </c>
      <c r="P48" s="196">
        <f>(P61*P56)+(P40*(1-P61))</f>
        <v>0.31578469885725874</v>
      </c>
      <c r="Q48" s="196">
        <f>(Q61*Q56)+(Q40*(1-Q61))</f>
        <v>0.26064987328071948</v>
      </c>
      <c r="R48" s="196">
        <f>(R61*R56)+(R40*(1-R61))</f>
        <v>0.24128151161879818</v>
      </c>
    </row>
    <row r="49" spans="2:19" ht="15">
      <c r="B49" s="202" t="s">
        <v>309</v>
      </c>
      <c r="C49" s="205">
        <f t="shared" ref="C49:H49" si="4">C45+C48</f>
        <v>212587936</v>
      </c>
      <c r="D49" s="205">
        <f t="shared" si="4"/>
        <v>337740204.02588964</v>
      </c>
      <c r="E49" s="205">
        <f t="shared" si="4"/>
        <v>333778094.43722242</v>
      </c>
      <c r="F49" s="205">
        <f t="shared" si="4"/>
        <v>329460989.21420527</v>
      </c>
      <c r="G49" s="205">
        <f t="shared" si="4"/>
        <v>322940125.77093542</v>
      </c>
      <c r="H49" s="205">
        <f t="shared" si="4"/>
        <v>309717420.96707696</v>
      </c>
      <c r="I49" s="220"/>
      <c r="J49" s="190"/>
      <c r="K49" s="350" t="s">
        <v>316</v>
      </c>
      <c r="L49" s="350"/>
      <c r="M49" s="350"/>
      <c r="N49" s="198">
        <f>(N46-(N47*N48))</f>
        <v>154507737.41500437</v>
      </c>
      <c r="O49" s="198">
        <f>(O46-(O47*O48))</f>
        <v>156843248.09069782</v>
      </c>
      <c r="P49" s="198">
        <f>(P46-(P47*P48))</f>
        <v>211070590.88912398</v>
      </c>
      <c r="Q49" s="198">
        <f>(Q46-(Q47*Q48))</f>
        <v>288709749.31866437</v>
      </c>
      <c r="R49" s="198">
        <f>(R46-(R47*R48))</f>
        <v>314857216.54790592</v>
      </c>
    </row>
    <row r="50" spans="2:19">
      <c r="B50" s="190"/>
      <c r="C50" s="190"/>
      <c r="D50" s="190"/>
      <c r="E50" s="190"/>
      <c r="F50" s="190"/>
      <c r="G50" s="190"/>
      <c r="H50" s="190"/>
      <c r="I50" s="190"/>
      <c r="J50" s="190"/>
      <c r="K50" s="190"/>
      <c r="L50" s="190"/>
      <c r="M50" s="190"/>
      <c r="N50" s="190"/>
      <c r="O50" s="190"/>
      <c r="P50" s="190"/>
      <c r="Q50" s="190"/>
      <c r="R50" s="190"/>
    </row>
    <row r="51" spans="2:19">
      <c r="B51" s="193" t="s">
        <v>311</v>
      </c>
      <c r="C51" s="198">
        <v>290000000</v>
      </c>
      <c r="D51" s="198">
        <v>290000000</v>
      </c>
      <c r="E51" s="198">
        <v>290000000</v>
      </c>
      <c r="F51" s="198">
        <v>290000000</v>
      </c>
      <c r="G51" s="198">
        <v>290000000</v>
      </c>
      <c r="H51" s="198">
        <v>290000000</v>
      </c>
      <c r="I51" s="190"/>
      <c r="J51" s="190"/>
      <c r="K51" s="190"/>
      <c r="L51" s="190"/>
      <c r="M51" s="190"/>
      <c r="N51" s="292"/>
      <c r="O51" s="208"/>
      <c r="P51" s="190"/>
      <c r="Q51" s="190"/>
      <c r="R51" s="190"/>
    </row>
    <row r="52" spans="2:19">
      <c r="B52" s="193" t="s">
        <v>313</v>
      </c>
      <c r="C52" s="198">
        <v>0</v>
      </c>
      <c r="D52" s="198">
        <f>+C21</f>
        <v>315075455.64880562</v>
      </c>
      <c r="E52" s="198">
        <f>+D21</f>
        <v>378655614.41924608</v>
      </c>
      <c r="F52" s="198">
        <f>+E21</f>
        <v>454019691.16905391</v>
      </c>
      <c r="G52" s="198">
        <f>+F21</f>
        <v>539597284.66887248</v>
      </c>
      <c r="H52" s="198">
        <f>+G21</f>
        <v>628820218.32709551</v>
      </c>
      <c r="I52" s="190"/>
      <c r="J52" s="190"/>
      <c r="K52" s="190"/>
      <c r="L52" s="190"/>
      <c r="M52" s="190"/>
      <c r="N52" s="293"/>
      <c r="O52" s="293"/>
      <c r="P52" s="293"/>
      <c r="Q52" s="293"/>
      <c r="R52" s="293"/>
    </row>
    <row r="53" spans="2:19">
      <c r="B53" s="193" t="s">
        <v>315</v>
      </c>
      <c r="C53" s="198">
        <v>0</v>
      </c>
      <c r="D53" s="198">
        <v>0</v>
      </c>
      <c r="E53" s="194">
        <f>D52+D53</f>
        <v>315075455.64880562</v>
      </c>
      <c r="F53" s="194">
        <f>E52+E53</f>
        <v>693731070.0680517</v>
      </c>
      <c r="G53" s="194">
        <f>F52+F53</f>
        <v>1147750761.2371056</v>
      </c>
      <c r="H53" s="194">
        <f>G52+G53</f>
        <v>1687348045.9059782</v>
      </c>
      <c r="I53" s="190"/>
      <c r="J53" s="190"/>
    </row>
    <row r="54" spans="2:19" ht="15">
      <c r="B54" s="202" t="s">
        <v>317</v>
      </c>
      <c r="C54" s="203">
        <f>C51+C52+C53</f>
        <v>290000000</v>
      </c>
      <c r="D54" s="203">
        <f>D51+D52+D53</f>
        <v>605075455.64880562</v>
      </c>
      <c r="E54" s="203">
        <f>SUM(E51:E53)</f>
        <v>983731070.0680517</v>
      </c>
      <c r="F54" s="203">
        <f>SUM(F51:F53)</f>
        <v>1437750761.2371056</v>
      </c>
      <c r="G54" s="203">
        <f>SUM(G51:G53)</f>
        <v>1977348045.9059782</v>
      </c>
      <c r="H54" s="203">
        <f>SUM(H51:H53)</f>
        <v>2606168264.2330737</v>
      </c>
      <c r="I54" s="190"/>
      <c r="J54" s="190"/>
    </row>
    <row r="55" spans="2:19">
      <c r="B55" s="190"/>
      <c r="C55" s="190"/>
      <c r="D55" s="190"/>
      <c r="E55" s="190"/>
      <c r="F55" s="190"/>
      <c r="G55" s="190"/>
      <c r="H55" s="190"/>
      <c r="I55" s="190"/>
      <c r="J55" s="190"/>
      <c r="K55" s="190"/>
      <c r="L55" s="190"/>
      <c r="M55" s="190"/>
      <c r="N55" s="208">
        <f>D42+D54</f>
        <v>787629241.22080588</v>
      </c>
      <c r="O55" s="208">
        <f>E42+E54</f>
        <v>1131007145.4629588</v>
      </c>
      <c r="P55" s="208">
        <f>F42+F54</f>
        <v>1543590111.5172992</v>
      </c>
      <c r="Q55" s="208">
        <f>G42+G54</f>
        <v>2034516374.7504539</v>
      </c>
      <c r="R55" s="208">
        <f>H42+H54</f>
        <v>2606168264.2330737</v>
      </c>
      <c r="S55" s="190"/>
    </row>
    <row r="56" spans="2:19" ht="15">
      <c r="B56" s="202" t="s">
        <v>318</v>
      </c>
      <c r="C56" s="205">
        <f t="shared" ref="C56:H56" si="5">C49+C54</f>
        <v>502587936</v>
      </c>
      <c r="D56" s="205">
        <f t="shared" si="5"/>
        <v>942815659.67469525</v>
      </c>
      <c r="E56" s="205">
        <f t="shared" si="5"/>
        <v>1317509164.5052741</v>
      </c>
      <c r="F56" s="205">
        <f t="shared" si="5"/>
        <v>1767211750.4513109</v>
      </c>
      <c r="G56" s="205">
        <f t="shared" si="5"/>
        <v>2300288171.6769137</v>
      </c>
      <c r="H56" s="205">
        <f t="shared" si="5"/>
        <v>2915885685.2001505</v>
      </c>
      <c r="I56" s="190"/>
      <c r="J56" s="190"/>
      <c r="K56" s="190"/>
      <c r="L56" s="190"/>
      <c r="M56" s="190"/>
      <c r="N56" s="190">
        <f>D42/N55</f>
        <v>0.23177629272504721</v>
      </c>
      <c r="O56" s="190">
        <f>E42/O55</f>
        <v>0.13021675060648905</v>
      </c>
      <c r="P56" s="190">
        <f>F42/P55</f>
        <v>6.8567004602119994E-2</v>
      </c>
      <c r="Q56" s="190">
        <f>G42/Q55</f>
        <v>2.8099222770565251E-2</v>
      </c>
      <c r="R56" s="190">
        <f>H42/R55</f>
        <v>0</v>
      </c>
      <c r="S56" s="190"/>
    </row>
    <row r="57" spans="2:19">
      <c r="K57" s="190"/>
      <c r="L57" s="190"/>
      <c r="M57" s="190"/>
      <c r="N57" s="190"/>
      <c r="O57" s="190"/>
      <c r="P57" s="190"/>
      <c r="Q57" s="190"/>
      <c r="R57" s="190"/>
      <c r="S57" s="190"/>
    </row>
    <row r="58" spans="2:19">
      <c r="C58" s="218">
        <f t="shared" ref="C58:H58" si="6">+C39-C56</f>
        <v>0</v>
      </c>
      <c r="D58" s="218">
        <f t="shared" si="6"/>
        <v>0.42530477046966553</v>
      </c>
      <c r="E58" s="218">
        <f t="shared" si="6"/>
        <v>0.45919418334960938</v>
      </c>
      <c r="F58" s="218">
        <f t="shared" si="6"/>
        <v>0.45919442176818848</v>
      </c>
      <c r="G58" s="218">
        <f t="shared" si="6"/>
        <v>0.45919370651245117</v>
      </c>
      <c r="H58" s="218">
        <f t="shared" si="6"/>
        <v>0.45919370651245117</v>
      </c>
      <c r="K58" s="190"/>
      <c r="L58" s="190"/>
      <c r="M58" s="190"/>
      <c r="N58" s="190"/>
      <c r="O58" s="190"/>
      <c r="P58" s="190"/>
      <c r="Q58" s="190"/>
      <c r="R58" s="190"/>
      <c r="S58" s="190"/>
    </row>
    <row r="59" spans="2:19">
      <c r="K59" s="190"/>
      <c r="L59" s="190"/>
      <c r="M59" s="190"/>
      <c r="N59" s="209">
        <f>+'FLUJO DE CAJA'!E34</f>
        <v>443481648.35569525</v>
      </c>
      <c r="O59" s="209">
        <f>+'FLUJO DE CAJA'!F34</f>
        <v>537419023.28446817</v>
      </c>
      <c r="P59" s="209">
        <f>+'FLUJO DE CAJA'!G34</f>
        <v>643990636.78835201</v>
      </c>
      <c r="Q59" s="209">
        <f>+'FLUJO DE CAJA'!H34</f>
        <v>855939112.10776424</v>
      </c>
      <c r="R59" s="209">
        <f>+'FLUJO DE CAJA'!I34</f>
        <v>983273735.84659493</v>
      </c>
      <c r="S59" s="190"/>
    </row>
    <row r="60" spans="2:19">
      <c r="E60" s="223"/>
      <c r="F60" s="223"/>
      <c r="G60" s="223"/>
      <c r="H60" s="223"/>
      <c r="K60" s="190"/>
      <c r="L60" s="190"/>
      <c r="M60" s="190"/>
      <c r="N60" s="209">
        <f>+D52</f>
        <v>315075455.64880562</v>
      </c>
      <c r="O60" s="209">
        <f>+E52+E53</f>
        <v>693731070.0680517</v>
      </c>
      <c r="P60" s="209">
        <f t="shared" ref="P60:R60" si="7">+F52+F53</f>
        <v>1147750761.2371056</v>
      </c>
      <c r="Q60" s="209">
        <f t="shared" si="7"/>
        <v>1687348045.9059782</v>
      </c>
      <c r="R60" s="209">
        <f t="shared" si="7"/>
        <v>2316168264.2330737</v>
      </c>
      <c r="S60" s="209">
        <f>'[1]FLUJO DE CAJA'!I50</f>
        <v>0</v>
      </c>
    </row>
    <row r="61" spans="2:19">
      <c r="K61" s="190"/>
      <c r="L61" s="190"/>
      <c r="M61" s="190"/>
      <c r="N61" s="190">
        <v>0.27289999999999998</v>
      </c>
      <c r="O61" s="190"/>
      <c r="P61" s="190"/>
      <c r="Q61" s="190">
        <v>0.05</v>
      </c>
      <c r="R61" s="190"/>
      <c r="S61" s="190"/>
    </row>
    <row r="62" spans="2:19">
      <c r="K62" s="190"/>
      <c r="L62" s="190"/>
      <c r="M62" s="190"/>
      <c r="N62" s="190"/>
      <c r="O62" s="190"/>
      <c r="P62" s="190"/>
      <c r="Q62" s="190"/>
      <c r="R62" s="190"/>
      <c r="S62" s="190"/>
    </row>
    <row r="63" spans="2:19">
      <c r="K63" s="190"/>
      <c r="L63" s="190"/>
      <c r="M63" s="190"/>
      <c r="N63" s="190"/>
      <c r="O63" s="190"/>
      <c r="P63" s="190"/>
      <c r="Q63" s="190"/>
      <c r="R63" s="190"/>
      <c r="S63" s="190"/>
    </row>
    <row r="64" spans="2:19">
      <c r="K64" s="348" t="s">
        <v>321</v>
      </c>
      <c r="L64" s="348"/>
      <c r="M64" s="348"/>
      <c r="N64" s="210">
        <f>NPV($Q$40,$O$39:$S$39)</f>
        <v>0.8271306742060377</v>
      </c>
      <c r="O64" s="210"/>
      <c r="P64" s="210"/>
      <c r="Q64" s="210"/>
      <c r="R64" s="210"/>
      <c r="S64" s="190"/>
    </row>
    <row r="65" spans="11:19">
      <c r="K65" s="348" t="s">
        <v>322</v>
      </c>
      <c r="L65" s="348"/>
      <c r="M65" s="348"/>
      <c r="N65" s="211" t="e">
        <f>IRR(O59:S59,)</f>
        <v>#NUM!</v>
      </c>
      <c r="O65" s="190"/>
      <c r="P65" s="190"/>
      <c r="Q65" s="190"/>
      <c r="R65" s="190"/>
      <c r="S65" s="190"/>
    </row>
    <row r="66" spans="11:19">
      <c r="K66" s="190"/>
      <c r="L66" s="190"/>
      <c r="M66" s="190"/>
      <c r="N66" s="190"/>
      <c r="O66" s="190"/>
      <c r="P66" s="190"/>
      <c r="Q66" s="190"/>
      <c r="R66" s="190"/>
      <c r="S66" s="190"/>
    </row>
    <row r="67" spans="11:19">
      <c r="K67" s="190"/>
      <c r="L67" s="190"/>
      <c r="M67" s="190"/>
      <c r="N67" s="190"/>
      <c r="O67" s="190"/>
      <c r="P67" s="190"/>
      <c r="Q67" s="190"/>
      <c r="R67" s="190"/>
      <c r="S67" s="190"/>
    </row>
  </sheetData>
  <mergeCells count="31">
    <mergeCell ref="K64:M64"/>
    <mergeCell ref="K65:M65"/>
    <mergeCell ref="K42:M42"/>
    <mergeCell ref="B46:H46"/>
    <mergeCell ref="K46:M46"/>
    <mergeCell ref="K47:M47"/>
    <mergeCell ref="K48:M48"/>
    <mergeCell ref="K49:M49"/>
    <mergeCell ref="K33:M33"/>
    <mergeCell ref="K34:M34"/>
    <mergeCell ref="K35:M35"/>
    <mergeCell ref="K36:R36"/>
    <mergeCell ref="B41:H41"/>
    <mergeCell ref="K40:M40"/>
    <mergeCell ref="K41:M41"/>
    <mergeCell ref="K37:M37"/>
    <mergeCell ref="K38:M38"/>
    <mergeCell ref="K39:M39"/>
    <mergeCell ref="K31:M31"/>
    <mergeCell ref="C1:G2"/>
    <mergeCell ref="C23:H24"/>
    <mergeCell ref="K24:R24"/>
    <mergeCell ref="K25:R25"/>
    <mergeCell ref="B26:H26"/>
    <mergeCell ref="K26:M26"/>
    <mergeCell ref="K27:M27"/>
    <mergeCell ref="K28:M28"/>
    <mergeCell ref="K29:R29"/>
    <mergeCell ref="K30:M30"/>
    <mergeCell ref="B30:H30"/>
    <mergeCell ref="K32:M32"/>
  </mergeCells>
  <pageMargins left="0.7" right="0.7" top="0.75" bottom="0.75" header="0.3" footer="0.3"/>
  <pageSetup paperSize="9" orientation="portrait" horizontalDpi="0" verticalDpi="0" r:id="rId1"/>
  <ignoredErrors>
    <ignoredError sqref="F38" formula="1"/>
  </ignoredErrors>
</worksheet>
</file>

<file path=xl/worksheets/sheet8.xml><?xml version="1.0" encoding="utf-8"?>
<worksheet xmlns="http://schemas.openxmlformats.org/spreadsheetml/2006/main" xmlns:r="http://schemas.openxmlformats.org/officeDocument/2006/relationships">
  <dimension ref="A1:R71"/>
  <sheetViews>
    <sheetView workbookViewId="0">
      <selection activeCell="C11" sqref="C11"/>
    </sheetView>
  </sheetViews>
  <sheetFormatPr baseColWidth="10" defaultRowHeight="12.75"/>
  <cols>
    <col min="1" max="1" width="28.28515625" bestFit="1" customWidth="1"/>
    <col min="2" max="2" width="17.140625" bestFit="1" customWidth="1"/>
    <col min="3" max="6" width="16.85546875" bestFit="1" customWidth="1"/>
    <col min="7" max="7" width="16.5703125" bestFit="1" customWidth="1"/>
    <col min="13" max="15" width="14" bestFit="1" customWidth="1"/>
    <col min="16" max="17" width="14.85546875" bestFit="1" customWidth="1"/>
  </cols>
  <sheetData>
    <row r="1" spans="1:6" ht="14.25">
      <c r="A1" s="78"/>
      <c r="B1" s="351" t="s">
        <v>160</v>
      </c>
      <c r="C1" s="351"/>
      <c r="D1" s="351"/>
      <c r="E1" s="351"/>
      <c r="F1" s="351"/>
    </row>
    <row r="2" spans="1:6" ht="14.25">
      <c r="A2" s="70"/>
      <c r="B2" s="351"/>
      <c r="C2" s="351"/>
      <c r="D2" s="351"/>
      <c r="E2" s="351"/>
      <c r="F2" s="351"/>
    </row>
    <row r="3" spans="1:6" ht="15">
      <c r="A3" s="77"/>
      <c r="B3" s="101" t="s">
        <v>147</v>
      </c>
      <c r="C3" s="101" t="s">
        <v>148</v>
      </c>
      <c r="D3" s="101" t="s">
        <v>149</v>
      </c>
      <c r="E3" s="101" t="s">
        <v>150</v>
      </c>
      <c r="F3" s="101" t="s">
        <v>151</v>
      </c>
    </row>
    <row r="4" spans="1:6" ht="14.25">
      <c r="A4" s="93" t="s">
        <v>173</v>
      </c>
      <c r="B4" s="74">
        <v>971820000</v>
      </c>
      <c r="C4" s="75">
        <v>1069002000.0000002</v>
      </c>
      <c r="D4" s="75">
        <v>1175902200.0000002</v>
      </c>
      <c r="E4" s="75">
        <v>1293492420.0000002</v>
      </c>
      <c r="F4" s="75">
        <v>1422841662.0000005</v>
      </c>
    </row>
    <row r="5" spans="1:6" ht="15" thickBot="1">
      <c r="A5" s="83" t="s">
        <v>152</v>
      </c>
      <c r="B5" s="80">
        <v>234550809</v>
      </c>
      <c r="C5" s="81">
        <v>257762889.90000001</v>
      </c>
      <c r="D5" s="81">
        <v>283288281.3900001</v>
      </c>
      <c r="E5" s="81">
        <v>311358057.86025012</v>
      </c>
      <c r="F5" s="81">
        <v>342226392.79829073</v>
      </c>
    </row>
    <row r="6" spans="1:6" ht="15.75" thickTop="1">
      <c r="A6" s="82" t="s">
        <v>153</v>
      </c>
      <c r="B6" s="79">
        <f>+B4-B5</f>
        <v>737269191</v>
      </c>
      <c r="C6" s="79">
        <f>+C4-C5</f>
        <v>811239110.10000026</v>
      </c>
      <c r="D6" s="79">
        <f>+D4-D5</f>
        <v>892613918.61000013</v>
      </c>
      <c r="E6" s="79">
        <f>+E4-E5</f>
        <v>982134362.13975012</v>
      </c>
      <c r="F6" s="79">
        <f>+F4-F5</f>
        <v>1080615269.2017097</v>
      </c>
    </row>
    <row r="7" spans="1:6" ht="14.25">
      <c r="A7" s="76" t="s">
        <v>154</v>
      </c>
      <c r="B7" s="75">
        <f>+SUM(B8:B14)</f>
        <v>367503907.89999998</v>
      </c>
      <c r="C7" s="75">
        <f>+SUM(C8:C14)</f>
        <v>378917011.86399996</v>
      </c>
      <c r="D7" s="75">
        <f>+SUM(D8:D14)</f>
        <v>390627489.75881195</v>
      </c>
      <c r="E7" s="75">
        <f>+SUM(E8:E14)</f>
        <v>402645153.02290273</v>
      </c>
      <c r="F7" s="75">
        <f>+SUM(F8:F14)</f>
        <v>414980136.81041789</v>
      </c>
    </row>
    <row r="8" spans="1:6" ht="14.25">
      <c r="A8" s="98" t="s">
        <v>40</v>
      </c>
      <c r="B8" s="74">
        <v>255378908</v>
      </c>
      <c r="C8" s="74">
        <v>263806411.96399999</v>
      </c>
      <c r="D8" s="74">
        <v>272512023.55881196</v>
      </c>
      <c r="E8" s="74">
        <v>281504920.33625275</v>
      </c>
      <c r="F8" s="74">
        <v>290794582.70734906</v>
      </c>
    </row>
    <row r="9" spans="1:6" ht="14.25">
      <c r="A9" s="98" t="s">
        <v>233</v>
      </c>
      <c r="B9" s="74">
        <v>10500000</v>
      </c>
      <c r="C9" s="74">
        <v>10846500</v>
      </c>
      <c r="D9" s="74">
        <v>11204434.5</v>
      </c>
      <c r="E9" s="74">
        <v>11574180.838499999</v>
      </c>
      <c r="F9" s="74">
        <v>11956128.806170497</v>
      </c>
    </row>
    <row r="10" spans="1:6" ht="14.25">
      <c r="A10" s="98" t="s">
        <v>175</v>
      </c>
      <c r="B10" s="74">
        <v>2500000</v>
      </c>
      <c r="C10" s="74">
        <v>2582500</v>
      </c>
      <c r="D10" s="74">
        <v>2667722.5</v>
      </c>
      <c r="E10" s="74">
        <v>2755757.3424999998</v>
      </c>
      <c r="F10" s="74">
        <v>2846697.3348024995</v>
      </c>
    </row>
    <row r="11" spans="1:6" ht="14.25">
      <c r="A11" s="98" t="s">
        <v>155</v>
      </c>
      <c r="B11" s="74">
        <v>10324999.9</v>
      </c>
      <c r="C11" s="74">
        <v>10324999.9</v>
      </c>
      <c r="D11" s="74">
        <v>10324999.9</v>
      </c>
      <c r="E11" s="74">
        <v>10324999.9</v>
      </c>
      <c r="F11" s="74">
        <v>10324999.9</v>
      </c>
    </row>
    <row r="12" spans="1:6" ht="14.25">
      <c r="A12" s="98" t="s">
        <v>234</v>
      </c>
      <c r="B12" s="74">
        <v>1200000</v>
      </c>
      <c r="C12" s="74">
        <v>1239600</v>
      </c>
      <c r="D12" s="74">
        <v>1280506.7999999998</v>
      </c>
      <c r="E12" s="74">
        <v>1322763.5243999998</v>
      </c>
      <c r="F12" s="74">
        <v>1366414.7207051998</v>
      </c>
    </row>
    <row r="13" spans="1:6" ht="14.25">
      <c r="A13" s="180" t="s">
        <v>232</v>
      </c>
      <c r="B13" s="97">
        <v>3600000</v>
      </c>
      <c r="C13" s="97">
        <v>3717000</v>
      </c>
      <c r="D13" s="97">
        <v>3837802.5</v>
      </c>
      <c r="E13" s="97">
        <v>3962531.0812499998</v>
      </c>
      <c r="F13" s="97">
        <v>4091313.3413906246</v>
      </c>
    </row>
    <row r="14" spans="1:6" ht="15" thickBot="1">
      <c r="A14" s="100" t="s">
        <v>174</v>
      </c>
      <c r="B14" s="80">
        <v>84000000</v>
      </c>
      <c r="C14" s="80">
        <v>86400000</v>
      </c>
      <c r="D14" s="80">
        <v>88800000</v>
      </c>
      <c r="E14" s="80">
        <v>91200000</v>
      </c>
      <c r="F14" s="80">
        <v>93600000</v>
      </c>
    </row>
    <row r="15" spans="1:6" ht="15.75" thickTop="1">
      <c r="A15" s="82" t="s">
        <v>156</v>
      </c>
      <c r="B15" s="79">
        <f>+B6-B7</f>
        <v>369765283.10000002</v>
      </c>
      <c r="C15" s="79">
        <f>+C6-C7</f>
        <v>432322098.2360003</v>
      </c>
      <c r="D15" s="79">
        <f>+D6-D7</f>
        <v>501986428.85118818</v>
      </c>
      <c r="E15" s="79">
        <f>+E6-E7</f>
        <v>579489209.1168474</v>
      </c>
      <c r="F15" s="79">
        <f>+F6-F7</f>
        <v>665635132.39129186</v>
      </c>
    </row>
    <row r="16" spans="1:6" ht="14.25">
      <c r="A16" s="76" t="s">
        <v>157</v>
      </c>
      <c r="B16" s="73">
        <v>0</v>
      </c>
      <c r="C16" s="73">
        <v>0</v>
      </c>
      <c r="D16" s="73">
        <v>0</v>
      </c>
      <c r="E16" s="73">
        <v>0</v>
      </c>
      <c r="F16" s="73">
        <v>0</v>
      </c>
    </row>
    <row r="17" spans="1:17" ht="14.25">
      <c r="A17" s="76" t="s">
        <v>158</v>
      </c>
      <c r="B17" s="74">
        <f>+B18+B19</f>
        <v>62308124.425304756</v>
      </c>
      <c r="C17" s="74">
        <f>+C18+C19</f>
        <v>62308124.425304756</v>
      </c>
      <c r="D17" s="74">
        <f>+D18+D19</f>
        <v>62308124.425304748</v>
      </c>
      <c r="E17" s="74">
        <f>+E18+E19</f>
        <v>62308124.425304756</v>
      </c>
      <c r="F17" s="74">
        <f>+F18+F19</f>
        <v>62308124.425304756</v>
      </c>
    </row>
    <row r="18" spans="1:17" ht="14.25">
      <c r="A18" s="98" t="s">
        <v>235</v>
      </c>
      <c r="B18" s="74">
        <v>30034150.427999664</v>
      </c>
      <c r="C18" s="74">
        <v>35277710.177093133</v>
      </c>
      <c r="D18" s="74">
        <v>41436725.114713609</v>
      </c>
      <c r="E18" s="74">
        <v>48671021.435717747</v>
      </c>
      <c r="F18" s="74">
        <v>57168328.844475791</v>
      </c>
    </row>
    <row r="19" spans="1:17" ht="15" thickBot="1">
      <c r="A19" s="100" t="s">
        <v>236</v>
      </c>
      <c r="B19" s="80">
        <v>32273973.997305091</v>
      </c>
      <c r="C19" s="80">
        <v>27030414.248211622</v>
      </c>
      <c r="D19" s="80">
        <v>20871399.310591139</v>
      </c>
      <c r="E19" s="80">
        <v>13637102.989587007</v>
      </c>
      <c r="F19" s="80">
        <v>5139795.580828961</v>
      </c>
    </row>
    <row r="20" spans="1:17" ht="15.75" thickTop="1">
      <c r="A20" s="82" t="s">
        <v>159</v>
      </c>
      <c r="B20" s="79">
        <f>+B15+B16-B17</f>
        <v>307457158.67469525</v>
      </c>
      <c r="C20" s="79">
        <f>+C15+C16-C17</f>
        <v>370013973.81069553</v>
      </c>
      <c r="D20" s="79">
        <f>+D15+D16-D17</f>
        <v>439678304.42588341</v>
      </c>
      <c r="E20" s="79">
        <f>+E15+E16-E17</f>
        <v>517181084.69154263</v>
      </c>
      <c r="F20" s="79">
        <f>+F15+F16-F17</f>
        <v>603327007.96598709</v>
      </c>
    </row>
    <row r="21" spans="1:17" ht="15" thickBot="1">
      <c r="A21" s="99" t="s">
        <v>215</v>
      </c>
      <c r="B21" s="109">
        <f>+B20*33%</f>
        <v>101460862.36264944</v>
      </c>
      <c r="C21" s="81">
        <f>+C20*33%</f>
        <v>122104611.35752954</v>
      </c>
      <c r="D21" s="81">
        <f>+D20*33%</f>
        <v>145093840.46054155</v>
      </c>
      <c r="E21" s="109">
        <f>+E20*33%</f>
        <v>170669757.94820908</v>
      </c>
      <c r="F21" s="109">
        <f>+F20*33%</f>
        <v>199097912.62877575</v>
      </c>
    </row>
    <row r="22" spans="1:17" ht="15.75" thickTop="1">
      <c r="A22" s="82" t="s">
        <v>156</v>
      </c>
      <c r="B22" s="110">
        <f>+B20-B21</f>
        <v>205996296.31204581</v>
      </c>
      <c r="C22" s="84">
        <f>+C20-C21</f>
        <v>247909362.45316601</v>
      </c>
      <c r="D22" s="84">
        <f>+D20-D21</f>
        <v>294584463.96534187</v>
      </c>
      <c r="E22" s="110">
        <f>+E20-E21</f>
        <v>346511326.74333358</v>
      </c>
      <c r="F22" s="110">
        <f>+F20-F21</f>
        <v>404229095.33721137</v>
      </c>
    </row>
    <row r="24" spans="1:17">
      <c r="A24" s="190"/>
      <c r="B24" s="332" t="s">
        <v>320</v>
      </c>
      <c r="C24" s="333"/>
      <c r="D24" s="333"/>
      <c r="E24" s="333"/>
      <c r="F24" s="333"/>
      <c r="G24" s="334"/>
      <c r="H24" s="190"/>
      <c r="I24" s="190"/>
      <c r="J24" s="190"/>
      <c r="K24" s="190"/>
      <c r="L24" s="190"/>
      <c r="M24" s="190"/>
      <c r="N24" s="190"/>
      <c r="O24" s="190"/>
      <c r="P24" s="190"/>
      <c r="Q24" s="190"/>
    </row>
    <row r="25" spans="1:17" ht="15">
      <c r="A25" s="190"/>
      <c r="B25" s="335"/>
      <c r="C25" s="336"/>
      <c r="D25" s="336"/>
      <c r="E25" s="336"/>
      <c r="F25" s="336"/>
      <c r="G25" s="337"/>
      <c r="H25" s="190"/>
      <c r="I25" s="190"/>
      <c r="J25" s="338" t="s">
        <v>271</v>
      </c>
      <c r="K25" s="339"/>
      <c r="L25" s="339"/>
      <c r="M25" s="339"/>
      <c r="N25" s="339"/>
      <c r="O25" s="339"/>
      <c r="P25" s="339"/>
      <c r="Q25" s="339"/>
    </row>
    <row r="26" spans="1:17" ht="15">
      <c r="A26" s="190"/>
      <c r="B26" s="191" t="s">
        <v>272</v>
      </c>
      <c r="C26" s="191" t="s">
        <v>147</v>
      </c>
      <c r="D26" s="191" t="s">
        <v>148</v>
      </c>
      <c r="E26" s="191" t="s">
        <v>149</v>
      </c>
      <c r="F26" s="191" t="s">
        <v>150</v>
      </c>
      <c r="G26" s="191" t="s">
        <v>151</v>
      </c>
      <c r="H26" s="190"/>
      <c r="I26" s="190"/>
      <c r="J26" s="340" t="s">
        <v>273</v>
      </c>
      <c r="K26" s="341"/>
      <c r="L26" s="341"/>
      <c r="M26" s="341"/>
      <c r="N26" s="341"/>
      <c r="O26" s="341"/>
      <c r="P26" s="341"/>
      <c r="Q26" s="341"/>
    </row>
    <row r="27" spans="1:17" ht="15">
      <c r="A27" s="342" t="s">
        <v>274</v>
      </c>
      <c r="B27" s="342"/>
      <c r="C27" s="342"/>
      <c r="D27" s="342"/>
      <c r="E27" s="342"/>
      <c r="F27" s="342"/>
      <c r="G27" s="342"/>
      <c r="H27" s="190"/>
      <c r="I27" s="190"/>
      <c r="J27" s="343"/>
      <c r="K27" s="344"/>
      <c r="L27" s="345"/>
      <c r="M27" s="192" t="s">
        <v>147</v>
      </c>
      <c r="N27" s="192" t="s">
        <v>148</v>
      </c>
      <c r="O27" s="192" t="s">
        <v>149</v>
      </c>
      <c r="P27" s="192" t="s">
        <v>150</v>
      </c>
      <c r="Q27" s="192" t="s">
        <v>151</v>
      </c>
    </row>
    <row r="28" spans="1:17" ht="15">
      <c r="A28" s="193" t="s">
        <v>275</v>
      </c>
      <c r="B28" s="194">
        <f>-+'FLUJO DE CAJA'!D40</f>
        <v>425175872</v>
      </c>
      <c r="C28" s="194">
        <f>+'FLUJO DE CAJA'!E40</f>
        <v>337491854.72631544</v>
      </c>
      <c r="D28" s="194">
        <f>+'FLUJO DE CAJA'!F40</f>
        <v>405673455.67768681</v>
      </c>
      <c r="E28" s="194">
        <f>+'FLUJO DE CAJA'!G40</f>
        <v>483235451.66290945</v>
      </c>
      <c r="F28" s="194">
        <f>+'FLUJO DE CAJA'!H40</f>
        <v>632475226.44791973</v>
      </c>
      <c r="G28" s="194">
        <f>+'FLUJO DE CAJA'!I40</f>
        <v>726286731.76169431</v>
      </c>
      <c r="H28" s="190"/>
      <c r="I28" s="190"/>
      <c r="J28" s="325" t="s">
        <v>276</v>
      </c>
      <c r="K28" s="326"/>
      <c r="L28" s="327"/>
      <c r="M28" s="195">
        <f>C31/C45</f>
        <v>2.4904415996320663</v>
      </c>
      <c r="N28" s="195">
        <f>D31/D45</f>
        <v>2.6191375590050012</v>
      </c>
      <c r="O28" s="195">
        <f>E31/E45</f>
        <v>2.7397133696040821</v>
      </c>
      <c r="P28" s="195">
        <f>F31/F45</f>
        <v>3.115671910186943</v>
      </c>
      <c r="Q28" s="195">
        <f>G31/G45</f>
        <v>3.1711381226810946</v>
      </c>
    </row>
    <row r="29" spans="1:17" ht="15">
      <c r="A29" s="193" t="s">
        <v>329</v>
      </c>
      <c r="B29" s="194"/>
      <c r="C29" s="194"/>
      <c r="D29" s="194"/>
      <c r="E29" s="194"/>
      <c r="F29" s="194"/>
      <c r="G29" s="194"/>
      <c r="H29" s="190"/>
      <c r="I29" s="190"/>
      <c r="J29" s="325" t="s">
        <v>278</v>
      </c>
      <c r="K29" s="326"/>
      <c r="L29" s="327"/>
      <c r="M29" s="197">
        <f>C31-C45</f>
        <v>244088110.63836122</v>
      </c>
      <c r="N29" s="197">
        <f>D31-D45</f>
        <v>298589586.86485255</v>
      </c>
      <c r="O29" s="197">
        <f>E31-E45</f>
        <v>360819971.19406319</v>
      </c>
      <c r="P29" s="197">
        <f>F31-F45</f>
        <v>492904761.43248093</v>
      </c>
      <c r="Q29" s="197">
        <f>G31-G45</f>
        <v>567548612.54710102</v>
      </c>
    </row>
    <row r="30" spans="1:17" ht="15">
      <c r="A30" s="193" t="s">
        <v>277</v>
      </c>
      <c r="B30" s="196"/>
      <c r="C30" s="194">
        <f>B5*0.3</f>
        <v>70365242.700000003</v>
      </c>
      <c r="D30" s="194">
        <f>C5*0.3</f>
        <v>77328866.969999999</v>
      </c>
      <c r="E30" s="194">
        <f>D5*0.3</f>
        <v>84986484.417000026</v>
      </c>
      <c r="F30" s="194">
        <f>E5*0.3</f>
        <v>93407417.358075038</v>
      </c>
      <c r="G30" s="194">
        <f>F5*0.3</f>
        <v>102667917.83948721</v>
      </c>
      <c r="H30" s="190"/>
      <c r="I30" s="190"/>
      <c r="J30" s="346" t="s">
        <v>280</v>
      </c>
      <c r="K30" s="347"/>
      <c r="L30" s="347"/>
      <c r="M30" s="347"/>
      <c r="N30" s="347"/>
      <c r="O30" s="347"/>
      <c r="P30" s="347"/>
      <c r="Q30" s="347"/>
    </row>
    <row r="31" spans="1:17" ht="15">
      <c r="A31" s="193" t="s">
        <v>279</v>
      </c>
      <c r="B31" s="194">
        <f t="shared" ref="B31:G31" si="0">B28+B30</f>
        <v>425175872</v>
      </c>
      <c r="C31" s="194">
        <f t="shared" si="0"/>
        <v>407857097.42631543</v>
      </c>
      <c r="D31" s="194">
        <f t="shared" si="0"/>
        <v>483002322.64768684</v>
      </c>
      <c r="E31" s="194">
        <f t="shared" si="0"/>
        <v>568221936.07990944</v>
      </c>
      <c r="F31" s="194">
        <f t="shared" si="0"/>
        <v>725882643.80599475</v>
      </c>
      <c r="G31" s="194">
        <f t="shared" si="0"/>
        <v>828954649.60118151</v>
      </c>
      <c r="H31" s="190"/>
      <c r="I31" s="190"/>
      <c r="J31" s="325" t="s">
        <v>282</v>
      </c>
      <c r="K31" s="326"/>
      <c r="L31" s="327"/>
      <c r="M31" s="195">
        <f>C49/C39</f>
        <v>0.62372359304301905</v>
      </c>
      <c r="N31" s="195">
        <f>D49/D39</f>
        <v>0.53447765070565589</v>
      </c>
      <c r="O31" s="195">
        <f>E49/E39</f>
        <v>0.46098438572078726</v>
      </c>
      <c r="P31" s="195">
        <f>F49/F39</f>
        <v>0.37265336266860438</v>
      </c>
      <c r="Q31" s="195">
        <f>G49/G39</f>
        <v>0.33166784581752695</v>
      </c>
    </row>
    <row r="32" spans="1:17" ht="15">
      <c r="A32" s="342" t="s">
        <v>281</v>
      </c>
      <c r="B32" s="342"/>
      <c r="C32" s="342"/>
      <c r="D32" s="342"/>
      <c r="E32" s="342"/>
      <c r="F32" s="342"/>
      <c r="G32" s="342"/>
      <c r="H32" s="190"/>
      <c r="I32" s="190"/>
      <c r="J32" s="325" t="s">
        <v>284</v>
      </c>
      <c r="K32" s="326"/>
      <c r="L32" s="327"/>
      <c r="M32" s="195">
        <f>C45/C39</f>
        <v>0.29494618610361056</v>
      </c>
      <c r="N32" s="195">
        <f>D45/D39</f>
        <v>0.29253492476926607</v>
      </c>
      <c r="O32" s="195">
        <f>E45/E39</f>
        <v>0.28982329426469566</v>
      </c>
      <c r="P32" s="195">
        <f>F45/F39</f>
        <v>0.26678609924628727</v>
      </c>
      <c r="Q32" s="195">
        <f>G45/G39</f>
        <v>0.26773860425663243</v>
      </c>
    </row>
    <row r="33" spans="1:17" ht="15">
      <c r="A33" s="193" t="s">
        <v>283</v>
      </c>
      <c r="B33" s="198">
        <v>10338599</v>
      </c>
      <c r="C33" s="198">
        <v>10338599</v>
      </c>
      <c r="D33" s="198">
        <v>10338599</v>
      </c>
      <c r="E33" s="198">
        <v>10338599</v>
      </c>
      <c r="F33" s="198">
        <v>10338599</v>
      </c>
      <c r="G33" s="198">
        <v>10338599</v>
      </c>
      <c r="H33" s="190"/>
      <c r="I33" s="190"/>
      <c r="J33" s="325" t="s">
        <v>287</v>
      </c>
      <c r="K33" s="326"/>
      <c r="L33" s="327"/>
      <c r="M33" s="200">
        <f>B19/B15</f>
        <v>8.7282326038642347E-2</v>
      </c>
      <c r="N33" s="200">
        <f>C19/C15</f>
        <v>6.2523785757201772E-2</v>
      </c>
      <c r="O33" s="200">
        <f>D19/D15</f>
        <v>4.1577616666562074E-2</v>
      </c>
      <c r="P33" s="200">
        <f>E19/E15</f>
        <v>2.3532971408337718E-2</v>
      </c>
      <c r="Q33" s="200">
        <f>F19/F15</f>
        <v>7.7216410773936518E-3</v>
      </c>
    </row>
    <row r="34" spans="1:17" ht="15">
      <c r="A34" s="193" t="s">
        <v>285</v>
      </c>
      <c r="B34" s="198">
        <v>11299700</v>
      </c>
      <c r="C34" s="198">
        <v>11299700</v>
      </c>
      <c r="D34" s="198">
        <v>11299700</v>
      </c>
      <c r="E34" s="198">
        <v>11299700</v>
      </c>
      <c r="F34" s="198">
        <v>11299700</v>
      </c>
      <c r="G34" s="198">
        <v>11299700</v>
      </c>
      <c r="H34" s="190"/>
      <c r="I34" s="190"/>
      <c r="J34" s="325" t="s">
        <v>288</v>
      </c>
      <c r="K34" s="326"/>
      <c r="L34" s="327"/>
      <c r="M34" s="199">
        <f>C45/C49</f>
        <v>0.47287963673881384</v>
      </c>
      <c r="N34" s="199">
        <f>D45/D49</f>
        <v>0.54732863831264111</v>
      </c>
      <c r="O34" s="199">
        <f>E45/E49</f>
        <v>0.62870523002971768</v>
      </c>
      <c r="P34" s="199">
        <f>F45/F49</f>
        <v>0.71590954482688129</v>
      </c>
      <c r="Q34" s="199">
        <f>G45/G49</f>
        <v>0.80724920318002025</v>
      </c>
    </row>
    <row r="35" spans="1:17" ht="15">
      <c r="A35" s="193" t="s">
        <v>286</v>
      </c>
      <c r="B35" s="198">
        <v>135000000</v>
      </c>
      <c r="C35" s="198">
        <v>135000000</v>
      </c>
      <c r="D35" s="198">
        <v>135000000</v>
      </c>
      <c r="E35" s="198">
        <v>135000000</v>
      </c>
      <c r="F35" s="198">
        <v>135000000</v>
      </c>
      <c r="G35" s="198">
        <v>135000000</v>
      </c>
      <c r="H35" s="190"/>
      <c r="I35" s="190"/>
      <c r="J35" s="325" t="s">
        <v>291</v>
      </c>
      <c r="K35" s="326"/>
      <c r="L35" s="327"/>
      <c r="M35" s="201"/>
      <c r="N35" s="195"/>
      <c r="O35" s="196"/>
      <c r="P35" s="196"/>
      <c r="Q35" s="196"/>
    </row>
    <row r="36" spans="1:17" ht="15">
      <c r="A36" s="193" t="s">
        <v>155</v>
      </c>
      <c r="B36" s="198">
        <v>0</v>
      </c>
      <c r="C36" s="198">
        <v>-10324999.9</v>
      </c>
      <c r="D36" s="198">
        <v>-10324999.9</v>
      </c>
      <c r="E36" s="198">
        <v>-10324999.9</v>
      </c>
      <c r="F36" s="198">
        <v>-10324999.9</v>
      </c>
      <c r="G36" s="198">
        <v>-10324999.9</v>
      </c>
      <c r="H36" s="190"/>
      <c r="I36" s="190"/>
      <c r="J36" s="325" t="s">
        <v>293</v>
      </c>
      <c r="K36" s="326"/>
      <c r="L36" s="327"/>
      <c r="M36" s="195">
        <f>C49/C54</f>
        <v>1.5670976307718221</v>
      </c>
      <c r="N36" s="195">
        <f>D49/D54</f>
        <v>0.7185504474697374</v>
      </c>
      <c r="O36" s="195">
        <f>E49/E54</f>
        <v>0.43207821526496576</v>
      </c>
      <c r="P36" s="195">
        <f>F49/F54</f>
        <v>0.29317909162709688</v>
      </c>
      <c r="Q36" s="195">
        <f>G49/G54</f>
        <v>0.21385331449279368</v>
      </c>
    </row>
    <row r="37" spans="1:17" ht="15">
      <c r="A37" s="193" t="s">
        <v>289</v>
      </c>
      <c r="B37" s="198">
        <v>0</v>
      </c>
      <c r="C37" s="198">
        <v>1080000</v>
      </c>
      <c r="D37" s="198">
        <v>1080000</v>
      </c>
      <c r="E37" s="198">
        <v>1080000</v>
      </c>
      <c r="F37" s="198">
        <v>1080000</v>
      </c>
      <c r="G37" s="198">
        <v>1080000</v>
      </c>
      <c r="H37" s="190"/>
      <c r="I37" s="190"/>
      <c r="J37" s="346" t="s">
        <v>294</v>
      </c>
      <c r="K37" s="347"/>
      <c r="L37" s="347"/>
      <c r="M37" s="347"/>
      <c r="N37" s="347"/>
      <c r="O37" s="347"/>
      <c r="P37" s="347"/>
      <c r="Q37" s="347"/>
    </row>
    <row r="38" spans="1:17" ht="15">
      <c r="A38" s="193" t="s">
        <v>290</v>
      </c>
      <c r="B38" s="194">
        <f t="shared" ref="B38:G38" si="1">B33+B34+B35+B36+B37</f>
        <v>156638299</v>
      </c>
      <c r="C38" s="194">
        <f t="shared" si="1"/>
        <v>147393299.09999999</v>
      </c>
      <c r="D38" s="194">
        <f t="shared" si="1"/>
        <v>147393299.09999999</v>
      </c>
      <c r="E38" s="194">
        <f t="shared" si="1"/>
        <v>147393299.09999999</v>
      </c>
      <c r="F38" s="194">
        <f t="shared" si="1"/>
        <v>147393299.09999999</v>
      </c>
      <c r="G38" s="194">
        <f t="shared" si="1"/>
        <v>147393299.09999999</v>
      </c>
      <c r="H38" s="190"/>
      <c r="I38" s="190"/>
      <c r="J38" s="325" t="s">
        <v>296</v>
      </c>
      <c r="K38" s="326"/>
      <c r="L38" s="327"/>
      <c r="M38" s="195">
        <f>+B6/B4</f>
        <v>0.75864788849787002</v>
      </c>
      <c r="N38" s="195">
        <f>+C6/C4</f>
        <v>0.75887520332048031</v>
      </c>
      <c r="O38" s="195">
        <f>+D6/D4</f>
        <v>0.75908856927897572</v>
      </c>
      <c r="P38" s="195">
        <f>+E6/E4</f>
        <v>0.75928884232638172</v>
      </c>
      <c r="Q38" s="195">
        <f>+F6/F4</f>
        <v>0.75947682589133336</v>
      </c>
    </row>
    <row r="39" spans="1:17" ht="15">
      <c r="A39" s="202" t="s">
        <v>292</v>
      </c>
      <c r="B39" s="203">
        <f t="shared" ref="B39:G39" si="2">B38+B31</f>
        <v>581814171</v>
      </c>
      <c r="C39" s="203">
        <f t="shared" si="2"/>
        <v>555250396.52631545</v>
      </c>
      <c r="D39" s="203">
        <f t="shared" si="2"/>
        <v>630395621.74768686</v>
      </c>
      <c r="E39" s="203">
        <f t="shared" si="2"/>
        <v>715615235.17990947</v>
      </c>
      <c r="F39" s="203">
        <f t="shared" si="2"/>
        <v>873275942.90599477</v>
      </c>
      <c r="G39" s="203">
        <f t="shared" si="2"/>
        <v>976347948.70118153</v>
      </c>
      <c r="H39" s="190"/>
      <c r="I39" s="190"/>
      <c r="J39" s="325" t="s">
        <v>298</v>
      </c>
      <c r="K39" s="326"/>
      <c r="L39" s="327"/>
      <c r="M39" s="195">
        <f>+B15/B4</f>
        <v>0.38048741855487644</v>
      </c>
      <c r="N39" s="195">
        <f>+C15/C4</f>
        <v>0.40441654761731055</v>
      </c>
      <c r="O39" s="195">
        <f>+D15/D4</f>
        <v>0.42689471016483183</v>
      </c>
      <c r="P39" s="195">
        <f>+E15/E4</f>
        <v>0.44800356009573467</v>
      </c>
      <c r="Q39" s="195">
        <f>+F15/F4</f>
        <v>0.46782094604655428</v>
      </c>
    </row>
    <row r="40" spans="1:17" ht="15">
      <c r="A40" s="190"/>
      <c r="B40" s="190"/>
      <c r="C40" s="190"/>
      <c r="D40" s="190"/>
      <c r="E40" s="190"/>
      <c r="F40" s="190"/>
      <c r="G40" s="190"/>
      <c r="H40" s="190"/>
      <c r="I40" s="190"/>
      <c r="J40" s="325" t="s">
        <v>300</v>
      </c>
      <c r="K40" s="326"/>
      <c r="L40" s="327"/>
      <c r="M40" s="195">
        <f>+B22/B4</f>
        <v>0.21196959962960818</v>
      </c>
      <c r="N40" s="195">
        <f>+C22/C4</f>
        <v>0.23190729526527168</v>
      </c>
      <c r="O40" s="195">
        <f>+D22/D4</f>
        <v>0.25051782704832237</v>
      </c>
      <c r="P40" s="195">
        <f>+E22/E4</f>
        <v>0.26788817729858327</v>
      </c>
      <c r="Q40" s="195">
        <f>+F22/F4</f>
        <v>0.28409984479159228</v>
      </c>
    </row>
    <row r="41" spans="1:17" ht="15">
      <c r="A41" s="342" t="s">
        <v>295</v>
      </c>
      <c r="B41" s="342"/>
      <c r="C41" s="342"/>
      <c r="D41" s="342"/>
      <c r="E41" s="342"/>
      <c r="F41" s="342"/>
      <c r="G41" s="342"/>
      <c r="H41" s="190"/>
      <c r="I41" s="190"/>
      <c r="J41" s="325" t="s">
        <v>302</v>
      </c>
      <c r="K41" s="326"/>
      <c r="L41" s="327"/>
      <c r="M41" s="195">
        <f>B22/C54</f>
        <v>0.93212555934050556</v>
      </c>
      <c r="N41" s="195">
        <f>C22/D54</f>
        <v>0.52869774083340293</v>
      </c>
      <c r="O41" s="195">
        <f>D22/E54</f>
        <v>0.38583925999171681</v>
      </c>
      <c r="P41" s="195">
        <f>E22/F54</f>
        <v>0.31217195879119908</v>
      </c>
      <c r="Q41" s="195">
        <f>F22/G54</f>
        <v>0.26695346803193648</v>
      </c>
    </row>
    <row r="42" spans="1:17" ht="15">
      <c r="A42" s="193" t="s">
        <v>297</v>
      </c>
      <c r="B42" s="198"/>
      <c r="C42" s="198">
        <f>+'FLUJO DE CAJA'!E30+'FLUJO DE CAJA'!E31</f>
        <v>62308124.425304756</v>
      </c>
      <c r="D42" s="198">
        <f>+'FLUJO DE CAJA'!F30+'FLUJO DE CAJA'!F31</f>
        <v>62308124.425304756</v>
      </c>
      <c r="E42" s="198">
        <f>+'FLUJO DE CAJA'!G30+'FLUJO DE CAJA'!G31</f>
        <v>62308124.425304748</v>
      </c>
      <c r="F42" s="198">
        <f>+'FLUJO DE CAJA'!H30+'FLUJO DE CAJA'!H31</f>
        <v>62308124.425304756</v>
      </c>
      <c r="G42" s="198">
        <f>+'FLUJO DE CAJA'!I30+'FLUJO DE CAJA'!I31</f>
        <v>62308124.425304756</v>
      </c>
      <c r="H42" s="190"/>
      <c r="I42" s="190"/>
      <c r="J42" s="325" t="s">
        <v>304</v>
      </c>
      <c r="K42" s="326"/>
      <c r="L42" s="327"/>
      <c r="M42" s="195">
        <f>+B22/C39</f>
        <v>0.37099711697780452</v>
      </c>
      <c r="N42" s="195">
        <f>+C22/D39</f>
        <v>0.39325996866201374</v>
      </c>
      <c r="O42" s="195">
        <f>+D22/E39</f>
        <v>0.41165202958721492</v>
      </c>
      <c r="P42" s="195">
        <f>+E22/F39</f>
        <v>0.3967947698069525</v>
      </c>
      <c r="Q42" s="195">
        <f>+F22/G39</f>
        <v>0.41402155438022908</v>
      </c>
    </row>
    <row r="43" spans="1:17" ht="15">
      <c r="A43" s="193" t="s">
        <v>299</v>
      </c>
      <c r="B43" s="204">
        <v>0</v>
      </c>
      <c r="C43" s="204">
        <v>0</v>
      </c>
      <c r="D43" s="204">
        <v>0</v>
      </c>
      <c r="E43" s="204">
        <v>0</v>
      </c>
      <c r="F43" s="204">
        <v>0</v>
      </c>
      <c r="G43" s="204">
        <v>0</v>
      </c>
      <c r="H43" s="190"/>
      <c r="I43" s="190"/>
      <c r="J43" s="325" t="s">
        <v>306</v>
      </c>
      <c r="K43" s="326"/>
      <c r="L43" s="327"/>
      <c r="M43" s="195">
        <f>+B22/C51</f>
        <v>13.733086420803055</v>
      </c>
      <c r="N43" s="195">
        <f>+C22/D51</f>
        <v>16.527290830211069</v>
      </c>
      <c r="O43" s="195">
        <f>+D22/E51</f>
        <v>19.638964264356126</v>
      </c>
      <c r="P43" s="195">
        <f>+E22/F51</f>
        <v>23.100755116222238</v>
      </c>
      <c r="Q43" s="195">
        <f>+F22/G51</f>
        <v>26.948606355814093</v>
      </c>
    </row>
    <row r="44" spans="1:17" ht="15">
      <c r="A44" s="193" t="s">
        <v>301</v>
      </c>
      <c r="B44" s="204">
        <v>0</v>
      </c>
      <c r="C44" s="194">
        <f>+B21</f>
        <v>101460862.36264944</v>
      </c>
      <c r="D44" s="194">
        <f>+C21</f>
        <v>122104611.35752954</v>
      </c>
      <c r="E44" s="194">
        <f>+D21</f>
        <v>145093840.46054155</v>
      </c>
      <c r="F44" s="194">
        <f>+E21</f>
        <v>170669757.94820908</v>
      </c>
      <c r="G44" s="194">
        <f>+F21</f>
        <v>199097912.62877575</v>
      </c>
      <c r="H44" s="190"/>
      <c r="I44" s="190"/>
      <c r="J44" s="325" t="s">
        <v>307</v>
      </c>
      <c r="K44" s="326"/>
      <c r="L44" s="327"/>
      <c r="M44" s="197">
        <f>+B11+B15</f>
        <v>380090283</v>
      </c>
      <c r="N44" s="197">
        <f>+C11+C15</f>
        <v>442647098.13600028</v>
      </c>
      <c r="O44" s="197">
        <f>+D11+D15</f>
        <v>512311428.75118816</v>
      </c>
      <c r="P44" s="197">
        <f>+E11+E15</f>
        <v>589814209.01684737</v>
      </c>
      <c r="Q44" s="197">
        <f>+F11+F15</f>
        <v>675960132.29129183</v>
      </c>
    </row>
    <row r="45" spans="1:17">
      <c r="A45" s="193" t="s">
        <v>303</v>
      </c>
      <c r="B45" s="194">
        <f t="shared" ref="B45:G45" si="3">B42+B43+B44</f>
        <v>0</v>
      </c>
      <c r="C45" s="194">
        <f t="shared" si="3"/>
        <v>163768986.78795421</v>
      </c>
      <c r="D45" s="194">
        <f t="shared" si="3"/>
        <v>184412735.78283429</v>
      </c>
      <c r="E45" s="194">
        <f t="shared" si="3"/>
        <v>207401964.88584629</v>
      </c>
      <c r="F45" s="194">
        <f t="shared" si="3"/>
        <v>232977882.37351382</v>
      </c>
      <c r="G45" s="194">
        <f t="shared" si="3"/>
        <v>261406037.05408049</v>
      </c>
      <c r="H45" s="190"/>
      <c r="I45" s="190"/>
      <c r="J45" s="190"/>
      <c r="K45" s="190"/>
      <c r="L45" s="190"/>
      <c r="M45" s="190"/>
      <c r="N45" s="190"/>
      <c r="O45" s="190"/>
      <c r="P45" s="190"/>
      <c r="Q45" s="190"/>
    </row>
    <row r="46" spans="1:17" ht="15">
      <c r="A46" s="342" t="s">
        <v>305</v>
      </c>
      <c r="B46" s="342"/>
      <c r="C46" s="342"/>
      <c r="D46" s="342"/>
      <c r="E46" s="342"/>
      <c r="F46" s="342"/>
      <c r="G46" s="342"/>
      <c r="H46" s="190"/>
      <c r="I46" s="190"/>
      <c r="J46" s="190"/>
      <c r="K46" s="190"/>
      <c r="L46" s="190"/>
      <c r="M46" s="206" t="s">
        <v>147</v>
      </c>
      <c r="N46" s="206" t="s">
        <v>148</v>
      </c>
      <c r="O46" s="206" t="s">
        <v>149</v>
      </c>
      <c r="P46" s="206" t="s">
        <v>150</v>
      </c>
      <c r="Q46" s="206" t="s">
        <v>151</v>
      </c>
    </row>
    <row r="47" spans="1:17">
      <c r="A47" s="193" t="s">
        <v>297</v>
      </c>
      <c r="B47" s="204">
        <f>+AMORTIZACION!E8</f>
        <v>212587936</v>
      </c>
      <c r="C47" s="204">
        <f>+B47-AMORTIZACION!G20</f>
        <v>182553785.57200032</v>
      </c>
      <c r="D47" s="204">
        <f>+C47-AMORTIZACION!G20</f>
        <v>152519635.14400065</v>
      </c>
      <c r="E47" s="204">
        <f>+D47-AMORTIZACION!G20</f>
        <v>122485484.71600099</v>
      </c>
      <c r="F47" s="204">
        <f>+E47-AMORTIZACION!G20</f>
        <v>92451334.288001329</v>
      </c>
      <c r="G47" s="204">
        <f>+F47-AMORTIZACION!G20</f>
        <v>62417183.860001668</v>
      </c>
      <c r="H47" s="190"/>
      <c r="I47" s="190"/>
      <c r="J47" s="350" t="s">
        <v>310</v>
      </c>
      <c r="K47" s="350"/>
      <c r="L47" s="350"/>
      <c r="M47" s="194">
        <f>+B19+B20</f>
        <v>339731132.67200035</v>
      </c>
      <c r="N47" s="194">
        <f>+C19+C20</f>
        <v>397044388.05890715</v>
      </c>
      <c r="O47" s="194">
        <f>+D19+D20</f>
        <v>460549703.73647457</v>
      </c>
      <c r="P47" s="194">
        <f>+E19+E20</f>
        <v>530818187.68112963</v>
      </c>
      <c r="Q47" s="194">
        <f>+F19+F20</f>
        <v>608466803.54681599</v>
      </c>
    </row>
    <row r="48" spans="1:17">
      <c r="A48" s="193" t="s">
        <v>308</v>
      </c>
      <c r="B48" s="204">
        <f t="shared" ref="B48:G48" si="4">B47</f>
        <v>212587936</v>
      </c>
      <c r="C48" s="204">
        <f t="shared" si="4"/>
        <v>182553785.57200032</v>
      </c>
      <c r="D48" s="204">
        <f t="shared" si="4"/>
        <v>152519635.14400065</v>
      </c>
      <c r="E48" s="204">
        <f t="shared" si="4"/>
        <v>122485484.71600099</v>
      </c>
      <c r="F48" s="204">
        <f t="shared" si="4"/>
        <v>92451334.288001329</v>
      </c>
      <c r="G48" s="204">
        <f t="shared" si="4"/>
        <v>62417183.860001668</v>
      </c>
      <c r="H48" s="190"/>
      <c r="I48" s="190"/>
      <c r="J48" s="350" t="s">
        <v>312</v>
      </c>
      <c r="K48" s="350"/>
      <c r="L48" s="350"/>
      <c r="M48" s="194">
        <f>C42+C47+C54</f>
        <v>465858206.30935091</v>
      </c>
      <c r="N48" s="194">
        <f>D42+D47+D54</f>
        <v>683733418.33451724</v>
      </c>
      <c r="O48" s="194">
        <f>E42+E47+E54</f>
        <v>948283731.87185931</v>
      </c>
      <c r="P48" s="194">
        <f>F42+F47+F54</f>
        <v>1264760908.1871934</v>
      </c>
      <c r="Q48" s="194">
        <f>G42+G47+G54</f>
        <v>1638955853.096405</v>
      </c>
    </row>
    <row r="49" spans="1:18" ht="15">
      <c r="A49" s="202" t="s">
        <v>309</v>
      </c>
      <c r="B49" s="205">
        <f t="shared" ref="B49:G49" si="5">B45+B48</f>
        <v>212587936</v>
      </c>
      <c r="C49" s="205">
        <f t="shared" si="5"/>
        <v>346322772.35995454</v>
      </c>
      <c r="D49" s="205">
        <f t="shared" si="5"/>
        <v>336932370.92683494</v>
      </c>
      <c r="E49" s="205">
        <f t="shared" si="5"/>
        <v>329887449.60184729</v>
      </c>
      <c r="F49" s="205">
        <f t="shared" si="5"/>
        <v>325429216.66151512</v>
      </c>
      <c r="G49" s="205">
        <f t="shared" si="5"/>
        <v>323823220.91408217</v>
      </c>
      <c r="H49" s="190"/>
      <c r="I49" s="190"/>
      <c r="J49" s="350" t="s">
        <v>314</v>
      </c>
      <c r="K49" s="350"/>
      <c r="L49" s="350"/>
      <c r="M49" s="196">
        <f>(M62*M57)+(M41*(1-M62))</f>
        <v>0.73776833826178068</v>
      </c>
      <c r="N49" s="196">
        <f>(N62*N57)+(N41*(1-N62))</f>
        <v>0.52869774083340293</v>
      </c>
      <c r="O49" s="196">
        <f>(O62*O57)+(O41*(1-O62))</f>
        <v>0.38583925999171681</v>
      </c>
      <c r="P49" s="196">
        <f>(P62*P57)+(P41*(1-P62))</f>
        <v>0.29922085533144888</v>
      </c>
      <c r="Q49" s="196">
        <f>(Q62*Q57)+(Q41*(1-Q62))</f>
        <v>0.26695346803193648</v>
      </c>
    </row>
    <row r="50" spans="1:18">
      <c r="A50" s="190"/>
      <c r="B50" s="190"/>
      <c r="C50" s="190"/>
      <c r="D50" s="190"/>
      <c r="E50" s="190"/>
      <c r="F50" s="190"/>
      <c r="G50" s="190"/>
      <c r="H50" s="190"/>
      <c r="I50" s="190"/>
      <c r="J50" s="350" t="s">
        <v>316</v>
      </c>
      <c r="K50" s="350"/>
      <c r="L50" s="350"/>
      <c r="M50" s="198">
        <f>(M47-(M48*M49))</f>
        <v>-3964302.0624632835</v>
      </c>
      <c r="N50" s="198">
        <f>(N47-(N48*N49))</f>
        <v>35556074.453147888</v>
      </c>
      <c r="O50" s="198">
        <f>(O47-(O48*O49))</f>
        <v>94664610.368852794</v>
      </c>
      <c r="P50" s="198">
        <f>(P47-(P48*P49))</f>
        <v>152375346.94357753</v>
      </c>
      <c r="Q50" s="198">
        <f>(Q47-(Q48*Q49))</f>
        <v>170941854.61148965</v>
      </c>
    </row>
    <row r="51" spans="1:18">
      <c r="A51" s="193" t="s">
        <v>311</v>
      </c>
      <c r="B51" s="198">
        <v>15000000</v>
      </c>
      <c r="C51" s="198">
        <v>15000000</v>
      </c>
      <c r="D51" s="198">
        <v>15000000</v>
      </c>
      <c r="E51" s="198">
        <v>15000000</v>
      </c>
      <c r="F51" s="198">
        <v>15000000</v>
      </c>
      <c r="G51" s="198">
        <v>15000000</v>
      </c>
      <c r="H51" s="190"/>
      <c r="I51" s="190"/>
      <c r="J51" s="190"/>
      <c r="K51" s="190"/>
      <c r="L51" s="190"/>
      <c r="M51" s="190"/>
      <c r="N51" s="190"/>
      <c r="O51" s="190"/>
      <c r="P51" s="190"/>
      <c r="Q51" s="190"/>
    </row>
    <row r="52" spans="1:18">
      <c r="A52" s="193" t="s">
        <v>313</v>
      </c>
      <c r="B52" s="198">
        <v>0</v>
      </c>
      <c r="C52" s="198">
        <f>+B22</f>
        <v>205996296.31204581</v>
      </c>
      <c r="D52" s="198">
        <f>+C22</f>
        <v>247909362.45316601</v>
      </c>
      <c r="E52" s="198">
        <f>+D22</f>
        <v>294584463.96534187</v>
      </c>
      <c r="F52" s="198">
        <f>+E22</f>
        <v>346511326.74333358</v>
      </c>
      <c r="G52" s="198">
        <f>+F22</f>
        <v>404229095.33721137</v>
      </c>
      <c r="H52" s="190"/>
      <c r="I52" s="190"/>
      <c r="J52" s="190"/>
      <c r="K52" s="190"/>
      <c r="L52" s="190"/>
      <c r="M52" s="190"/>
      <c r="N52" s="190"/>
      <c r="O52" s="190"/>
      <c r="P52" s="190"/>
      <c r="Q52" s="190"/>
    </row>
    <row r="53" spans="1:18">
      <c r="A53" s="193" t="s">
        <v>315</v>
      </c>
      <c r="B53" s="198">
        <v>0</v>
      </c>
      <c r="C53" s="198">
        <v>0</v>
      </c>
      <c r="D53" s="194">
        <f>C52+C53</f>
        <v>205996296.31204581</v>
      </c>
      <c r="E53" s="194">
        <f>D52+D53</f>
        <v>453905658.76521182</v>
      </c>
      <c r="F53" s="194">
        <f>E52+E53</f>
        <v>748490122.73055363</v>
      </c>
      <c r="G53" s="194">
        <f>F52+F53</f>
        <v>1095001449.4738872</v>
      </c>
      <c r="H53" s="190"/>
      <c r="I53" s="190"/>
      <c r="J53" s="190"/>
      <c r="K53" s="190"/>
      <c r="L53" s="190"/>
      <c r="M53" s="190"/>
      <c r="N53" s="190"/>
      <c r="O53" s="190"/>
      <c r="P53" s="190"/>
      <c r="Q53" s="190"/>
    </row>
    <row r="54" spans="1:18" ht="15">
      <c r="A54" s="202" t="s">
        <v>317</v>
      </c>
      <c r="B54" s="203">
        <f t="shared" ref="B54:G54" si="6">B51+B52+B53</f>
        <v>15000000</v>
      </c>
      <c r="C54" s="203">
        <f t="shared" si="6"/>
        <v>220996296.31204581</v>
      </c>
      <c r="D54" s="203">
        <f t="shared" si="6"/>
        <v>468905658.76521182</v>
      </c>
      <c r="E54" s="203">
        <f t="shared" si="6"/>
        <v>763490122.73055363</v>
      </c>
      <c r="F54" s="203">
        <f t="shared" si="6"/>
        <v>1110001449.4738872</v>
      </c>
      <c r="G54" s="203">
        <f t="shared" si="6"/>
        <v>1514230544.8110986</v>
      </c>
      <c r="H54" s="190"/>
      <c r="I54" s="190"/>
    </row>
    <row r="55" spans="1:18">
      <c r="A55" s="190"/>
      <c r="B55" s="190"/>
      <c r="C55" s="190"/>
      <c r="D55" s="190"/>
      <c r="E55" s="190"/>
      <c r="F55" s="190"/>
      <c r="G55" s="190"/>
      <c r="H55" s="190"/>
      <c r="I55" s="190"/>
    </row>
    <row r="56" spans="1:18" ht="15">
      <c r="A56" s="202" t="s">
        <v>318</v>
      </c>
      <c r="B56" s="205">
        <f t="shared" ref="B56:G56" si="7">B49+B54</f>
        <v>227587936</v>
      </c>
      <c r="C56" s="205">
        <f t="shared" si="7"/>
        <v>567319068.67200041</v>
      </c>
      <c r="D56" s="205">
        <f t="shared" si="7"/>
        <v>805838029.69204676</v>
      </c>
      <c r="E56" s="205">
        <f t="shared" si="7"/>
        <v>1093377572.3324008</v>
      </c>
      <c r="F56" s="205">
        <f t="shared" si="7"/>
        <v>1435430666.1354022</v>
      </c>
      <c r="G56" s="205">
        <f t="shared" si="7"/>
        <v>1838053765.7251806</v>
      </c>
      <c r="H56" s="190"/>
      <c r="I56" s="190"/>
      <c r="J56" s="190"/>
      <c r="K56" s="190"/>
      <c r="L56" s="190"/>
      <c r="M56" s="208">
        <f>C42+C54</f>
        <v>283304420.73735058</v>
      </c>
      <c r="N56" s="208">
        <f>D42+D54</f>
        <v>531213783.19051659</v>
      </c>
      <c r="O56" s="208">
        <f>E42+E54</f>
        <v>825798247.1558584</v>
      </c>
      <c r="P56" s="208">
        <f>F42+F54</f>
        <v>1172309573.8991919</v>
      </c>
      <c r="Q56" s="208">
        <f>G42+G54</f>
        <v>1576538669.2364032</v>
      </c>
      <c r="R56" s="190"/>
    </row>
    <row r="57" spans="1:18">
      <c r="J57" s="190"/>
      <c r="K57" s="190"/>
      <c r="L57" s="190"/>
      <c r="M57" s="190">
        <f>C42/M56</f>
        <v>0.21993347037485925</v>
      </c>
      <c r="N57" s="190">
        <f>D42/N56</f>
        <v>0.11729387752530948</v>
      </c>
      <c r="O57" s="190">
        <f>E42/O56</f>
        <v>7.5451994043219284E-2</v>
      </c>
      <c r="P57" s="190">
        <f>F42/P56</f>
        <v>5.3149889596195259E-2</v>
      </c>
      <c r="Q57" s="190">
        <f>G42/Q56</f>
        <v>3.9522103479696889E-2</v>
      </c>
      <c r="R57" s="190"/>
    </row>
    <row r="58" spans="1:18">
      <c r="C58" s="218">
        <f>+C39-C56</f>
        <v>-12068672.145684958</v>
      </c>
      <c r="D58" s="218">
        <f>+D39-D56</f>
        <v>-175442407.9443599</v>
      </c>
      <c r="E58" s="218">
        <f>+E39-E56</f>
        <v>-377762337.15249133</v>
      </c>
      <c r="F58" s="218">
        <f>+F39-F56</f>
        <v>-562154723.22940743</v>
      </c>
      <c r="G58" s="218">
        <f>+G39-G56</f>
        <v>-861705817.02399909</v>
      </c>
      <c r="J58" s="190"/>
      <c r="K58" s="190"/>
      <c r="L58" s="190"/>
      <c r="M58" s="190"/>
      <c r="N58" s="190"/>
      <c r="O58" s="190"/>
      <c r="P58" s="190"/>
      <c r="Q58" s="190"/>
      <c r="R58" s="190"/>
    </row>
    <row r="59" spans="1:18">
      <c r="J59" s="190"/>
      <c r="K59" s="190"/>
      <c r="L59" s="190"/>
      <c r="M59" s="190"/>
      <c r="N59" s="190"/>
      <c r="O59" s="190"/>
      <c r="P59" s="190"/>
      <c r="Q59" s="190"/>
      <c r="R59" s="190"/>
    </row>
    <row r="60" spans="1:18">
      <c r="J60" s="190"/>
      <c r="K60" s="190" t="s">
        <v>323</v>
      </c>
      <c r="L60" s="190"/>
      <c r="M60" s="209">
        <f>+'FLUJO DE CAJA'!E15-'FLUJO DE CAJA'!E17</f>
        <v>737269191</v>
      </c>
      <c r="N60" s="209">
        <f>+'FLUJO DE CAJA'!F15-'FLUJO DE CAJA'!F17</f>
        <v>838132661.73329997</v>
      </c>
      <c r="O60" s="209">
        <f>+'FLUJO DE CAJA'!G15-'FLUJO DE CAJA'!G17</f>
        <v>951779732.20326018</v>
      </c>
      <c r="P60" s="209">
        <f>+'FLUJO DE CAJA'!H15-'FLUJO DE CAJA'!H17</f>
        <v>1079757954.5686293</v>
      </c>
      <c r="Q60" s="209">
        <f>+'FLUJO DE CAJA'!I15-'FLUJO DE CAJA'!I17</f>
        <v>1212081707.0059335</v>
      </c>
      <c r="R60" s="190"/>
    </row>
    <row r="61" spans="1:18">
      <c r="J61" s="190"/>
      <c r="K61" s="190"/>
      <c r="L61" s="190"/>
      <c r="M61" s="209">
        <f>'[1]FLUJO DE CAJA'!D50</f>
        <v>0</v>
      </c>
      <c r="N61" s="209">
        <f>'[1]FLUJO DE CAJA'!E50</f>
        <v>0</v>
      </c>
      <c r="O61" s="209">
        <f>'[1]FLUJO DE CAJA'!F50</f>
        <v>0</v>
      </c>
      <c r="P61" s="209">
        <f>'[1]FLUJO DE CAJA'!G50</f>
        <v>0</v>
      </c>
      <c r="Q61" s="209">
        <f>'[1]FLUJO DE CAJA'!H50</f>
        <v>0</v>
      </c>
      <c r="R61" s="209">
        <f>'[1]FLUJO DE CAJA'!I50</f>
        <v>0</v>
      </c>
    </row>
    <row r="62" spans="1:18">
      <c r="J62" s="190"/>
      <c r="K62" s="190"/>
      <c r="L62" s="190"/>
      <c r="M62" s="190">
        <v>0.27289999999999998</v>
      </c>
      <c r="N62" s="190"/>
      <c r="O62" s="190"/>
      <c r="P62" s="190">
        <v>0.05</v>
      </c>
      <c r="Q62" s="190"/>
      <c r="R62" s="190"/>
    </row>
    <row r="63" spans="1:18">
      <c r="J63" s="190"/>
      <c r="K63" s="190"/>
      <c r="L63" s="190"/>
      <c r="M63" s="190"/>
      <c r="N63" s="190"/>
      <c r="O63" s="190"/>
      <c r="P63" s="190"/>
      <c r="Q63" s="190"/>
      <c r="R63" s="190"/>
    </row>
    <row r="64" spans="1:18">
      <c r="J64" s="190"/>
      <c r="K64" s="190"/>
      <c r="L64" s="190"/>
      <c r="M64" s="190"/>
      <c r="N64" s="190"/>
      <c r="O64" s="190"/>
      <c r="P64" s="190"/>
      <c r="Q64" s="190"/>
      <c r="R64" s="190"/>
    </row>
    <row r="65" spans="1:18">
      <c r="J65" s="348" t="s">
        <v>321</v>
      </c>
      <c r="K65" s="348"/>
      <c r="L65" s="348"/>
      <c r="M65" s="210">
        <f>NPV($P$41,$N$40:$R$40)</f>
        <v>0.53663668121505703</v>
      </c>
      <c r="N65" s="210"/>
      <c r="O65" s="210"/>
      <c r="P65" s="210"/>
      <c r="Q65" s="210"/>
      <c r="R65" s="190"/>
    </row>
    <row r="66" spans="1:18">
      <c r="A66" t="s">
        <v>325</v>
      </c>
      <c r="B66">
        <v>15</v>
      </c>
      <c r="C66" t="s">
        <v>326</v>
      </c>
      <c r="D66" t="s">
        <v>327</v>
      </c>
      <c r="J66" s="348" t="s">
        <v>322</v>
      </c>
      <c r="K66" s="348"/>
      <c r="L66" s="348"/>
      <c r="M66" s="211" t="e">
        <f>IRR(N60:R60,)</f>
        <v>#NUM!</v>
      </c>
      <c r="N66" s="190"/>
      <c r="O66" s="190"/>
      <c r="P66" s="190"/>
      <c r="Q66" s="190"/>
      <c r="R66" s="190"/>
    </row>
    <row r="67" spans="1:18">
      <c r="B67">
        <v>10</v>
      </c>
      <c r="C67">
        <v>4000</v>
      </c>
      <c r="J67" s="190"/>
      <c r="K67" s="190"/>
      <c r="L67" s="190"/>
      <c r="M67" s="190"/>
      <c r="N67" s="190"/>
      <c r="O67" s="190"/>
      <c r="P67" s="190"/>
      <c r="Q67" s="190"/>
      <c r="R67" s="190"/>
    </row>
    <row r="68" spans="1:18">
      <c r="J68" s="190"/>
      <c r="K68" s="190"/>
      <c r="L68" s="190"/>
      <c r="M68" s="190"/>
      <c r="N68" s="190"/>
      <c r="O68" s="190"/>
      <c r="P68" s="190"/>
      <c r="Q68" s="190"/>
      <c r="R68" s="190"/>
    </row>
    <row r="69" spans="1:18">
      <c r="A69" t="s">
        <v>328</v>
      </c>
      <c r="B69">
        <v>5</v>
      </c>
      <c r="C69">
        <v>6</v>
      </c>
    </row>
    <row r="71" spans="1:18">
      <c r="C71">
        <f>2+5</f>
        <v>7</v>
      </c>
    </row>
  </sheetData>
  <mergeCells count="32">
    <mergeCell ref="J42:L42"/>
    <mergeCell ref="A46:G46"/>
    <mergeCell ref="J43:L43"/>
    <mergeCell ref="J65:L65"/>
    <mergeCell ref="J66:L66"/>
    <mergeCell ref="J44:L44"/>
    <mergeCell ref="J47:L47"/>
    <mergeCell ref="J48:L48"/>
    <mergeCell ref="J49:L49"/>
    <mergeCell ref="J50:L50"/>
    <mergeCell ref="J35:L35"/>
    <mergeCell ref="J36:L36"/>
    <mergeCell ref="J37:Q37"/>
    <mergeCell ref="A41:G41"/>
    <mergeCell ref="J38:L38"/>
    <mergeCell ref="J39:L39"/>
    <mergeCell ref="J40:L40"/>
    <mergeCell ref="J41:L41"/>
    <mergeCell ref="J33:L33"/>
    <mergeCell ref="J34:L34"/>
    <mergeCell ref="J28:L28"/>
    <mergeCell ref="J29:L29"/>
    <mergeCell ref="J30:Q30"/>
    <mergeCell ref="A32:G32"/>
    <mergeCell ref="J31:L31"/>
    <mergeCell ref="B1:F2"/>
    <mergeCell ref="B24:G25"/>
    <mergeCell ref="J25:Q25"/>
    <mergeCell ref="J26:Q26"/>
    <mergeCell ref="A27:G27"/>
    <mergeCell ref="J27:L27"/>
    <mergeCell ref="J32:L3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W25"/>
  <sheetViews>
    <sheetView workbookViewId="0">
      <selection activeCell="E1" sqref="E1"/>
    </sheetView>
  </sheetViews>
  <sheetFormatPr baseColWidth="10" defaultRowHeight="12.75"/>
  <cols>
    <col min="1" max="1" width="22.140625" bestFit="1" customWidth="1"/>
    <col min="3" max="4" width="12.7109375" bestFit="1" customWidth="1"/>
    <col min="5" max="5" width="15.85546875" customWidth="1"/>
    <col min="7" max="12" width="16.28515625" customWidth="1"/>
    <col min="13" max="22" width="12.42578125" customWidth="1"/>
    <col min="23" max="23" width="14.5703125" bestFit="1" customWidth="1"/>
  </cols>
  <sheetData>
    <row r="1" spans="1:23" ht="34.5" customHeight="1">
      <c r="A1" s="170" t="s">
        <v>0</v>
      </c>
      <c r="B1" s="171" t="s">
        <v>2</v>
      </c>
      <c r="C1" s="172" t="s">
        <v>3</v>
      </c>
      <c r="D1" s="173" t="s">
        <v>4</v>
      </c>
      <c r="E1" s="173" t="s">
        <v>161</v>
      </c>
      <c r="F1" s="86" t="s">
        <v>163</v>
      </c>
      <c r="G1" s="86" t="s">
        <v>166</v>
      </c>
      <c r="H1" s="86" t="s">
        <v>167</v>
      </c>
      <c r="I1" s="86" t="s">
        <v>169</v>
      </c>
      <c r="J1" s="86" t="s">
        <v>170</v>
      </c>
      <c r="K1" s="86" t="s">
        <v>168</v>
      </c>
      <c r="L1" s="86" t="s">
        <v>171</v>
      </c>
      <c r="M1" s="86" t="s">
        <v>219</v>
      </c>
      <c r="N1" s="86" t="s">
        <v>220</v>
      </c>
      <c r="O1" s="86" t="s">
        <v>221</v>
      </c>
      <c r="P1" s="86" t="s">
        <v>222</v>
      </c>
      <c r="Q1" s="86" t="s">
        <v>223</v>
      </c>
      <c r="R1" s="86" t="s">
        <v>224</v>
      </c>
      <c r="S1" s="86" t="s">
        <v>225</v>
      </c>
      <c r="T1" s="86" t="s">
        <v>226</v>
      </c>
      <c r="U1" s="86" t="s">
        <v>227</v>
      </c>
      <c r="V1" s="86" t="s">
        <v>228</v>
      </c>
      <c r="W1" s="86" t="s">
        <v>229</v>
      </c>
    </row>
    <row r="2" spans="1:23">
      <c r="A2" s="352" t="s">
        <v>6</v>
      </c>
      <c r="B2" s="353"/>
      <c r="C2" s="353"/>
      <c r="D2" s="353"/>
      <c r="E2" s="174"/>
      <c r="F2" s="174"/>
      <c r="G2" s="174"/>
      <c r="H2" s="174"/>
      <c r="I2" s="174"/>
      <c r="J2" s="174"/>
      <c r="K2" s="174"/>
      <c r="L2" s="174"/>
      <c r="M2" s="174"/>
      <c r="N2" s="174"/>
      <c r="O2" s="174"/>
      <c r="P2" s="174"/>
      <c r="Q2" s="174"/>
      <c r="R2" s="174"/>
      <c r="S2" s="174"/>
      <c r="T2" s="174"/>
      <c r="U2" s="174"/>
      <c r="V2" s="174"/>
      <c r="W2" s="174"/>
    </row>
    <row r="3" spans="1:23">
      <c r="A3" s="175" t="s">
        <v>7</v>
      </c>
      <c r="B3" s="175">
        <v>2</v>
      </c>
      <c r="C3" s="90">
        <v>139900</v>
      </c>
      <c r="D3" s="90">
        <f t="shared" ref="D3:D14" si="0">C3*B3</f>
        <v>279800</v>
      </c>
      <c r="E3" s="87">
        <v>0.2</v>
      </c>
      <c r="F3" s="88" t="s">
        <v>162</v>
      </c>
      <c r="G3" s="90">
        <f>+D3*E3</f>
        <v>55960</v>
      </c>
      <c r="H3" s="90">
        <f>+D3*E3</f>
        <v>55960</v>
      </c>
      <c r="I3" s="90">
        <f>+D3*E3</f>
        <v>55960</v>
      </c>
      <c r="J3" s="90">
        <f>+D3*E3</f>
        <v>55960</v>
      </c>
      <c r="K3" s="90">
        <f>+D3*E3</f>
        <v>55960</v>
      </c>
      <c r="L3" s="90">
        <f>+SUM(G3:K3)</f>
        <v>279800</v>
      </c>
      <c r="M3" s="85">
        <f>+L3-G3</f>
        <v>223840</v>
      </c>
      <c r="N3" s="85">
        <f>+M3-H3</f>
        <v>167880</v>
      </c>
      <c r="O3" s="85">
        <f>+N3-I3</f>
        <v>111920</v>
      </c>
      <c r="P3" s="85">
        <f>+O3-J3</f>
        <v>55960</v>
      </c>
      <c r="Q3" s="85">
        <f>+P3-K3</f>
        <v>0</v>
      </c>
      <c r="R3" s="176">
        <f>+$P3*10%</f>
        <v>5596</v>
      </c>
      <c r="S3" s="176">
        <f>+$P3*10%</f>
        <v>5596</v>
      </c>
      <c r="T3" s="176">
        <f>+$P3*10%</f>
        <v>5596</v>
      </c>
      <c r="U3" s="176">
        <f>+$P3*10%</f>
        <v>5596</v>
      </c>
      <c r="V3" s="176">
        <f>+$P3*10%</f>
        <v>5596</v>
      </c>
      <c r="W3" s="85">
        <f>+L3</f>
        <v>279800</v>
      </c>
    </row>
    <row r="4" spans="1:23">
      <c r="A4" s="175" t="s">
        <v>8</v>
      </c>
      <c r="B4" s="175">
        <v>1</v>
      </c>
      <c r="C4" s="90">
        <v>930000</v>
      </c>
      <c r="D4" s="90">
        <f t="shared" si="0"/>
        <v>930000</v>
      </c>
      <c r="E4" s="89">
        <v>0.1</v>
      </c>
      <c r="F4" s="88" t="s">
        <v>164</v>
      </c>
      <c r="G4" s="90">
        <f t="shared" ref="G4:G24" si="1">+D4*E4</f>
        <v>93000</v>
      </c>
      <c r="H4" s="90">
        <f t="shared" ref="H4:H24" si="2">+D4*E4</f>
        <v>93000</v>
      </c>
      <c r="I4" s="90">
        <f t="shared" ref="I4:I24" si="3">+D4*E4</f>
        <v>93000</v>
      </c>
      <c r="J4" s="90">
        <f t="shared" ref="J4:J24" si="4">+D4*E4</f>
        <v>93000</v>
      </c>
      <c r="K4" s="90">
        <f t="shared" ref="K4:K24" si="5">+D4*E4</f>
        <v>93000</v>
      </c>
      <c r="L4" s="90">
        <f t="shared" ref="L4:L24" si="6">+SUM(G4:K4)</f>
        <v>465000</v>
      </c>
      <c r="M4" s="85">
        <f t="shared" ref="M4:M24" si="7">+L4-G4</f>
        <v>372000</v>
      </c>
      <c r="N4" s="85">
        <f t="shared" ref="N4:N24" si="8">+M4-H4</f>
        <v>279000</v>
      </c>
      <c r="O4" s="85">
        <f t="shared" ref="O4:O24" si="9">+N4-I4</f>
        <v>186000</v>
      </c>
      <c r="P4" s="85">
        <f t="shared" ref="P4:P24" si="10">+O4-J4</f>
        <v>93000</v>
      </c>
      <c r="Q4" s="85">
        <f t="shared" ref="Q4:Q24" si="11">+P4-K4</f>
        <v>0</v>
      </c>
      <c r="R4" s="176">
        <f t="shared" ref="R4:V14" si="12">+$P4*10%</f>
        <v>9300</v>
      </c>
      <c r="S4" s="176">
        <f t="shared" si="12"/>
        <v>9300</v>
      </c>
      <c r="T4" s="176">
        <f t="shared" si="12"/>
        <v>9300</v>
      </c>
      <c r="U4" s="176">
        <f t="shared" si="12"/>
        <v>9300</v>
      </c>
      <c r="V4" s="176">
        <f t="shared" si="12"/>
        <v>9300</v>
      </c>
      <c r="W4" s="85">
        <f t="shared" ref="W4:W24" si="13">+L4</f>
        <v>465000</v>
      </c>
    </row>
    <row r="5" spans="1:23">
      <c r="A5" s="175" t="s">
        <v>9</v>
      </c>
      <c r="B5" s="175">
        <v>1</v>
      </c>
      <c r="C5" s="90">
        <v>375900</v>
      </c>
      <c r="D5" s="90">
        <f t="shared" si="0"/>
        <v>375900</v>
      </c>
      <c r="E5" s="89">
        <v>0.1</v>
      </c>
      <c r="F5" s="88" t="s">
        <v>164</v>
      </c>
      <c r="G5" s="90">
        <f t="shared" si="1"/>
        <v>37590</v>
      </c>
      <c r="H5" s="90">
        <f t="shared" si="2"/>
        <v>37590</v>
      </c>
      <c r="I5" s="90">
        <f t="shared" si="3"/>
        <v>37590</v>
      </c>
      <c r="J5" s="90">
        <f t="shared" si="4"/>
        <v>37590</v>
      </c>
      <c r="K5" s="90">
        <f t="shared" si="5"/>
        <v>37590</v>
      </c>
      <c r="L5" s="90">
        <f t="shared" si="6"/>
        <v>187950</v>
      </c>
      <c r="M5" s="85">
        <f t="shared" si="7"/>
        <v>150360</v>
      </c>
      <c r="N5" s="85">
        <f t="shared" si="8"/>
        <v>112770</v>
      </c>
      <c r="O5" s="85">
        <f t="shared" si="9"/>
        <v>75180</v>
      </c>
      <c r="P5" s="85">
        <f t="shared" si="10"/>
        <v>37590</v>
      </c>
      <c r="Q5" s="85">
        <f t="shared" si="11"/>
        <v>0</v>
      </c>
      <c r="R5" s="176">
        <f t="shared" si="12"/>
        <v>3759</v>
      </c>
      <c r="S5" s="176">
        <f t="shared" si="12"/>
        <v>3759</v>
      </c>
      <c r="T5" s="176">
        <f t="shared" si="12"/>
        <v>3759</v>
      </c>
      <c r="U5" s="176">
        <f t="shared" si="12"/>
        <v>3759</v>
      </c>
      <c r="V5" s="176">
        <f t="shared" si="12"/>
        <v>3759</v>
      </c>
      <c r="W5" s="85">
        <f t="shared" si="13"/>
        <v>187950</v>
      </c>
    </row>
    <row r="6" spans="1:23">
      <c r="A6" s="181" t="s">
        <v>241</v>
      </c>
      <c r="B6" s="175">
        <v>2</v>
      </c>
      <c r="C6" s="90">
        <v>327900</v>
      </c>
      <c r="D6" s="90">
        <f t="shared" si="0"/>
        <v>655800</v>
      </c>
      <c r="E6" s="87">
        <v>0.2</v>
      </c>
      <c r="F6" s="88" t="s">
        <v>162</v>
      </c>
      <c r="G6" s="90">
        <f t="shared" si="1"/>
        <v>131160</v>
      </c>
      <c r="H6" s="90">
        <f t="shared" si="2"/>
        <v>131160</v>
      </c>
      <c r="I6" s="90">
        <f t="shared" si="3"/>
        <v>131160</v>
      </c>
      <c r="J6" s="90">
        <f t="shared" si="4"/>
        <v>131160</v>
      </c>
      <c r="K6" s="90">
        <f t="shared" si="5"/>
        <v>131160</v>
      </c>
      <c r="L6" s="90">
        <f t="shared" si="6"/>
        <v>655800</v>
      </c>
      <c r="M6" s="85">
        <f t="shared" si="7"/>
        <v>524640</v>
      </c>
      <c r="N6" s="85">
        <f t="shared" si="8"/>
        <v>393480</v>
      </c>
      <c r="O6" s="85">
        <f t="shared" si="9"/>
        <v>262320</v>
      </c>
      <c r="P6" s="85">
        <f t="shared" si="10"/>
        <v>131160</v>
      </c>
      <c r="Q6" s="85">
        <f t="shared" si="11"/>
        <v>0</v>
      </c>
      <c r="R6" s="176">
        <f t="shared" si="12"/>
        <v>13116</v>
      </c>
      <c r="S6" s="176">
        <f t="shared" si="12"/>
        <v>13116</v>
      </c>
      <c r="T6" s="176">
        <f t="shared" si="12"/>
        <v>13116</v>
      </c>
      <c r="U6" s="176">
        <f t="shared" si="12"/>
        <v>13116</v>
      </c>
      <c r="V6" s="176">
        <f t="shared" si="12"/>
        <v>13116</v>
      </c>
      <c r="W6" s="85">
        <f t="shared" si="13"/>
        <v>655800</v>
      </c>
    </row>
    <row r="7" spans="1:23">
      <c r="A7" s="175" t="s">
        <v>11</v>
      </c>
      <c r="B7" s="175">
        <v>2</v>
      </c>
      <c r="C7" s="90">
        <v>330900</v>
      </c>
      <c r="D7" s="90">
        <f t="shared" si="0"/>
        <v>661800</v>
      </c>
      <c r="E7" s="87">
        <v>0.2</v>
      </c>
      <c r="F7" s="88" t="s">
        <v>162</v>
      </c>
      <c r="G7" s="90">
        <f t="shared" si="1"/>
        <v>132360</v>
      </c>
      <c r="H7" s="90">
        <f t="shared" si="2"/>
        <v>132360</v>
      </c>
      <c r="I7" s="90">
        <f t="shared" si="3"/>
        <v>132360</v>
      </c>
      <c r="J7" s="90">
        <f t="shared" si="4"/>
        <v>132360</v>
      </c>
      <c r="K7" s="90">
        <f t="shared" si="5"/>
        <v>132360</v>
      </c>
      <c r="L7" s="90">
        <f t="shared" si="6"/>
        <v>661800</v>
      </c>
      <c r="M7" s="85">
        <f t="shared" si="7"/>
        <v>529440</v>
      </c>
      <c r="N7" s="85">
        <f t="shared" si="8"/>
        <v>397080</v>
      </c>
      <c r="O7" s="85">
        <f t="shared" si="9"/>
        <v>264720</v>
      </c>
      <c r="P7" s="85">
        <f t="shared" si="10"/>
        <v>132360</v>
      </c>
      <c r="Q7" s="85">
        <f t="shared" si="11"/>
        <v>0</v>
      </c>
      <c r="R7" s="176">
        <f t="shared" si="12"/>
        <v>13236</v>
      </c>
      <c r="S7" s="176">
        <f t="shared" si="12"/>
        <v>13236</v>
      </c>
      <c r="T7" s="176">
        <f t="shared" si="12"/>
        <v>13236</v>
      </c>
      <c r="U7" s="176">
        <f t="shared" si="12"/>
        <v>13236</v>
      </c>
      <c r="V7" s="176">
        <f t="shared" si="12"/>
        <v>13236</v>
      </c>
      <c r="W7" s="85">
        <f t="shared" si="13"/>
        <v>661800</v>
      </c>
    </row>
    <row r="8" spans="1:23">
      <c r="A8" s="181" t="s">
        <v>242</v>
      </c>
      <c r="B8" s="175">
        <v>3</v>
      </c>
      <c r="C8" s="90">
        <v>39900</v>
      </c>
      <c r="D8" s="90">
        <f t="shared" si="0"/>
        <v>119700</v>
      </c>
      <c r="E8" s="87">
        <v>0.2</v>
      </c>
      <c r="F8" s="88" t="s">
        <v>162</v>
      </c>
      <c r="G8" s="90">
        <f t="shared" si="1"/>
        <v>23940</v>
      </c>
      <c r="H8" s="90">
        <f t="shared" si="2"/>
        <v>23940</v>
      </c>
      <c r="I8" s="90">
        <f t="shared" si="3"/>
        <v>23940</v>
      </c>
      <c r="J8" s="90">
        <f t="shared" si="4"/>
        <v>23940</v>
      </c>
      <c r="K8" s="90">
        <f t="shared" si="5"/>
        <v>23940</v>
      </c>
      <c r="L8" s="90">
        <f t="shared" si="6"/>
        <v>119700</v>
      </c>
      <c r="M8" s="85">
        <f t="shared" si="7"/>
        <v>95760</v>
      </c>
      <c r="N8" s="85">
        <f t="shared" si="8"/>
        <v>71820</v>
      </c>
      <c r="O8" s="85">
        <f t="shared" si="9"/>
        <v>47880</v>
      </c>
      <c r="P8" s="85">
        <f t="shared" si="10"/>
        <v>23940</v>
      </c>
      <c r="Q8" s="85">
        <f t="shared" si="11"/>
        <v>0</v>
      </c>
      <c r="R8" s="176">
        <f t="shared" si="12"/>
        <v>2394</v>
      </c>
      <c r="S8" s="176">
        <f t="shared" si="12"/>
        <v>2394</v>
      </c>
      <c r="T8" s="176">
        <f t="shared" si="12"/>
        <v>2394</v>
      </c>
      <c r="U8" s="176">
        <f t="shared" si="12"/>
        <v>2394</v>
      </c>
      <c r="V8" s="176">
        <f t="shared" si="12"/>
        <v>2394</v>
      </c>
      <c r="W8" s="85">
        <f t="shared" si="13"/>
        <v>119700</v>
      </c>
    </row>
    <row r="9" spans="1:23">
      <c r="A9" s="175" t="s">
        <v>12</v>
      </c>
      <c r="B9" s="175">
        <v>1</v>
      </c>
      <c r="C9" s="90">
        <v>1000000</v>
      </c>
      <c r="D9" s="90">
        <f t="shared" si="0"/>
        <v>1000000</v>
      </c>
      <c r="E9" s="89">
        <v>0.1</v>
      </c>
      <c r="F9" s="88" t="s">
        <v>164</v>
      </c>
      <c r="G9" s="90">
        <f t="shared" si="1"/>
        <v>100000</v>
      </c>
      <c r="H9" s="90">
        <f t="shared" si="2"/>
        <v>100000</v>
      </c>
      <c r="I9" s="90">
        <f t="shared" si="3"/>
        <v>100000</v>
      </c>
      <c r="J9" s="90">
        <f t="shared" si="4"/>
        <v>100000</v>
      </c>
      <c r="K9" s="90">
        <f t="shared" si="5"/>
        <v>100000</v>
      </c>
      <c r="L9" s="90">
        <f t="shared" si="6"/>
        <v>500000</v>
      </c>
      <c r="M9" s="85">
        <f t="shared" si="7"/>
        <v>400000</v>
      </c>
      <c r="N9" s="85">
        <f t="shared" si="8"/>
        <v>300000</v>
      </c>
      <c r="O9" s="85">
        <f t="shared" si="9"/>
        <v>200000</v>
      </c>
      <c r="P9" s="85">
        <f t="shared" si="10"/>
        <v>100000</v>
      </c>
      <c r="Q9" s="85">
        <f t="shared" si="11"/>
        <v>0</v>
      </c>
      <c r="R9" s="176">
        <f t="shared" si="12"/>
        <v>10000</v>
      </c>
      <c r="S9" s="176">
        <f t="shared" si="12"/>
        <v>10000</v>
      </c>
      <c r="T9" s="176">
        <f t="shared" si="12"/>
        <v>10000</v>
      </c>
      <c r="U9" s="176">
        <f t="shared" si="12"/>
        <v>10000</v>
      </c>
      <c r="V9" s="176">
        <f t="shared" si="12"/>
        <v>10000</v>
      </c>
      <c r="W9" s="85">
        <f t="shared" si="13"/>
        <v>500000</v>
      </c>
    </row>
    <row r="10" spans="1:23">
      <c r="A10" s="181" t="s">
        <v>13</v>
      </c>
      <c r="B10" s="175">
        <v>1</v>
      </c>
      <c r="C10" s="90">
        <v>629900</v>
      </c>
      <c r="D10" s="90">
        <f t="shared" si="0"/>
        <v>629900</v>
      </c>
      <c r="E10" s="87">
        <v>0.2</v>
      </c>
      <c r="F10" s="88" t="s">
        <v>162</v>
      </c>
      <c r="G10" s="90">
        <f t="shared" si="1"/>
        <v>125980</v>
      </c>
      <c r="H10" s="90">
        <f t="shared" si="2"/>
        <v>125980</v>
      </c>
      <c r="I10" s="90">
        <f t="shared" si="3"/>
        <v>125980</v>
      </c>
      <c r="J10" s="90">
        <f t="shared" si="4"/>
        <v>125980</v>
      </c>
      <c r="K10" s="90">
        <f t="shared" si="5"/>
        <v>125980</v>
      </c>
      <c r="L10" s="90">
        <f t="shared" si="6"/>
        <v>629900</v>
      </c>
      <c r="M10" s="85">
        <f t="shared" si="7"/>
        <v>503920</v>
      </c>
      <c r="N10" s="85">
        <f t="shared" si="8"/>
        <v>377940</v>
      </c>
      <c r="O10" s="85">
        <f t="shared" si="9"/>
        <v>251960</v>
      </c>
      <c r="P10" s="85">
        <f t="shared" si="10"/>
        <v>125980</v>
      </c>
      <c r="Q10" s="85">
        <f t="shared" si="11"/>
        <v>0</v>
      </c>
      <c r="R10" s="176">
        <f t="shared" si="12"/>
        <v>12598</v>
      </c>
      <c r="S10" s="176">
        <f t="shared" si="12"/>
        <v>12598</v>
      </c>
      <c r="T10" s="176">
        <f t="shared" si="12"/>
        <v>12598</v>
      </c>
      <c r="U10" s="176">
        <f t="shared" si="12"/>
        <v>12598</v>
      </c>
      <c r="V10" s="176">
        <f t="shared" si="12"/>
        <v>12598</v>
      </c>
      <c r="W10" s="85">
        <f t="shared" si="13"/>
        <v>629900</v>
      </c>
    </row>
    <row r="11" spans="1:23">
      <c r="A11" s="175" t="s">
        <v>15</v>
      </c>
      <c r="B11" s="175">
        <v>1</v>
      </c>
      <c r="C11" s="90">
        <v>2499800</v>
      </c>
      <c r="D11" s="90">
        <f t="shared" si="0"/>
        <v>2499800</v>
      </c>
      <c r="E11" s="89">
        <v>0.1</v>
      </c>
      <c r="F11" s="88" t="s">
        <v>164</v>
      </c>
      <c r="G11" s="90">
        <f t="shared" si="1"/>
        <v>249980</v>
      </c>
      <c r="H11" s="90">
        <f t="shared" si="2"/>
        <v>249980</v>
      </c>
      <c r="I11" s="90">
        <f t="shared" si="3"/>
        <v>249980</v>
      </c>
      <c r="J11" s="90">
        <f t="shared" si="4"/>
        <v>249980</v>
      </c>
      <c r="K11" s="90">
        <f t="shared" si="5"/>
        <v>249980</v>
      </c>
      <c r="L11" s="90">
        <f t="shared" si="6"/>
        <v>1249900</v>
      </c>
      <c r="M11" s="85">
        <f t="shared" si="7"/>
        <v>999920</v>
      </c>
      <c r="N11" s="85">
        <f t="shared" si="8"/>
        <v>749940</v>
      </c>
      <c r="O11" s="85">
        <f t="shared" si="9"/>
        <v>499960</v>
      </c>
      <c r="P11" s="85">
        <f t="shared" si="10"/>
        <v>249980</v>
      </c>
      <c r="Q11" s="85">
        <f t="shared" si="11"/>
        <v>0</v>
      </c>
      <c r="R11" s="176">
        <f t="shared" si="12"/>
        <v>24998</v>
      </c>
      <c r="S11" s="176">
        <f t="shared" si="12"/>
        <v>24998</v>
      </c>
      <c r="T11" s="176">
        <f t="shared" si="12"/>
        <v>24998</v>
      </c>
      <c r="U11" s="176">
        <f t="shared" si="12"/>
        <v>24998</v>
      </c>
      <c r="V11" s="176">
        <f t="shared" si="12"/>
        <v>24998</v>
      </c>
      <c r="W11" s="85">
        <f t="shared" si="13"/>
        <v>1249900</v>
      </c>
    </row>
    <row r="12" spans="1:23">
      <c r="A12" s="175" t="s">
        <v>17</v>
      </c>
      <c r="B12" s="175">
        <v>1</v>
      </c>
      <c r="C12" s="90">
        <v>1726000</v>
      </c>
      <c r="D12" s="90">
        <f t="shared" si="0"/>
        <v>1726000</v>
      </c>
      <c r="E12" s="89">
        <v>0.1</v>
      </c>
      <c r="F12" s="88" t="s">
        <v>164</v>
      </c>
      <c r="G12" s="90">
        <f t="shared" si="1"/>
        <v>172600</v>
      </c>
      <c r="H12" s="90">
        <f t="shared" si="2"/>
        <v>172600</v>
      </c>
      <c r="I12" s="90">
        <f t="shared" si="3"/>
        <v>172600</v>
      </c>
      <c r="J12" s="90">
        <f t="shared" si="4"/>
        <v>172600</v>
      </c>
      <c r="K12" s="90">
        <f t="shared" si="5"/>
        <v>172600</v>
      </c>
      <c r="L12" s="90">
        <f t="shared" si="6"/>
        <v>863000</v>
      </c>
      <c r="M12" s="85">
        <f t="shared" si="7"/>
        <v>690400</v>
      </c>
      <c r="N12" s="85">
        <f t="shared" si="8"/>
        <v>517800</v>
      </c>
      <c r="O12" s="85">
        <f t="shared" si="9"/>
        <v>345200</v>
      </c>
      <c r="P12" s="85">
        <f t="shared" si="10"/>
        <v>172600</v>
      </c>
      <c r="Q12" s="85">
        <f t="shared" si="11"/>
        <v>0</v>
      </c>
      <c r="R12" s="176">
        <f t="shared" si="12"/>
        <v>17260</v>
      </c>
      <c r="S12" s="176">
        <f t="shared" si="12"/>
        <v>17260</v>
      </c>
      <c r="T12" s="176">
        <f t="shared" si="12"/>
        <v>17260</v>
      </c>
      <c r="U12" s="176">
        <f t="shared" si="12"/>
        <v>17260</v>
      </c>
      <c r="V12" s="176">
        <f t="shared" si="12"/>
        <v>17260</v>
      </c>
      <c r="W12" s="85">
        <f t="shared" si="13"/>
        <v>863000</v>
      </c>
    </row>
    <row r="13" spans="1:23">
      <c r="A13" s="175" t="s">
        <v>19</v>
      </c>
      <c r="B13" s="175">
        <v>1</v>
      </c>
      <c r="C13" s="90">
        <v>859900</v>
      </c>
      <c r="D13" s="90">
        <f t="shared" si="0"/>
        <v>859900</v>
      </c>
      <c r="E13" s="89">
        <v>0.1</v>
      </c>
      <c r="F13" s="88" t="s">
        <v>164</v>
      </c>
      <c r="G13" s="90">
        <f t="shared" si="1"/>
        <v>85990</v>
      </c>
      <c r="H13" s="90">
        <f t="shared" si="2"/>
        <v>85990</v>
      </c>
      <c r="I13" s="90">
        <f t="shared" si="3"/>
        <v>85990</v>
      </c>
      <c r="J13" s="90">
        <f t="shared" si="4"/>
        <v>85990</v>
      </c>
      <c r="K13" s="90">
        <f t="shared" si="5"/>
        <v>85990</v>
      </c>
      <c r="L13" s="90">
        <f t="shared" si="6"/>
        <v>429950</v>
      </c>
      <c r="M13" s="85">
        <f t="shared" si="7"/>
        <v>343960</v>
      </c>
      <c r="N13" s="85">
        <f t="shared" si="8"/>
        <v>257970</v>
      </c>
      <c r="O13" s="85">
        <f t="shared" si="9"/>
        <v>171980</v>
      </c>
      <c r="P13" s="85">
        <f t="shared" si="10"/>
        <v>85990</v>
      </c>
      <c r="Q13" s="85">
        <f t="shared" si="11"/>
        <v>0</v>
      </c>
      <c r="R13" s="176">
        <f t="shared" si="12"/>
        <v>8599</v>
      </c>
      <c r="S13" s="176">
        <f t="shared" si="12"/>
        <v>8599</v>
      </c>
      <c r="T13" s="176">
        <f t="shared" si="12"/>
        <v>8599</v>
      </c>
      <c r="U13" s="176">
        <f t="shared" si="12"/>
        <v>8599</v>
      </c>
      <c r="V13" s="176">
        <f t="shared" si="12"/>
        <v>8599</v>
      </c>
      <c r="W13" s="85">
        <f t="shared" si="13"/>
        <v>429950</v>
      </c>
    </row>
    <row r="14" spans="1:23">
      <c r="A14" s="175" t="s">
        <v>21</v>
      </c>
      <c r="B14" s="175">
        <v>1</v>
      </c>
      <c r="C14" s="90">
        <v>599999</v>
      </c>
      <c r="D14" s="90">
        <f t="shared" si="0"/>
        <v>599999</v>
      </c>
      <c r="E14" s="89">
        <v>0.1</v>
      </c>
      <c r="F14" s="88" t="s">
        <v>164</v>
      </c>
      <c r="G14" s="90">
        <f t="shared" si="1"/>
        <v>59999.9</v>
      </c>
      <c r="H14" s="90">
        <f t="shared" si="2"/>
        <v>59999.9</v>
      </c>
      <c r="I14" s="90">
        <f t="shared" si="3"/>
        <v>59999.9</v>
      </c>
      <c r="J14" s="90">
        <f t="shared" si="4"/>
        <v>59999.9</v>
      </c>
      <c r="K14" s="90">
        <f t="shared" si="5"/>
        <v>59999.9</v>
      </c>
      <c r="L14" s="90">
        <f t="shared" si="6"/>
        <v>299999.5</v>
      </c>
      <c r="M14" s="85">
        <f t="shared" si="7"/>
        <v>239999.6</v>
      </c>
      <c r="N14" s="85">
        <f t="shared" si="8"/>
        <v>179999.7</v>
      </c>
      <c r="O14" s="85">
        <f t="shared" si="9"/>
        <v>119999.80000000002</v>
      </c>
      <c r="P14" s="85">
        <f t="shared" si="10"/>
        <v>59999.900000000016</v>
      </c>
      <c r="Q14" s="85">
        <f t="shared" si="11"/>
        <v>0</v>
      </c>
      <c r="R14" s="176">
        <f t="shared" si="12"/>
        <v>5999.9900000000016</v>
      </c>
      <c r="S14" s="176">
        <f t="shared" si="12"/>
        <v>5999.9900000000016</v>
      </c>
      <c r="T14" s="176">
        <f t="shared" si="12"/>
        <v>5999.9900000000016</v>
      </c>
      <c r="U14" s="176">
        <f t="shared" si="12"/>
        <v>5999.9900000000016</v>
      </c>
      <c r="V14" s="176">
        <f t="shared" si="12"/>
        <v>5999.9900000000016</v>
      </c>
      <c r="W14" s="85">
        <f t="shared" si="13"/>
        <v>299999.5</v>
      </c>
    </row>
    <row r="15" spans="1:23">
      <c r="A15" s="352" t="s">
        <v>23</v>
      </c>
      <c r="B15" s="353"/>
      <c r="C15" s="353"/>
      <c r="D15" s="353"/>
      <c r="E15" s="89"/>
      <c r="F15" s="88"/>
      <c r="G15" s="224"/>
      <c r="H15" s="90"/>
      <c r="I15" s="90"/>
      <c r="J15" s="90"/>
      <c r="K15" s="90"/>
      <c r="L15" s="90"/>
      <c r="M15" s="85"/>
      <c r="N15" s="85"/>
      <c r="O15" s="85"/>
      <c r="P15" s="85"/>
      <c r="Q15" s="85"/>
      <c r="R15" s="176"/>
      <c r="S15" s="174"/>
      <c r="T15" s="174"/>
      <c r="U15" s="174"/>
      <c r="V15" s="174"/>
      <c r="W15" s="85"/>
    </row>
    <row r="16" spans="1:23">
      <c r="A16" s="175" t="s">
        <v>24</v>
      </c>
      <c r="B16" s="177">
        <v>5</v>
      </c>
      <c r="C16" s="90">
        <v>1740000</v>
      </c>
      <c r="D16" s="90">
        <f t="shared" ref="D16:D22" si="14">C16*B16</f>
        <v>8700000</v>
      </c>
      <c r="E16" s="89">
        <v>0.2</v>
      </c>
      <c r="F16" s="88" t="s">
        <v>162</v>
      </c>
      <c r="G16" s="90">
        <f t="shared" si="1"/>
        <v>1740000</v>
      </c>
      <c r="H16" s="90">
        <f t="shared" si="2"/>
        <v>1740000</v>
      </c>
      <c r="I16" s="90">
        <f t="shared" si="3"/>
        <v>1740000</v>
      </c>
      <c r="J16" s="90">
        <f t="shared" si="4"/>
        <v>1740000</v>
      </c>
      <c r="K16" s="90">
        <f t="shared" si="5"/>
        <v>1740000</v>
      </c>
      <c r="L16" s="90">
        <f t="shared" si="6"/>
        <v>8700000</v>
      </c>
      <c r="M16" s="85">
        <f t="shared" si="7"/>
        <v>6960000</v>
      </c>
      <c r="N16" s="85">
        <f t="shared" si="8"/>
        <v>5220000</v>
      </c>
      <c r="O16" s="85">
        <f t="shared" si="9"/>
        <v>3480000</v>
      </c>
      <c r="P16" s="85">
        <f t="shared" si="10"/>
        <v>1740000</v>
      </c>
      <c r="Q16" s="85">
        <f t="shared" si="11"/>
        <v>0</v>
      </c>
      <c r="R16" s="85">
        <v>0</v>
      </c>
      <c r="S16" s="85">
        <v>0</v>
      </c>
      <c r="T16" s="85">
        <v>0</v>
      </c>
      <c r="U16" s="85">
        <v>0</v>
      </c>
      <c r="V16" s="85">
        <v>0</v>
      </c>
      <c r="W16" s="85">
        <f t="shared" si="13"/>
        <v>8700000</v>
      </c>
    </row>
    <row r="17" spans="1:23">
      <c r="A17" s="175" t="s">
        <v>26</v>
      </c>
      <c r="B17" s="177">
        <v>1</v>
      </c>
      <c r="C17" s="90">
        <v>749000</v>
      </c>
      <c r="D17" s="90">
        <f t="shared" si="14"/>
        <v>749000</v>
      </c>
      <c r="E17" s="89">
        <v>0.2</v>
      </c>
      <c r="F17" s="88" t="s">
        <v>162</v>
      </c>
      <c r="G17" s="90">
        <f t="shared" si="1"/>
        <v>149800</v>
      </c>
      <c r="H17" s="90">
        <f t="shared" si="2"/>
        <v>149800</v>
      </c>
      <c r="I17" s="90">
        <f t="shared" si="3"/>
        <v>149800</v>
      </c>
      <c r="J17" s="90">
        <f t="shared" si="4"/>
        <v>149800</v>
      </c>
      <c r="K17" s="90">
        <f t="shared" si="5"/>
        <v>149800</v>
      </c>
      <c r="L17" s="90">
        <f t="shared" si="6"/>
        <v>749000</v>
      </c>
      <c r="M17" s="85">
        <f t="shared" si="7"/>
        <v>599200</v>
      </c>
      <c r="N17" s="85">
        <f t="shared" si="8"/>
        <v>449400</v>
      </c>
      <c r="O17" s="85">
        <f t="shared" si="9"/>
        <v>299600</v>
      </c>
      <c r="P17" s="85">
        <f t="shared" si="10"/>
        <v>149800</v>
      </c>
      <c r="Q17" s="85">
        <f t="shared" si="11"/>
        <v>0</v>
      </c>
      <c r="R17" s="85">
        <v>0</v>
      </c>
      <c r="S17" s="85">
        <v>0</v>
      </c>
      <c r="T17" s="85">
        <v>0</v>
      </c>
      <c r="U17" s="85">
        <v>0</v>
      </c>
      <c r="V17" s="85">
        <v>0</v>
      </c>
      <c r="W17" s="85">
        <f t="shared" si="13"/>
        <v>749000</v>
      </c>
    </row>
    <row r="18" spans="1:23">
      <c r="A18" s="181" t="s">
        <v>237</v>
      </c>
      <c r="B18" s="177">
        <v>5</v>
      </c>
      <c r="C18" s="90">
        <v>129000</v>
      </c>
      <c r="D18" s="90">
        <f t="shared" si="14"/>
        <v>645000</v>
      </c>
      <c r="E18" s="89">
        <v>0.1</v>
      </c>
      <c r="F18" s="88" t="s">
        <v>164</v>
      </c>
      <c r="G18" s="90">
        <f t="shared" si="1"/>
        <v>64500</v>
      </c>
      <c r="H18" s="90">
        <f t="shared" si="2"/>
        <v>64500</v>
      </c>
      <c r="I18" s="90">
        <f t="shared" si="3"/>
        <v>64500</v>
      </c>
      <c r="J18" s="90">
        <f t="shared" si="4"/>
        <v>64500</v>
      </c>
      <c r="K18" s="90">
        <f t="shared" si="5"/>
        <v>64500</v>
      </c>
      <c r="L18" s="90">
        <f t="shared" si="6"/>
        <v>322500</v>
      </c>
      <c r="M18" s="85">
        <f t="shared" si="7"/>
        <v>258000</v>
      </c>
      <c r="N18" s="85">
        <f t="shared" si="8"/>
        <v>193500</v>
      </c>
      <c r="O18" s="85">
        <f t="shared" si="9"/>
        <v>129000</v>
      </c>
      <c r="P18" s="85">
        <f t="shared" si="10"/>
        <v>64500</v>
      </c>
      <c r="Q18" s="85">
        <f t="shared" si="11"/>
        <v>0</v>
      </c>
      <c r="R18" s="85">
        <v>0</v>
      </c>
      <c r="S18" s="85">
        <v>0</v>
      </c>
      <c r="T18" s="85">
        <v>0</v>
      </c>
      <c r="U18" s="85">
        <v>0</v>
      </c>
      <c r="V18" s="85">
        <v>0</v>
      </c>
      <c r="W18" s="85">
        <f t="shared" si="13"/>
        <v>322500</v>
      </c>
    </row>
    <row r="19" spans="1:23">
      <c r="A19" s="175" t="s">
        <v>27</v>
      </c>
      <c r="B19" s="177">
        <v>5</v>
      </c>
      <c r="C19" s="90">
        <v>210000</v>
      </c>
      <c r="D19" s="90">
        <f t="shared" si="14"/>
        <v>1050000</v>
      </c>
      <c r="E19" s="89">
        <v>0.1</v>
      </c>
      <c r="F19" s="88" t="s">
        <v>164</v>
      </c>
      <c r="G19" s="90">
        <f t="shared" si="1"/>
        <v>105000</v>
      </c>
      <c r="H19" s="90">
        <f t="shared" si="2"/>
        <v>105000</v>
      </c>
      <c r="I19" s="90">
        <f t="shared" si="3"/>
        <v>105000</v>
      </c>
      <c r="J19" s="90">
        <f t="shared" si="4"/>
        <v>105000</v>
      </c>
      <c r="K19" s="90">
        <f t="shared" si="5"/>
        <v>105000</v>
      </c>
      <c r="L19" s="90">
        <f t="shared" si="6"/>
        <v>525000</v>
      </c>
      <c r="M19" s="85">
        <f t="shared" si="7"/>
        <v>420000</v>
      </c>
      <c r="N19" s="85">
        <f t="shared" si="8"/>
        <v>315000</v>
      </c>
      <c r="O19" s="85">
        <f t="shared" si="9"/>
        <v>210000</v>
      </c>
      <c r="P19" s="85">
        <f t="shared" si="10"/>
        <v>105000</v>
      </c>
      <c r="Q19" s="85">
        <f t="shared" si="11"/>
        <v>0</v>
      </c>
      <c r="R19" s="85">
        <v>0</v>
      </c>
      <c r="S19" s="85">
        <v>0</v>
      </c>
      <c r="T19" s="85">
        <v>0</v>
      </c>
      <c r="U19" s="85">
        <v>0</v>
      </c>
      <c r="V19" s="85">
        <v>0</v>
      </c>
      <c r="W19" s="85">
        <f t="shared" si="13"/>
        <v>525000</v>
      </c>
    </row>
    <row r="20" spans="1:23">
      <c r="A20" s="181" t="s">
        <v>238</v>
      </c>
      <c r="B20" s="177">
        <v>3</v>
      </c>
      <c r="C20" s="90">
        <v>51900</v>
      </c>
      <c r="D20" s="90">
        <f t="shared" si="14"/>
        <v>155700</v>
      </c>
      <c r="E20" s="89">
        <v>0.2</v>
      </c>
      <c r="F20" s="88" t="s">
        <v>162</v>
      </c>
      <c r="G20" s="90">
        <f t="shared" si="1"/>
        <v>31140</v>
      </c>
      <c r="H20" s="90">
        <f t="shared" si="2"/>
        <v>31140</v>
      </c>
      <c r="I20" s="90">
        <f t="shared" si="3"/>
        <v>31140</v>
      </c>
      <c r="J20" s="90">
        <f t="shared" si="4"/>
        <v>31140</v>
      </c>
      <c r="K20" s="90">
        <f t="shared" si="5"/>
        <v>31140</v>
      </c>
      <c r="L20" s="90">
        <f t="shared" si="6"/>
        <v>155700</v>
      </c>
      <c r="M20" s="85">
        <f t="shared" si="7"/>
        <v>124560</v>
      </c>
      <c r="N20" s="85">
        <f t="shared" si="8"/>
        <v>93420</v>
      </c>
      <c r="O20" s="85">
        <f t="shared" si="9"/>
        <v>62280</v>
      </c>
      <c r="P20" s="85">
        <f t="shared" si="10"/>
        <v>31140</v>
      </c>
      <c r="Q20" s="85">
        <f t="shared" si="11"/>
        <v>0</v>
      </c>
      <c r="R20" s="85">
        <v>0</v>
      </c>
      <c r="S20" s="85">
        <v>0</v>
      </c>
      <c r="T20" s="85">
        <v>0</v>
      </c>
      <c r="U20" s="85">
        <v>0</v>
      </c>
      <c r="V20" s="85">
        <v>0</v>
      </c>
      <c r="W20" s="85">
        <f t="shared" si="13"/>
        <v>155700</v>
      </c>
    </row>
    <row r="21" spans="1:23">
      <c r="A21" s="352" t="s">
        <v>319</v>
      </c>
      <c r="B21" s="353"/>
      <c r="C21" s="353"/>
      <c r="D21" s="353"/>
      <c r="E21" s="89"/>
      <c r="F21" s="88"/>
      <c r="G21" s="224"/>
      <c r="H21" s="90"/>
      <c r="I21" s="90"/>
      <c r="J21" s="90"/>
      <c r="K21" s="90"/>
      <c r="L21" s="90"/>
      <c r="M21" s="85"/>
      <c r="N21" s="85"/>
      <c r="O21" s="85"/>
      <c r="P21" s="85"/>
      <c r="Q21" s="85"/>
      <c r="R21" s="85"/>
      <c r="S21" s="85"/>
      <c r="T21" s="85"/>
      <c r="U21" s="85"/>
      <c r="V21" s="85"/>
      <c r="W21" s="85"/>
    </row>
    <row r="22" spans="1:23">
      <c r="A22" s="181" t="s">
        <v>239</v>
      </c>
      <c r="B22" s="177">
        <v>1</v>
      </c>
      <c r="C22" s="90">
        <v>135000000</v>
      </c>
      <c r="D22" s="90">
        <f t="shared" si="14"/>
        <v>135000000</v>
      </c>
      <c r="E22" s="89">
        <v>0.05</v>
      </c>
      <c r="F22" s="88" t="s">
        <v>165</v>
      </c>
      <c r="G22" s="90">
        <f t="shared" si="1"/>
        <v>6750000</v>
      </c>
      <c r="H22" s="90">
        <f t="shared" si="2"/>
        <v>6750000</v>
      </c>
      <c r="I22" s="90">
        <f t="shared" si="3"/>
        <v>6750000</v>
      </c>
      <c r="J22" s="90">
        <f t="shared" si="4"/>
        <v>6750000</v>
      </c>
      <c r="K22" s="90">
        <f t="shared" si="5"/>
        <v>6750000</v>
      </c>
      <c r="L22" s="90">
        <f t="shared" si="6"/>
        <v>33750000</v>
      </c>
      <c r="M22" s="85">
        <f t="shared" si="7"/>
        <v>27000000</v>
      </c>
      <c r="N22" s="85">
        <f t="shared" si="8"/>
        <v>20250000</v>
      </c>
      <c r="O22" s="85">
        <f t="shared" si="9"/>
        <v>13500000</v>
      </c>
      <c r="P22" s="85">
        <f t="shared" si="10"/>
        <v>6750000</v>
      </c>
      <c r="Q22" s="85">
        <f t="shared" si="11"/>
        <v>0</v>
      </c>
      <c r="R22" s="85">
        <v>0</v>
      </c>
      <c r="S22" s="85">
        <v>0</v>
      </c>
      <c r="T22" s="85">
        <v>0</v>
      </c>
      <c r="U22" s="85">
        <v>0</v>
      </c>
      <c r="V22" s="85">
        <v>0</v>
      </c>
      <c r="W22" s="85">
        <f t="shared" si="13"/>
        <v>33750000</v>
      </c>
    </row>
    <row r="23" spans="1:23">
      <c r="A23" s="352" t="s">
        <v>29</v>
      </c>
      <c r="B23" s="353"/>
      <c r="C23" s="353"/>
      <c r="D23" s="353"/>
      <c r="E23" s="89"/>
      <c r="F23" s="88"/>
      <c r="G23" s="90"/>
      <c r="H23" s="90"/>
      <c r="I23" s="90"/>
      <c r="J23" s="90"/>
      <c r="K23" s="90"/>
      <c r="L23" s="90"/>
      <c r="M23" s="85"/>
      <c r="N23" s="85"/>
      <c r="O23" s="85"/>
      <c r="P23" s="85"/>
      <c r="Q23" s="85"/>
      <c r="R23" s="85"/>
      <c r="S23" s="85"/>
      <c r="T23" s="85"/>
      <c r="U23" s="85"/>
      <c r="V23" s="85"/>
      <c r="W23" s="85"/>
    </row>
    <row r="24" spans="1:23">
      <c r="A24" s="181" t="s">
        <v>240</v>
      </c>
      <c r="B24" s="177">
        <v>1</v>
      </c>
      <c r="C24" s="90">
        <v>1080000</v>
      </c>
      <c r="D24" s="90">
        <f>C24*B24</f>
        <v>1080000</v>
      </c>
      <c r="E24" s="89">
        <v>0.2</v>
      </c>
      <c r="F24" s="88" t="s">
        <v>162</v>
      </c>
      <c r="G24" s="90">
        <f t="shared" si="1"/>
        <v>216000</v>
      </c>
      <c r="H24" s="90">
        <f t="shared" si="2"/>
        <v>216000</v>
      </c>
      <c r="I24" s="90">
        <f t="shared" si="3"/>
        <v>216000</v>
      </c>
      <c r="J24" s="90">
        <f t="shared" si="4"/>
        <v>216000</v>
      </c>
      <c r="K24" s="90">
        <f t="shared" si="5"/>
        <v>216000</v>
      </c>
      <c r="L24" s="90">
        <f t="shared" si="6"/>
        <v>1080000</v>
      </c>
      <c r="M24" s="85">
        <f t="shared" si="7"/>
        <v>864000</v>
      </c>
      <c r="N24" s="85">
        <f t="shared" si="8"/>
        <v>648000</v>
      </c>
      <c r="O24" s="85">
        <f t="shared" si="9"/>
        <v>432000</v>
      </c>
      <c r="P24" s="85">
        <f t="shared" si="10"/>
        <v>216000</v>
      </c>
      <c r="Q24" s="85">
        <f t="shared" si="11"/>
        <v>0</v>
      </c>
      <c r="R24" s="85">
        <v>0</v>
      </c>
      <c r="S24" s="85">
        <v>0</v>
      </c>
      <c r="T24" s="85">
        <v>0</v>
      </c>
      <c r="U24" s="85">
        <v>0</v>
      </c>
      <c r="V24" s="85">
        <v>0</v>
      </c>
      <c r="W24" s="85">
        <f t="shared" si="13"/>
        <v>1080000</v>
      </c>
    </row>
    <row r="25" spans="1:23" ht="15.75">
      <c r="A25" s="91" t="s">
        <v>172</v>
      </c>
      <c r="G25" s="92">
        <f t="shared" ref="G25:L25" si="15">+SUM(G3:G24)</f>
        <v>10324999.9</v>
      </c>
      <c r="H25" s="92">
        <f t="shared" si="15"/>
        <v>10324999.9</v>
      </c>
      <c r="I25" s="92">
        <f t="shared" si="15"/>
        <v>10324999.9</v>
      </c>
      <c r="J25" s="92">
        <f t="shared" si="15"/>
        <v>10324999.9</v>
      </c>
      <c r="K25" s="92">
        <f t="shared" si="15"/>
        <v>10324999.9</v>
      </c>
      <c r="L25" s="92">
        <f t="shared" si="15"/>
        <v>51624999.5</v>
      </c>
      <c r="W25" s="92">
        <f>+SUM(W3:W24)</f>
        <v>51624999.5</v>
      </c>
    </row>
  </sheetData>
  <autoFilter ref="A1:W25"/>
  <mergeCells count="4">
    <mergeCell ref="A2:D2"/>
    <mergeCell ref="A15:D15"/>
    <mergeCell ref="A23:D23"/>
    <mergeCell ref="A21:D2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INVERSION INICIAL</vt:lpstr>
      <vt:lpstr>AMORTIZACION</vt:lpstr>
      <vt:lpstr>NOMINA</vt:lpstr>
      <vt:lpstr>GASTOS ADMINISTRATIVOS</vt:lpstr>
      <vt:lpstr>COSTO DE PRODUCCION</vt:lpstr>
      <vt:lpstr>FLUJO DE CAJA</vt:lpstr>
      <vt:lpstr>BALANCE GENERAL 5 AÑOS</vt:lpstr>
      <vt:lpstr>ESTADO DE RESULTADOS 5 AÑOS</vt:lpstr>
      <vt:lpstr>DEPRECIACION</vt:lpstr>
      <vt:lpstr>AÑO 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dc:creator>
  <cp:lastModifiedBy>G470 i5</cp:lastModifiedBy>
  <dcterms:created xsi:type="dcterms:W3CDTF">2021-05-26T23:30:56Z</dcterms:created>
  <dcterms:modified xsi:type="dcterms:W3CDTF">2021-06-28T13:27:53Z</dcterms:modified>
</cp:coreProperties>
</file>