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ostor Proyectos Desarrollados\"/>
    </mc:Choice>
  </mc:AlternateContent>
  <xr:revisionPtr revIDLastSave="0" documentId="13_ncr:1_{17BB0BB6-4575-47C8-A01B-B3D34C4D9DA7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Resumen" sheetId="1" r:id="rId1"/>
    <sheet name="Materiales" sheetId="2" r:id="rId2"/>
  </sheets>
  <definedNames>
    <definedName name="_xlnm._FilterDatabase" localSheetId="1" hidden="1">Materiales!$AE$1:$AE$181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9" i="2" l="1"/>
  <c r="AC38" i="2"/>
  <c r="AD38" i="2" s="1"/>
  <c r="AE38" i="2" s="1"/>
  <c r="AC37" i="2"/>
  <c r="AD37" i="2" s="1"/>
  <c r="AE37" i="2" s="1"/>
  <c r="AC36" i="2"/>
  <c r="AD36" i="2" s="1"/>
  <c r="AE36" i="2" s="1"/>
  <c r="AC35" i="2"/>
  <c r="AD35" i="2" s="1"/>
  <c r="AE35" i="2" s="1"/>
  <c r="AD39" i="2" l="1"/>
  <c r="AE39" i="2" s="1"/>
  <c r="AB120" i="2" l="1"/>
  <c r="AC120" i="2" s="1"/>
  <c r="AC121" i="2"/>
  <c r="AB156" i="2" l="1"/>
  <c r="G48" i="1"/>
  <c r="H48" i="1" s="1"/>
  <c r="AC155" i="2"/>
  <c r="AD155" i="2" s="1"/>
  <c r="AC154" i="2"/>
  <c r="AD154" i="2" s="1"/>
  <c r="AE154" i="2" s="1"/>
  <c r="AC153" i="2"/>
  <c r="AD153" i="2" s="1"/>
  <c r="AE155" i="2" l="1"/>
  <c r="AE153" i="2"/>
  <c r="AC143" i="2"/>
  <c r="AD143" i="2" s="1"/>
  <c r="AE143" i="2" s="1"/>
  <c r="AC144" i="2"/>
  <c r="AD144" i="2" s="1"/>
  <c r="AC145" i="2"/>
  <c r="AD145" i="2" s="1"/>
  <c r="AC146" i="2"/>
  <c r="AD146" i="2" s="1"/>
  <c r="AE146" i="2" s="1"/>
  <c r="AC147" i="2"/>
  <c r="AD147" i="2" s="1"/>
  <c r="AE147" i="2" s="1"/>
  <c r="AC148" i="2"/>
  <c r="AD148" i="2" s="1"/>
  <c r="AC149" i="2"/>
  <c r="AD149" i="2" s="1"/>
  <c r="AC150" i="2"/>
  <c r="AD150" i="2" s="1"/>
  <c r="AC151" i="2"/>
  <c r="AD151" i="2" s="1"/>
  <c r="AE151" i="2" s="1"/>
  <c r="AC152" i="2"/>
  <c r="AD152" i="2" s="1"/>
  <c r="AC142" i="2"/>
  <c r="AD142" i="2" s="1"/>
  <c r="AE142" i="2" s="1"/>
  <c r="AC106" i="2"/>
  <c r="AD106" i="2" s="1"/>
  <c r="AC107" i="2"/>
  <c r="AD107" i="2" s="1"/>
  <c r="AC108" i="2"/>
  <c r="AD108" i="2" s="1"/>
  <c r="AC109" i="2"/>
  <c r="AD109" i="2" s="1"/>
  <c r="AC110" i="2"/>
  <c r="AD110" i="2" s="1"/>
  <c r="AC111" i="2"/>
  <c r="AD111" i="2" s="1"/>
  <c r="AE111" i="2" s="1"/>
  <c r="AC112" i="2"/>
  <c r="AD112" i="2" s="1"/>
  <c r="AC113" i="2"/>
  <c r="AD113" i="2" s="1"/>
  <c r="AC114" i="2"/>
  <c r="AD114" i="2" s="1"/>
  <c r="AC115" i="2"/>
  <c r="AD115" i="2" s="1"/>
  <c r="AE115" i="2" s="1"/>
  <c r="AC116" i="2"/>
  <c r="AD116" i="2" s="1"/>
  <c r="AC117" i="2"/>
  <c r="AD117" i="2" s="1"/>
  <c r="AC118" i="2"/>
  <c r="AD118" i="2" s="1"/>
  <c r="AC119" i="2"/>
  <c r="AD119" i="2" s="1"/>
  <c r="AD120" i="2"/>
  <c r="AC122" i="2"/>
  <c r="AD122" i="2" s="1"/>
  <c r="AE122" i="2" s="1"/>
  <c r="AC123" i="2"/>
  <c r="AD123" i="2" s="1"/>
  <c r="AC124" i="2"/>
  <c r="AD124" i="2" s="1"/>
  <c r="AC125" i="2"/>
  <c r="AD125" i="2" s="1"/>
  <c r="AC126" i="2"/>
  <c r="AD126" i="2" s="1"/>
  <c r="AE126" i="2" s="1"/>
  <c r="AC127" i="2"/>
  <c r="AC128" i="2"/>
  <c r="AD128" i="2" s="1"/>
  <c r="AC129" i="2"/>
  <c r="AD129" i="2" s="1"/>
  <c r="AC130" i="2"/>
  <c r="AD130" i="2" s="1"/>
  <c r="AC131" i="2"/>
  <c r="AD131" i="2" s="1"/>
  <c r="AE131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AC137" i="2"/>
  <c r="AC138" i="2"/>
  <c r="AD138" i="2" s="1"/>
  <c r="AC139" i="2"/>
  <c r="AD139" i="2" s="1"/>
  <c r="AC140" i="2"/>
  <c r="AD140" i="2" s="1"/>
  <c r="AC141" i="2"/>
  <c r="AD141" i="2" l="1"/>
  <c r="AE112" i="2"/>
  <c r="AE107" i="2"/>
  <c r="AE138" i="2"/>
  <c r="AD127" i="2"/>
  <c r="AE127" i="2" s="1"/>
  <c r="AE150" i="2"/>
  <c r="AE149" i="2"/>
  <c r="AE145" i="2"/>
  <c r="AE152" i="2"/>
  <c r="AE148" i="2"/>
  <c r="AE144" i="2"/>
  <c r="AE139" i="2"/>
  <c r="AE134" i="2"/>
  <c r="AE133" i="2"/>
  <c r="AE123" i="2"/>
  <c r="AE118" i="2"/>
  <c r="AE117" i="2"/>
  <c r="AE108" i="2"/>
  <c r="AE135" i="2"/>
  <c r="AE130" i="2"/>
  <c r="AE129" i="2"/>
  <c r="AE119" i="2"/>
  <c r="AE114" i="2"/>
  <c r="AE141" i="2"/>
  <c r="AD137" i="2"/>
  <c r="AE137" i="2" s="1"/>
  <c r="AE125" i="2"/>
  <c r="AD121" i="2"/>
  <c r="AE121" i="2" s="1"/>
  <c r="AE110" i="2"/>
  <c r="AE106" i="2"/>
  <c r="AE140" i="2"/>
  <c r="AE136" i="2"/>
  <c r="AE132" i="2"/>
  <c r="AE128" i="2"/>
  <c r="AE124" i="2"/>
  <c r="AE120" i="2"/>
  <c r="AE116" i="2"/>
  <c r="AE113" i="2"/>
  <c r="AE109" i="2"/>
  <c r="D42" i="1"/>
  <c r="AC60" i="2" l="1"/>
  <c r="AD60" i="2" s="1"/>
  <c r="AE60" i="2" s="1"/>
  <c r="AC61" i="2"/>
  <c r="AD61" i="2" s="1"/>
  <c r="AE61" i="2" s="1"/>
  <c r="AC62" i="2"/>
  <c r="AC63" i="2"/>
  <c r="AD63" i="2" s="1"/>
  <c r="AC64" i="2"/>
  <c r="AD64" i="2" s="1"/>
  <c r="AE64" i="2" s="1"/>
  <c r="AC65" i="2"/>
  <c r="AD65" i="2" s="1"/>
  <c r="AE65" i="2" s="1"/>
  <c r="AC66" i="2"/>
  <c r="AD66" i="2" s="1"/>
  <c r="AC67" i="2"/>
  <c r="AD67" i="2" s="1"/>
  <c r="AC68" i="2"/>
  <c r="AD68" i="2" s="1"/>
  <c r="AC69" i="2"/>
  <c r="AD69" i="2" s="1"/>
  <c r="AE69" i="2" s="1"/>
  <c r="AC70" i="2"/>
  <c r="AC71" i="2"/>
  <c r="AD71" i="2" s="1"/>
  <c r="AC72" i="2"/>
  <c r="AD72" i="2" s="1"/>
  <c r="AE72" i="2" s="1"/>
  <c r="AC73" i="2"/>
  <c r="AD73" i="2" s="1"/>
  <c r="AE73" i="2" s="1"/>
  <c r="AC74" i="2"/>
  <c r="AD74" i="2" s="1"/>
  <c r="AC75" i="2"/>
  <c r="AD75" i="2" s="1"/>
  <c r="AC76" i="2"/>
  <c r="AD76" i="2" s="1"/>
  <c r="AE76" i="2" s="1"/>
  <c r="AC77" i="2"/>
  <c r="AD77" i="2" s="1"/>
  <c r="AE77" i="2" s="1"/>
  <c r="AC78" i="2"/>
  <c r="AC79" i="2"/>
  <c r="AD79" i="2" s="1"/>
  <c r="AC80" i="2"/>
  <c r="AD80" i="2" s="1"/>
  <c r="AE80" i="2" s="1"/>
  <c r="AC81" i="2"/>
  <c r="AD81" i="2" s="1"/>
  <c r="AE81" i="2" s="1"/>
  <c r="AC82" i="2"/>
  <c r="AD82" i="2" s="1"/>
  <c r="AC83" i="2"/>
  <c r="AD83" i="2" s="1"/>
  <c r="AC84" i="2"/>
  <c r="AD84" i="2" s="1"/>
  <c r="AC85" i="2"/>
  <c r="AD85" i="2" s="1"/>
  <c r="AE85" i="2" s="1"/>
  <c r="AC86" i="2"/>
  <c r="AD86" i="2" s="1"/>
  <c r="AE86" i="2" s="1"/>
  <c r="AC87" i="2"/>
  <c r="AD87" i="2" s="1"/>
  <c r="AC88" i="2"/>
  <c r="AD88" i="2" s="1"/>
  <c r="AC89" i="2"/>
  <c r="AD89" i="2" s="1"/>
  <c r="AE89" i="2" s="1"/>
  <c r="AC90" i="2"/>
  <c r="AD90" i="2" s="1"/>
  <c r="AE90" i="2" s="1"/>
  <c r="AC91" i="2"/>
  <c r="AD91" i="2" s="1"/>
  <c r="AE91" i="2" s="1"/>
  <c r="AC92" i="2"/>
  <c r="AD92" i="2" s="1"/>
  <c r="AE92" i="2" s="1"/>
  <c r="AC93" i="2"/>
  <c r="AD93" i="2" s="1"/>
  <c r="AE93" i="2" s="1"/>
  <c r="AC94" i="2"/>
  <c r="AD94" i="2" s="1"/>
  <c r="AC95" i="2"/>
  <c r="AD95" i="2" s="1"/>
  <c r="AC96" i="2"/>
  <c r="AD96" i="2" s="1"/>
  <c r="AE96" i="2" s="1"/>
  <c r="AC97" i="2"/>
  <c r="AD97" i="2" s="1"/>
  <c r="AE97" i="2" s="1"/>
  <c r="AC98" i="2"/>
  <c r="AD98" i="2" s="1"/>
  <c r="AC99" i="2"/>
  <c r="AD99" i="2" s="1"/>
  <c r="AC100" i="2"/>
  <c r="AD100" i="2" s="1"/>
  <c r="AE100" i="2" s="1"/>
  <c r="AC101" i="2"/>
  <c r="AD101" i="2" s="1"/>
  <c r="AE101" i="2" s="1"/>
  <c r="AC102" i="2"/>
  <c r="AD102" i="2" s="1"/>
  <c r="AC103" i="2"/>
  <c r="AD103" i="2" s="1"/>
  <c r="AC104" i="2"/>
  <c r="AD104" i="2" s="1"/>
  <c r="AE104" i="2" s="1"/>
  <c r="AC105" i="2"/>
  <c r="AD105" i="2" s="1"/>
  <c r="AE105" i="2" s="1"/>
  <c r="AC59" i="2"/>
  <c r="AD59" i="2" l="1"/>
  <c r="AE103" i="2"/>
  <c r="AE88" i="2"/>
  <c r="AE82" i="2"/>
  <c r="AE74" i="2"/>
  <c r="AE66" i="2"/>
  <c r="AE95" i="2"/>
  <c r="AE99" i="2"/>
  <c r="AE84" i="2"/>
  <c r="AD78" i="2"/>
  <c r="AE78" i="2" s="1"/>
  <c r="AD70" i="2"/>
  <c r="AE70" i="2" s="1"/>
  <c r="AE68" i="2"/>
  <c r="AD62" i="2"/>
  <c r="AE62" i="2" s="1"/>
  <c r="AE102" i="2"/>
  <c r="AE98" i="2"/>
  <c r="AE94" i="2"/>
  <c r="AE87" i="2"/>
  <c r="AE83" i="2"/>
  <c r="AE79" i="2"/>
  <c r="AE75" i="2"/>
  <c r="AE71" i="2"/>
  <c r="AE67" i="2"/>
  <c r="AE63" i="2"/>
  <c r="AC58" i="2"/>
  <c r="AD58" i="2" s="1"/>
  <c r="AC57" i="2"/>
  <c r="AC56" i="2"/>
  <c r="AD56" i="2" s="1"/>
  <c r="AE56" i="2" s="1"/>
  <c r="AC55" i="2"/>
  <c r="AD55" i="2" s="1"/>
  <c r="AE55" i="2" s="1"/>
  <c r="AC54" i="2"/>
  <c r="AD54" i="2" s="1"/>
  <c r="AC53" i="2"/>
  <c r="AC52" i="2"/>
  <c r="AD52" i="2" s="1"/>
  <c r="AE52" i="2" s="1"/>
  <c r="AC51" i="2"/>
  <c r="AD51" i="2" s="1"/>
  <c r="AE51" i="2" s="1"/>
  <c r="AC50" i="2"/>
  <c r="AC49" i="2"/>
  <c r="AC48" i="2"/>
  <c r="AD48" i="2" s="1"/>
  <c r="AE48" i="2" s="1"/>
  <c r="AC47" i="2"/>
  <c r="AD47" i="2" s="1"/>
  <c r="AE47" i="2" s="1"/>
  <c r="AC46" i="2"/>
  <c r="AD46" i="2" s="1"/>
  <c r="AC45" i="2"/>
  <c r="AC44" i="2"/>
  <c r="AD44" i="2" s="1"/>
  <c r="AE44" i="2" s="1"/>
  <c r="AC43" i="2"/>
  <c r="AD43" i="2" s="1"/>
  <c r="AC42" i="2"/>
  <c r="AC41" i="2"/>
  <c r="AD41" i="2" s="1"/>
  <c r="AE41" i="2" s="1"/>
  <c r="AC40" i="2"/>
  <c r="AD40" i="2" s="1"/>
  <c r="AE40" i="2" s="1"/>
  <c r="AC34" i="2"/>
  <c r="AC33" i="2"/>
  <c r="AC32" i="2"/>
  <c r="AD32" i="2" s="1"/>
  <c r="AE32" i="2" s="1"/>
  <c r="AC31" i="2"/>
  <c r="AD31" i="2" s="1"/>
  <c r="AE31" i="2" s="1"/>
  <c r="AC30" i="2"/>
  <c r="AC29" i="2"/>
  <c r="AC28" i="2"/>
  <c r="AD28" i="2" s="1"/>
  <c r="AE28" i="2" s="1"/>
  <c r="AC27" i="2"/>
  <c r="AD27" i="2" s="1"/>
  <c r="AE27" i="2" s="1"/>
  <c r="AC26" i="2"/>
  <c r="AC25" i="2"/>
  <c r="AC24" i="2"/>
  <c r="AD24" i="2" s="1"/>
  <c r="AE24" i="2" s="1"/>
  <c r="AC23" i="2"/>
  <c r="AD23" i="2" s="1"/>
  <c r="AE23" i="2" s="1"/>
  <c r="AC22" i="2"/>
  <c r="AC21" i="2"/>
  <c r="AC20" i="2"/>
  <c r="AD20" i="2" s="1"/>
  <c r="AE20" i="2" s="1"/>
  <c r="AC19" i="2"/>
  <c r="AD19" i="2" s="1"/>
  <c r="AE19" i="2" s="1"/>
  <c r="AC18" i="2"/>
  <c r="AC17" i="2"/>
  <c r="AC16" i="2"/>
  <c r="AD16" i="2" s="1"/>
  <c r="AE16" i="2" s="1"/>
  <c r="AC15" i="2"/>
  <c r="AD15" i="2" s="1"/>
  <c r="AE15" i="2" s="1"/>
  <c r="AC14" i="2"/>
  <c r="AC13" i="2"/>
  <c r="AC12" i="2"/>
  <c r="AD12" i="2" s="1"/>
  <c r="AE12" i="2" s="1"/>
  <c r="AC11" i="2"/>
  <c r="AD11" i="2" l="1"/>
  <c r="AE11" i="2" s="1"/>
  <c r="AC156" i="2"/>
  <c r="AE59" i="2"/>
  <c r="AD18" i="2"/>
  <c r="AE18" i="2" s="1"/>
  <c r="AD26" i="2"/>
  <c r="AE26" i="2" s="1"/>
  <c r="AD30" i="2"/>
  <c r="AE30" i="2" s="1"/>
  <c r="AD14" i="2"/>
  <c r="AE14" i="2" s="1"/>
  <c r="AD22" i="2"/>
  <c r="AE22" i="2" s="1"/>
  <c r="AD34" i="2"/>
  <c r="AE34" i="2" s="1"/>
  <c r="AD50" i="2"/>
  <c r="AE50" i="2" s="1"/>
  <c r="AD17" i="2"/>
  <c r="AE17" i="2" s="1"/>
  <c r="AD21" i="2"/>
  <c r="AE21" i="2" s="1"/>
  <c r="AD25" i="2"/>
  <c r="AE25" i="2" s="1"/>
  <c r="AD29" i="2"/>
  <c r="AE29" i="2" s="1"/>
  <c r="AD33" i="2"/>
  <c r="AE33" i="2" s="1"/>
  <c r="AD42" i="2"/>
  <c r="AE42" i="2" s="1"/>
  <c r="AE43" i="2"/>
  <c r="AD45" i="2"/>
  <c r="AE45" i="2" s="1"/>
  <c r="AE46" i="2"/>
  <c r="AD49" i="2"/>
  <c r="AE49" i="2" s="1"/>
  <c r="AD53" i="2"/>
  <c r="AE53" i="2" s="1"/>
  <c r="AE54" i="2"/>
  <c r="AD57" i="2"/>
  <c r="AE57" i="2" s="1"/>
  <c r="AE58" i="2"/>
  <c r="AD13" i="2"/>
  <c r="AD156" i="2" l="1"/>
  <c r="AE13" i="2"/>
  <c r="AE156" i="2" s="1"/>
  <c r="K153" i="2" l="1"/>
  <c r="K152" i="2"/>
  <c r="K151" i="2"/>
  <c r="K150" i="2"/>
  <c r="K149" i="2"/>
  <c r="K148" i="2"/>
  <c r="K147" i="2"/>
  <c r="K146" i="2"/>
  <c r="K145" i="2"/>
  <c r="K144" i="2"/>
  <c r="K143" i="2"/>
  <c r="P34" i="2" s="1"/>
  <c r="S34" i="2" s="1"/>
  <c r="K142" i="2"/>
  <c r="P33" i="2" s="1"/>
  <c r="S33" i="2" s="1"/>
  <c r="K141" i="2"/>
  <c r="P32" i="2" s="1"/>
  <c r="S32" i="2" s="1"/>
  <c r="T32" i="2" s="1"/>
  <c r="U32" i="2" s="1"/>
  <c r="E140" i="2"/>
  <c r="K140" i="2" s="1"/>
  <c r="P31" i="2" s="1"/>
  <c r="S31" i="2" s="1"/>
  <c r="K139" i="2"/>
  <c r="P30" i="2" s="1"/>
  <c r="S30" i="2" s="1"/>
  <c r="K138" i="2"/>
  <c r="K137" i="2"/>
  <c r="K136" i="2"/>
  <c r="P29" i="2" s="1"/>
  <c r="S29" i="2" s="1"/>
  <c r="K135" i="2"/>
  <c r="K134" i="2"/>
  <c r="H133" i="2"/>
  <c r="I133" i="2" s="1"/>
  <c r="H132" i="2"/>
  <c r="I132" i="2" s="1"/>
  <c r="H131" i="2"/>
  <c r="I131" i="2" s="1"/>
  <c r="H130" i="2"/>
  <c r="I130" i="2" s="1"/>
  <c r="H129" i="2"/>
  <c r="I129" i="2" s="1"/>
  <c r="H128" i="2"/>
  <c r="I128" i="2" s="1"/>
  <c r="H127" i="2"/>
  <c r="I127" i="2" s="1"/>
  <c r="H126" i="2"/>
  <c r="I126" i="2" s="1"/>
  <c r="H125" i="2"/>
  <c r="I125" i="2" s="1"/>
  <c r="H124" i="2"/>
  <c r="I124" i="2" s="1"/>
  <c r="H123" i="2"/>
  <c r="I123" i="2" s="1"/>
  <c r="H122" i="2"/>
  <c r="I122" i="2" s="1"/>
  <c r="H121" i="2"/>
  <c r="I121" i="2" s="1"/>
  <c r="H120" i="2"/>
  <c r="I120" i="2" s="1"/>
  <c r="H119" i="2"/>
  <c r="I119" i="2" s="1"/>
  <c r="H118" i="2"/>
  <c r="I118" i="2" s="1"/>
  <c r="H117" i="2"/>
  <c r="I117" i="2" s="1"/>
  <c r="P24" i="2" s="1"/>
  <c r="S24" i="2" s="1"/>
  <c r="T24" i="2" s="1"/>
  <c r="U24" i="2" s="1"/>
  <c r="H116" i="2"/>
  <c r="I116" i="2" s="1"/>
  <c r="H115" i="2"/>
  <c r="I115" i="2" s="1"/>
  <c r="H114" i="2"/>
  <c r="I114" i="2" s="1"/>
  <c r="H113" i="2"/>
  <c r="I113" i="2" s="1"/>
  <c r="H112" i="2"/>
  <c r="I112" i="2" s="1"/>
  <c r="H111" i="2"/>
  <c r="I111" i="2" s="1"/>
  <c r="H110" i="2"/>
  <c r="I110" i="2" s="1"/>
  <c r="H109" i="2"/>
  <c r="I109" i="2" s="1"/>
  <c r="H108" i="2"/>
  <c r="I108" i="2" s="1"/>
  <c r="H107" i="2"/>
  <c r="I107" i="2" s="1"/>
  <c r="H106" i="2"/>
  <c r="I106" i="2" s="1"/>
  <c r="H105" i="2"/>
  <c r="I105" i="2" s="1"/>
  <c r="H104" i="2"/>
  <c r="I104" i="2" s="1"/>
  <c r="H103" i="2"/>
  <c r="I103" i="2" s="1"/>
  <c r="H102" i="2"/>
  <c r="I102" i="2" s="1"/>
  <c r="H101" i="2"/>
  <c r="I101" i="2" s="1"/>
  <c r="H100" i="2"/>
  <c r="I100" i="2" s="1"/>
  <c r="H99" i="2"/>
  <c r="I99" i="2" s="1"/>
  <c r="H98" i="2"/>
  <c r="I98" i="2" s="1"/>
  <c r="H97" i="2"/>
  <c r="I97" i="2" s="1"/>
  <c r="H96" i="2"/>
  <c r="I96" i="2" s="1"/>
  <c r="H95" i="2"/>
  <c r="I95" i="2" s="1"/>
  <c r="H94" i="2"/>
  <c r="I94" i="2" s="1"/>
  <c r="H93" i="2"/>
  <c r="I93" i="2" s="1"/>
  <c r="H92" i="2"/>
  <c r="I92" i="2" s="1"/>
  <c r="H91" i="2"/>
  <c r="I91" i="2" s="1"/>
  <c r="H90" i="2"/>
  <c r="I90" i="2" s="1"/>
  <c r="H89" i="2"/>
  <c r="I89" i="2" s="1"/>
  <c r="H88" i="2"/>
  <c r="I88" i="2" s="1"/>
  <c r="H87" i="2"/>
  <c r="I87" i="2" s="1"/>
  <c r="H86" i="2"/>
  <c r="I86" i="2" s="1"/>
  <c r="H85" i="2"/>
  <c r="I85" i="2" s="1"/>
  <c r="H84" i="2"/>
  <c r="I84" i="2" s="1"/>
  <c r="H83" i="2"/>
  <c r="I83" i="2" s="1"/>
  <c r="H82" i="2"/>
  <c r="I82" i="2" s="1"/>
  <c r="H81" i="2"/>
  <c r="I81" i="2" s="1"/>
  <c r="H80" i="2"/>
  <c r="I80" i="2" s="1"/>
  <c r="H79" i="2"/>
  <c r="I79" i="2" s="1"/>
  <c r="H78" i="2"/>
  <c r="I78" i="2" s="1"/>
  <c r="H77" i="2"/>
  <c r="I77" i="2" s="1"/>
  <c r="H76" i="2"/>
  <c r="I76" i="2" s="1"/>
  <c r="H75" i="2"/>
  <c r="I75" i="2" s="1"/>
  <c r="H74" i="2"/>
  <c r="I74" i="2" s="1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S37" i="2"/>
  <c r="T37" i="2" s="1"/>
  <c r="U37" i="2" s="1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P11" i="2" l="1"/>
  <c r="S11" i="2" s="1"/>
  <c r="T11" i="2" s="1"/>
  <c r="P14" i="2"/>
  <c r="S14" i="2" s="1"/>
  <c r="T14" i="2" s="1"/>
  <c r="U14" i="2" s="1"/>
  <c r="P12" i="2"/>
  <c r="S12" i="2" s="1"/>
  <c r="P27" i="2"/>
  <c r="S27" i="2" s="1"/>
  <c r="T27" i="2" s="1"/>
  <c r="U27" i="2" s="1"/>
  <c r="P15" i="2"/>
  <c r="S15" i="2" s="1"/>
  <c r="T15" i="2" s="1"/>
  <c r="U15" i="2" s="1"/>
  <c r="P13" i="2"/>
  <c r="S13" i="2" s="1"/>
  <c r="T13" i="2" s="1"/>
  <c r="U13" i="2" s="1"/>
  <c r="P19" i="2"/>
  <c r="S19" i="2" s="1"/>
  <c r="T19" i="2" s="1"/>
  <c r="U19" i="2" s="1"/>
  <c r="P22" i="2"/>
  <c r="S22" i="2" s="1"/>
  <c r="T22" i="2" s="1"/>
  <c r="U22" i="2" s="1"/>
  <c r="P25" i="2"/>
  <c r="S25" i="2" s="1"/>
  <c r="T25" i="2" s="1"/>
  <c r="U25" i="2" s="1"/>
  <c r="P28" i="2"/>
  <c r="S28" i="2" s="1"/>
  <c r="T28" i="2" s="1"/>
  <c r="U28" i="2" s="1"/>
  <c r="P20" i="2"/>
  <c r="S20" i="2" s="1"/>
  <c r="T20" i="2" s="1"/>
  <c r="U20" i="2" s="1"/>
  <c r="P21" i="2"/>
  <c r="S21" i="2" s="1"/>
  <c r="T21" i="2" s="1"/>
  <c r="U21" i="2" s="1"/>
  <c r="P23" i="2"/>
  <c r="S23" i="2" s="1"/>
  <c r="T23" i="2" s="1"/>
  <c r="U23" i="2" s="1"/>
  <c r="P17" i="2"/>
  <c r="S17" i="2" s="1"/>
  <c r="P18" i="2"/>
  <c r="S18" i="2" s="1"/>
  <c r="T18" i="2" s="1"/>
  <c r="U18" i="2" s="1"/>
  <c r="P35" i="2"/>
  <c r="S35" i="2" s="1"/>
  <c r="T35" i="2" s="1"/>
  <c r="U35" i="2" s="1"/>
  <c r="P36" i="2"/>
  <c r="S36" i="2" s="1"/>
  <c r="T36" i="2" s="1"/>
  <c r="P16" i="2"/>
  <c r="S16" i="2" s="1"/>
  <c r="T16" i="2" s="1"/>
  <c r="U16" i="2" s="1"/>
  <c r="P26" i="2"/>
  <c r="S26" i="2" s="1"/>
  <c r="T26" i="2" s="1"/>
  <c r="U26" i="2" s="1"/>
  <c r="T31" i="2"/>
  <c r="U31" i="2" s="1"/>
  <c r="T29" i="2"/>
  <c r="U29" i="2" s="1"/>
  <c r="T30" i="2"/>
  <c r="U30" i="2" s="1"/>
  <c r="T33" i="2"/>
  <c r="U33" i="2" s="1"/>
  <c r="T34" i="2"/>
  <c r="U34" i="2" s="1"/>
  <c r="U36" i="2" l="1"/>
  <c r="T17" i="2"/>
  <c r="U17" i="2" s="1"/>
  <c r="T12" i="2"/>
  <c r="U11" i="2"/>
  <c r="U12" i="2" l="1"/>
  <c r="S38" i="2" l="1"/>
  <c r="T38" i="2" l="1"/>
  <c r="T39" i="2" s="1"/>
  <c r="G47" i="1" s="1"/>
  <c r="G49" i="1" s="1"/>
  <c r="S39" i="2"/>
  <c r="F47" i="1" s="1"/>
  <c r="R39" i="2"/>
  <c r="U38" i="2" l="1"/>
  <c r="U39" i="2" s="1"/>
  <c r="H47" i="1"/>
  <c r="H49" i="1" s="1"/>
  <c r="F49" i="1"/>
</calcChain>
</file>

<file path=xl/sharedStrings.xml><?xml version="1.0" encoding="utf-8"?>
<sst xmlns="http://schemas.openxmlformats.org/spreadsheetml/2006/main" count="835" uniqueCount="366">
  <si>
    <t>Centro Costo</t>
  </si>
  <si>
    <t>Fabricante</t>
  </si>
  <si>
    <t>Responsable Obra</t>
  </si>
  <si>
    <t>Responsable En sitio</t>
  </si>
  <si>
    <t>Mano de Obra</t>
  </si>
  <si>
    <t>IVA</t>
  </si>
  <si>
    <t>Inicio de Operación</t>
  </si>
  <si>
    <t>Inicio de Preoperativo</t>
  </si>
  <si>
    <t>Item</t>
  </si>
  <si>
    <t>Cantidad</t>
  </si>
  <si>
    <t>Vida Util</t>
  </si>
  <si>
    <t>Tiempo de Fabrición</t>
  </si>
  <si>
    <t>Inicio Obra</t>
  </si>
  <si>
    <t>Fin de Obra</t>
  </si>
  <si>
    <t xml:space="preserve">CIPRODYSER S.A </t>
  </si>
  <si>
    <t>NIT 830.125.529-2</t>
  </si>
  <si>
    <t xml:space="preserve">Calle 4 #5-13, Samacá, Boyacá. Teléfono:7372148 </t>
  </si>
  <si>
    <t>Alcance</t>
  </si>
  <si>
    <t>Descripción</t>
  </si>
  <si>
    <t xml:space="preserve">Valor Total </t>
  </si>
  <si>
    <t xml:space="preserve">Valor Neto  </t>
  </si>
  <si>
    <t>Materiales y suministros</t>
  </si>
  <si>
    <t>COSTO TOTAL</t>
  </si>
  <si>
    <t xml:space="preserve">Descripción </t>
  </si>
  <si>
    <t>Destino</t>
  </si>
  <si>
    <t>Valor Unt.</t>
  </si>
  <si>
    <t xml:space="preserve">Valor Iva </t>
  </si>
  <si>
    <t>ITEM</t>
  </si>
  <si>
    <t>DESCRIPCIÓN</t>
  </si>
  <si>
    <t>CANTIDAD</t>
  </si>
  <si>
    <t>DESTINO</t>
  </si>
  <si>
    <t xml:space="preserve">FECHA ENTREGA </t>
  </si>
  <si>
    <t>Area Unitaria(m2)</t>
  </si>
  <si>
    <t>Area Total(m2)</t>
  </si>
  <si>
    <t>Longitud Unitaria(m)</t>
  </si>
  <si>
    <t>Longitud Total(m)</t>
  </si>
  <si>
    <t>IPE 500 x 6m</t>
  </si>
  <si>
    <t>Portico</t>
  </si>
  <si>
    <t>Tolva de llenado</t>
  </si>
  <si>
    <t>IPE 500 x 5m</t>
  </si>
  <si>
    <t>IPE 400 x 6m</t>
  </si>
  <si>
    <t>IPE 400 x 12m</t>
  </si>
  <si>
    <t>IPE 400 x 9m</t>
  </si>
  <si>
    <t>IPE 200 x 6m</t>
  </si>
  <si>
    <t>IPE 400 x 5m</t>
  </si>
  <si>
    <t>IPE 160 x 6m</t>
  </si>
  <si>
    <t>IPE 270 x 13m</t>
  </si>
  <si>
    <t>Canal en U de 6" x 6m</t>
  </si>
  <si>
    <t>IPE 270 x 0.85m</t>
  </si>
  <si>
    <t>Canal en U de 4" x 6m</t>
  </si>
  <si>
    <t>IPE 240 x 5.30m</t>
  </si>
  <si>
    <t>Canal en U de 3" x 6m</t>
  </si>
  <si>
    <t>IPE 240 x 5.90m</t>
  </si>
  <si>
    <t>Lamina 3/8" de 6m x 2.40m</t>
  </si>
  <si>
    <t>IPE 240 x 4.25m</t>
  </si>
  <si>
    <t>Lamina 1/2" de 6m x 2.40m</t>
  </si>
  <si>
    <t>IPE 240 x 1.85m</t>
  </si>
  <si>
    <t>Lámina 3/16" de 6m x 1.80m</t>
  </si>
  <si>
    <t>IPE 240 x 0.85m</t>
  </si>
  <si>
    <t>Lámina 1/8" de 1.20m x 6m</t>
  </si>
  <si>
    <t>IPE 240 x 8m</t>
  </si>
  <si>
    <t>Lámina 1" de 6m x 2.40m</t>
  </si>
  <si>
    <t>IPE 240 x 4m</t>
  </si>
  <si>
    <t>Lamina 3/4" 6m*2.40m</t>
  </si>
  <si>
    <t>IPE 240 x 5.2m</t>
  </si>
  <si>
    <t>Lamina 1/4"  de 6m x 2.40m</t>
  </si>
  <si>
    <t>IPE 240 x 2.4m</t>
  </si>
  <si>
    <t>Platina 3" x 3/8" x 6m</t>
  </si>
  <si>
    <t>IPE 240 x 3.6m</t>
  </si>
  <si>
    <r>
      <t>Platina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6m</t>
    </r>
  </si>
  <si>
    <t>IPE 240 x 2.8m</t>
  </si>
  <si>
    <t>Platina 2" x 1/4" x 6m</t>
  </si>
  <si>
    <t>IPE 240 x 4.3</t>
  </si>
  <si>
    <t>Angulo 3" x 3/8" x 6m</t>
  </si>
  <si>
    <t>IPE 240 x 3.7m</t>
  </si>
  <si>
    <t>Platina 1" x 3/16" x 6m</t>
  </si>
  <si>
    <t>IPE 240 x 4.4m</t>
  </si>
  <si>
    <t>Perfil rectangular 50 x 50 x 6m</t>
  </si>
  <si>
    <t>IPE 240 x 4.15m</t>
  </si>
  <si>
    <t>Perfil rectangular 40 x 40 x 6m</t>
  </si>
  <si>
    <t>IPE 240 x 3.3m</t>
  </si>
  <si>
    <t>Perfil rectangular 40 x 100 x 6m</t>
  </si>
  <si>
    <t>IPE 200 x 5.30m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</si>
  <si>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6cm</t>
    </r>
  </si>
  <si>
    <t>IPE 200 x 4.10m</t>
  </si>
  <si>
    <t>Angulo 2" x 1/4" x 6m</t>
  </si>
  <si>
    <t>IPE 200 x 3.3m</t>
  </si>
  <si>
    <t xml:space="preserve">Teja de zinc x 3m </t>
  </si>
  <si>
    <t>IPE 200 x 9m</t>
  </si>
  <si>
    <t>IPE 160 x 1.60m</t>
  </si>
  <si>
    <t>IPE 160 x 0.9m</t>
  </si>
  <si>
    <t>IPE 160 x 1.15m</t>
  </si>
  <si>
    <t>IPE 160 x 0.7m</t>
  </si>
  <si>
    <t>IPE 160 x 1.30m</t>
  </si>
  <si>
    <t>IPE 160 x 1.10m</t>
  </si>
  <si>
    <t>IPE 160 x 4.30m</t>
  </si>
  <si>
    <t>IPE 160 x 3.70m</t>
  </si>
  <si>
    <t>IPE 160 x 4.40m</t>
  </si>
  <si>
    <t>Canal en U de 6" x 3.50m</t>
  </si>
  <si>
    <t>Canal en U de 6" x 2.80m</t>
  </si>
  <si>
    <t>Canal en U de 6" x 3.10m</t>
  </si>
  <si>
    <t>Canal en U de 6" x 3.25m</t>
  </si>
  <si>
    <t>Canal en U de 6" x 4.30m</t>
  </si>
  <si>
    <t>Canal en U de 6" x 3.70m</t>
  </si>
  <si>
    <t>Canal en U de 6" x 4.40m</t>
  </si>
  <si>
    <t>Canal en U de 4" x 4.30m</t>
  </si>
  <si>
    <t>Soporte trapecio</t>
  </si>
  <si>
    <t>Canal en U de 4" x 3.70m</t>
  </si>
  <si>
    <t>Canal en U de 4" x 4.40m</t>
  </si>
  <si>
    <t>Canal en U de 4" x 2.15m</t>
  </si>
  <si>
    <t>Canal en U de 4" x 2.0m</t>
  </si>
  <si>
    <t>Canal en U de 4" x 1.25m</t>
  </si>
  <si>
    <t>Canal en U de 4" x 0.75m</t>
  </si>
  <si>
    <t>Canal en U de 4" x 1.20m</t>
  </si>
  <si>
    <t>Canal en U de 4" x 1.40m</t>
  </si>
  <si>
    <t>Canal en U de 4" x 1.70m</t>
  </si>
  <si>
    <t>Canal en U de 4" x 1.35m</t>
  </si>
  <si>
    <t>Canal en U de 4" x 4.0m</t>
  </si>
  <si>
    <t>Canal en U de 3" x 5.30m</t>
  </si>
  <si>
    <t>Canal en U de 3" x 5.50m</t>
  </si>
  <si>
    <t>Canal en U de 3" x 1.40m</t>
  </si>
  <si>
    <t>Canal en U de 3" x 4.80m</t>
  </si>
  <si>
    <t>Lamina 3/8" de 57cm x 27cm</t>
  </si>
  <si>
    <t>Bolsillos inferiores</t>
  </si>
  <si>
    <t>Lamina 3/8" de 32cm x 37cm</t>
  </si>
  <si>
    <t>Lamina 3/8" de 28cm x 37cm</t>
  </si>
  <si>
    <t>Lamina 3/8" de 45cm x 37cm</t>
  </si>
  <si>
    <t>Lamina 3/8" de 45cm x 57cm</t>
  </si>
  <si>
    <t>Lamina 3/8" de 87cm x 57cm</t>
  </si>
  <si>
    <t>Lamina 3/8" de 48cm x 58cm</t>
  </si>
  <si>
    <t>Bolsillos medios</t>
  </si>
  <si>
    <t>Lamina 3/8" de 60cm x 58cm</t>
  </si>
  <si>
    <t>Lamina 3/8" de 89cm x 58cm</t>
  </si>
  <si>
    <t>Lamina 3/8" de 32cm x 30cm</t>
  </si>
  <si>
    <t>Lamina 3/8" de 120cm x 60cm</t>
  </si>
  <si>
    <t>Bolsillos superiores</t>
  </si>
  <si>
    <t>Lamina 3/8" de 120cm x 54cm</t>
  </si>
  <si>
    <t>Lamina 3/8" de 120cm x 89cm</t>
  </si>
  <si>
    <t>Lamina 3/8" de 30cm x 30cm</t>
  </si>
  <si>
    <t>Cartelas</t>
  </si>
  <si>
    <t>Lamina 3/8" de 42cm x 35cm</t>
  </si>
  <si>
    <t>Lamina 3/8" de 45cm x 60cm</t>
  </si>
  <si>
    <t>Lamina 3/8" de 80cm x 80cm</t>
  </si>
  <si>
    <t>Lamina 3/8" de 37cm x 50cm</t>
  </si>
  <si>
    <t>Lamina 3/8" de 105cm*22cm</t>
  </si>
  <si>
    <t>Lamina 3/8" de 42cm x 22cm</t>
  </si>
  <si>
    <t>Lmina 3/8" de 100cm x 20cm</t>
  </si>
  <si>
    <t>Viga echiza de refuerzo</t>
  </si>
  <si>
    <t>Lamina 3/8" de 20cm x 20cm</t>
  </si>
  <si>
    <t>Exclusas</t>
  </si>
  <si>
    <t>Lamina 3/8" de 16cm x 10cm</t>
  </si>
  <si>
    <t>Lamina 1/2" de 60cm x 65cm</t>
  </si>
  <si>
    <t>Lamina 1/2" de 92cm x 65cm</t>
  </si>
  <si>
    <t>Lamina 1/2" de 40cm x 40cm</t>
  </si>
  <si>
    <t>Lamina 3/16" de 13.40m x 1m</t>
  </si>
  <si>
    <t>Lamina 3/16" de 22cm x 22cm</t>
  </si>
  <si>
    <t>Lamina 3/16" de 52cm x 62cm</t>
  </si>
  <si>
    <t>Lamina 3/16" de 6m x 1.8m</t>
  </si>
  <si>
    <t>Lamina 1/8" de 75cm x 75cm</t>
  </si>
  <si>
    <t>Lamina 1/8" de 20cm x 10cm</t>
  </si>
  <si>
    <t>Lamina 1/8" de 2m x 16cm</t>
  </si>
  <si>
    <t>Tapas</t>
  </si>
  <si>
    <t>Lamina 1/8" de 40cm x 20cm</t>
  </si>
  <si>
    <t>Lamina 1/8" de 18cm x 10cm</t>
  </si>
  <si>
    <t>Lamina 1/8" de 20cm x 70cm</t>
  </si>
  <si>
    <t>Lamina 1/8" de 20cm x 20cm</t>
  </si>
  <si>
    <t>Lamina 1/8" de 3m x 1,20m</t>
  </si>
  <si>
    <t>Lamina 1/8" de 3m x 38cm</t>
  </si>
  <si>
    <t>Lamina 1/8" de 9m x 38cm</t>
  </si>
  <si>
    <t>Lamina 1/8" de 1.35m x 38cm</t>
  </si>
  <si>
    <t>Lamina 1" de 380cm x 100cm</t>
  </si>
  <si>
    <t>Lamina 3/4" de 350cm x 100cm</t>
  </si>
  <si>
    <t>Lamina 3/4" de 40cm x 13.40m</t>
  </si>
  <si>
    <t>Lamina 3/4" de 40cm x 12.40m</t>
  </si>
  <si>
    <t>Lamina 3/4" de 40cm x 100cm</t>
  </si>
  <si>
    <t>Lamina 3/4" de 13cm x 15cm</t>
  </si>
  <si>
    <t>Lamina 1/4" de 85cm x 100cm</t>
  </si>
  <si>
    <t>Lamina 1/4" de 85cm x 55cm</t>
  </si>
  <si>
    <t>Lamina 1/4" de 109cm x 37cm</t>
  </si>
  <si>
    <t>Lamina 1/4" de 40cm x 35cm</t>
  </si>
  <si>
    <t>Lamina 1/4" de 85cm x 72cm</t>
  </si>
  <si>
    <t>Lamina 1/4" de 45cm x 40cm</t>
  </si>
  <si>
    <t>Lamina 1/4" de 6m x 1.80m</t>
  </si>
  <si>
    <t>Trapecio</t>
  </si>
  <si>
    <t>Lamina 1/4" de 6m x 1.20m</t>
  </si>
  <si>
    <t>Lamina 1/4" de 6m x 1.62m</t>
  </si>
  <si>
    <t>Lamina 1/4" de 6m x 85cm</t>
  </si>
  <si>
    <t>Lamina 1/4" de 109cm x 42cm</t>
  </si>
  <si>
    <r>
      <t>Platina  1</t>
    </r>
    <r>
      <rPr>
        <vertAlign val="superscript"/>
        <sz val="11"/>
        <rFont val="Calibri"/>
        <family val="2"/>
        <scheme val="minor"/>
      </rPr>
      <t xml:space="preserve"> 1/2</t>
    </r>
    <r>
      <rPr>
        <sz val="11"/>
        <rFont val="Calibri"/>
        <family val="2"/>
        <scheme val="minor"/>
      </rPr>
      <t>" x 1/4" x 18cm</t>
    </r>
  </si>
  <si>
    <r>
      <t>Platina  1</t>
    </r>
    <r>
      <rPr>
        <vertAlign val="superscript"/>
        <sz val="11"/>
        <rFont val="Calibri"/>
        <family val="2"/>
        <scheme val="minor"/>
      </rPr>
      <t xml:space="preserve"> 1/2</t>
    </r>
    <r>
      <rPr>
        <sz val="11"/>
        <rFont val="Calibri"/>
        <family val="2"/>
        <scheme val="minor"/>
      </rPr>
      <t>" x 1/4" x 21cm</t>
    </r>
  </si>
  <si>
    <t>Platina 2" x 1/4" x 120cm</t>
  </si>
  <si>
    <t>Platina 3" x 3/8" x 100cm</t>
  </si>
  <si>
    <t>Platina 3" x 3/8" x 80cm</t>
  </si>
  <si>
    <t>Pasarelas</t>
  </si>
  <si>
    <t>Peinasos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</si>
  <si>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6m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</si>
  <si>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80cm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</si>
  <si>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26cm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</si>
  <si>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92cm</t>
    </r>
  </si>
  <si>
    <t>Celosias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</si>
  <si>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75cm</t>
    </r>
  </si>
  <si>
    <t>Angulo 2" x 1/4" x 82cm</t>
  </si>
  <si>
    <t>Angulo 2" x 1/4" x 75cm</t>
  </si>
  <si>
    <t>Angulo 2" x 1/4" x 1.35m</t>
  </si>
  <si>
    <t>Riostras</t>
  </si>
  <si>
    <t>Abril de 2021</t>
  </si>
  <si>
    <t xml:space="preserve">RESUMEN MATERIALES TOLVA DE LLENADO </t>
  </si>
  <si>
    <t>WA KILO DE SOLDADURA WEST ARCO 7018 EN 1/8</t>
  </si>
  <si>
    <t>Tolva de Llenado</t>
  </si>
  <si>
    <t>PREMIER DISCO DE CORTE PREMIER 14" * 1/8</t>
  </si>
  <si>
    <t xml:space="preserve">WA KILO SOLDADURA ESAB TUBULAR </t>
  </si>
  <si>
    <t>VARILLA ROSCADA NEGRA B7 1 X 1</t>
  </si>
  <si>
    <t>GRATA COPA LISA 4"</t>
  </si>
  <si>
    <t xml:space="preserve">GALON DE ANTICORROSIVO </t>
  </si>
  <si>
    <t>PREMIER DISCO DE CORTE 7*1/8</t>
  </si>
  <si>
    <t>PINTULUX 3 EN 1</t>
  </si>
  <si>
    <t>TUERCA HEXAGONAL NEGRA G5 1"</t>
  </si>
  <si>
    <t>TUERCA HEXAGONAL DE SEGURIDAD R.O 1/2</t>
  </si>
  <si>
    <t>TORNILLO HEXAGONAL NEGRO G5 R.O 1/2 X 1 1/2</t>
  </si>
  <si>
    <t xml:space="preserve">BALA OXIGENO </t>
  </si>
  <si>
    <t>TUERCA HEXAGONAL NEGRA G5 R.O 5/8</t>
  </si>
  <si>
    <t>TUERCA HEXAGONAL NEGRA G5 R.O 3/4</t>
  </si>
  <si>
    <t>WA KILO DE SOLDADURA WEST ARCO 7018 EN 5/32</t>
  </si>
  <si>
    <t>PREMIER DISCO DE PULIR PREMIER 7 * 1/4</t>
  </si>
  <si>
    <t>WA KILO DE SOLDADURA WEST ARCO 6013 EN 1/8</t>
  </si>
  <si>
    <t xml:space="preserve">GALON DE PINTULUX </t>
  </si>
  <si>
    <t xml:space="preserve">TIZA INDISTRIAL </t>
  </si>
  <si>
    <t>EJE ACERO 1020 2-1/4" 1.15 M</t>
  </si>
  <si>
    <t>EJE ACERO 1020 2-1/4" 95CM</t>
  </si>
  <si>
    <t>CILINDRO NORMA ISO 125 X 400</t>
  </si>
  <si>
    <t>PIVOTE POSTERIOR HEMBRA - 125</t>
  </si>
  <si>
    <t>HORQUILLA - 125</t>
  </si>
  <si>
    <t>TORNILLO HEXAGONAL NEGRO G5 R.O 1/2 X 2</t>
  </si>
  <si>
    <t>ARANDELA ZINCADA 1/2</t>
  </si>
  <si>
    <t>TORNILLO HEXAGONAL NEGRO G5 R.O 5/8 X 2</t>
  </si>
  <si>
    <t>VARILLA CORRUGADA 1/2*6</t>
  </si>
  <si>
    <t>TERMINALES 2/0 COBRE</t>
  </si>
  <si>
    <t>LIJA #80</t>
  </si>
  <si>
    <t>WA KILO DE SOLDADURA WEST ARCO WA-86 0,9MM 0,035</t>
  </si>
  <si>
    <t>CLAVIJA HEMBRA 110V</t>
  </si>
  <si>
    <t xml:space="preserve">CAJA OCTAGONAL </t>
  </si>
  <si>
    <t>TUERCA HEXAGONAL SEGURIDAD G5 R.O 3/8</t>
  </si>
  <si>
    <t>GRATA COPA LISA 3"</t>
  </si>
  <si>
    <t>CHUMACERA UCT 211-200 FAG</t>
  </si>
  <si>
    <t>SOPORTE CON ROD TIPO PEDESTAL REF. UCP205.014.MKL</t>
  </si>
  <si>
    <t>SOPORTE CON ROD TIPO PEDESTAL REF. UCP205.014.SNR</t>
  </si>
  <si>
    <t>TUERCA HEXAGONAL NEGRA G5 RO  1/2</t>
  </si>
  <si>
    <t>SOPORTE CON ROD TIPO FLANCHE REF. UCF211.200.KML</t>
  </si>
  <si>
    <t xml:space="preserve">RESUMEN CONSUMIBLES TOLVA DE LLENADO </t>
  </si>
  <si>
    <t>TORNILLO HEXAGONAL NEGRO G5 R.O 3/8 X 2</t>
  </si>
  <si>
    <t>GALON PINTURA ESMALTE VERDE</t>
  </si>
  <si>
    <t>TOLVA DE LLENADO-HORNOS SOLERA</t>
  </si>
  <si>
    <t>Nombre de Proyecto:</t>
  </si>
  <si>
    <t>TORNILLO AUTOPERFORANTE CON CAPUCHO 3/16 X 1 1/2</t>
  </si>
  <si>
    <t xml:space="preserve">PIÑON PASO 80 SENCILLO 22 DIENTES </t>
  </si>
  <si>
    <t xml:space="preserve">ANTICORROSIVO PINTULUX </t>
  </si>
  <si>
    <t>PINTULUX 3 EN 1 VERDE ESMERALDA</t>
  </si>
  <si>
    <t xml:space="preserve">GRAPA CHANEL 2  </t>
  </si>
  <si>
    <t xml:space="preserve">ABRAZADERA PLASTICA PARA CABLE 4,8 MM X 400 MM  </t>
  </si>
  <si>
    <t xml:space="preserve">TORNILLO AUTOPERFORANTE CABEZA HEXAGONAL 3/16 X 1/2 </t>
  </si>
  <si>
    <t xml:space="preserve">TERMINAL RECTA DE 3/4  </t>
  </si>
  <si>
    <t xml:space="preserve">GRAPA CHANEL 1/2  </t>
  </si>
  <si>
    <t xml:space="preserve">CABLE ENCAUCHETADO 4*14  </t>
  </si>
  <si>
    <t xml:space="preserve">CABLE ENCAUCHETADO 3 X 18 AWG </t>
  </si>
  <si>
    <t>MULETILLA 3 POSICIONES</t>
  </si>
  <si>
    <t xml:space="preserve">CORAZA AMERICANA 1/2  </t>
  </si>
  <si>
    <t xml:space="preserve">TERMINAL RECTA EMT 1/2"  </t>
  </si>
  <si>
    <t xml:space="preserve">GRAPA CHANEL 3/4  </t>
  </si>
  <si>
    <t xml:space="preserve">TUBO ELECTRICO EMT 3/4 X 3 MTS </t>
  </si>
  <si>
    <t>CURVA EMT 3/4</t>
  </si>
  <si>
    <t>TERMINALES EMT 3/4</t>
  </si>
  <si>
    <t xml:space="preserve">UNION IMC 3/4  </t>
  </si>
  <si>
    <t xml:space="preserve">RIEL CHANEL TROQUELADO CALIBRE 16*2.4 MTS  </t>
  </si>
  <si>
    <t>PINTURA ESMALTE COLOR VERDE PRIMAVERAL MULTITONOS</t>
  </si>
  <si>
    <t>CABLE MULTIFILAR 12*18</t>
  </si>
  <si>
    <t xml:space="preserve">TUERCA HEXAGONAL NEGRA NORMAL R.O 7/16 </t>
  </si>
  <si>
    <t xml:space="preserve">ARANDELA ZINCADA 7/16  </t>
  </si>
  <si>
    <t xml:space="preserve">CORAZA AMERICANA 3/4  </t>
  </si>
  <si>
    <t>CINTA SCOTCH SUPER 33+ 3/4 X 20 MTS CINTA AISLANTE 3M</t>
  </si>
  <si>
    <t xml:space="preserve">MANGUERA 10MM  </t>
  </si>
  <si>
    <t xml:space="preserve">SUPERBONDER   </t>
  </si>
  <si>
    <t xml:space="preserve">ADAPTADOR MACHO ALUMINIO 3/4  </t>
  </si>
  <si>
    <t xml:space="preserve">WA KILO SOLDADURA ESAB TUBULAR PROSTAR </t>
  </si>
  <si>
    <t xml:space="preserve">ABRAZADERA 502 TITANIUM </t>
  </si>
  <si>
    <t xml:space="preserve">REDUCCION GALVANIZADA DE 1-3/4 MACHO-HEMBRA   </t>
  </si>
  <si>
    <t xml:space="preserve">CAJA ELECTRICA  5800 </t>
  </si>
  <si>
    <t xml:space="preserve">PIÑON PASO 80 SENCILLO 26 DIENTES </t>
  </si>
  <si>
    <t>CADENA 80-1R PASO SENCILLA ZSG</t>
  </si>
  <si>
    <t xml:space="preserve">THINER </t>
  </si>
  <si>
    <t>TUBO ELECTRICO PVC PAVCO 1/2</t>
  </si>
  <si>
    <t>TERMINAL PVC 1/2</t>
  </si>
  <si>
    <t>CURVA ELECTRICA PVC PAVCO 1/2</t>
  </si>
  <si>
    <t xml:space="preserve">LISTADO MATERIALES TOLVA DE LLENADO </t>
  </si>
  <si>
    <t>Ing. Diego Neiza</t>
  </si>
  <si>
    <t>Montajes Industriales SAS</t>
  </si>
  <si>
    <t>Molienda</t>
  </si>
  <si>
    <t>El propósito del proyecto es el acopio de carbón molido para el funcionamiento de Hornos Solera y despacho del mismo para Hornos Colmena, con el fin de abastecer y agilizar el proceso de llenado de Hornos de Coquización.</t>
  </si>
  <si>
    <t>ABRAZADERA 501</t>
  </si>
  <si>
    <t xml:space="preserve">ADAPTADOR MACHO PVC 3/4  </t>
  </si>
  <si>
    <t>ARANDELA ZINCADA 3/4</t>
  </si>
  <si>
    <t>ARANDELA ZINCADA 3/8</t>
  </si>
  <si>
    <t>ARANDELA ZINCADA 5/16</t>
  </si>
  <si>
    <t>ARANDELA ZINCADA 5/8</t>
  </si>
  <si>
    <t>BANDA TRANSPORTADORA 24" CON TACO X 1M</t>
  </si>
  <si>
    <t>CABLE AISLADO 4/0</t>
  </si>
  <si>
    <t>CINTA BANDI</t>
  </si>
  <si>
    <t xml:space="preserve">CONDULETA TIPO T 1/2  </t>
  </si>
  <si>
    <t>HEBILLA PARA CINTA BANDI 5/8</t>
  </si>
  <si>
    <t>JUEGO DE CUCHILLO INDUSTRIAL STANLEY X 5UND</t>
  </si>
  <si>
    <t>KIT SOLDADURA EXOTERMICA 115G</t>
  </si>
  <si>
    <t>LAMINA TEFLON INDUSTRIAL 60 X 1.25</t>
  </si>
  <si>
    <t>MANGUERA 3/4 CALIBRE 80 X 1M</t>
  </si>
  <si>
    <t>MOLDE PARA SOLDADURA EXOTERMICA</t>
  </si>
  <si>
    <t>PARA RAYO FRANKLYN</t>
  </si>
  <si>
    <t>PINTURA AMARILLA</t>
  </si>
  <si>
    <t xml:space="preserve">REDUCCION GALVANIZADA DE 2-1 1/2MACHO-HEMBRA   </t>
  </si>
  <si>
    <t>RELE TERMICO 12.5-50 AMP</t>
  </si>
  <si>
    <t xml:space="preserve">TERMINAL RECTA EMT 3"  </t>
  </si>
  <si>
    <t xml:space="preserve">TORNILLO AUTOPERFORANTE CABEZA ESTRELLA 1/8 X 1/2 </t>
  </si>
  <si>
    <t>TORNILLO HEXAGONAL NEGRO G5 R.O 3/8 X 1 1/2</t>
  </si>
  <si>
    <t xml:space="preserve">TORNILLO HEXAGONAL NEGRO G5 R.O 5/16 X 1 </t>
  </si>
  <si>
    <t>TORNILLO HEXAGONAL NEGRO G5 R.O 5/16 X 2</t>
  </si>
  <si>
    <t>TORNILLO HEXAGONAL NEGRO G5 R.O 5/8 X 3 1/2</t>
  </si>
  <si>
    <t xml:space="preserve">TUBO ELECTRICO EMT 3 X 6 MTS </t>
  </si>
  <si>
    <t>TUBO GALVANIZADO 2 X 6 MTS</t>
  </si>
  <si>
    <t xml:space="preserve">TUERCA HEXAGONAL NEGRA NORMAL R.O 5/16 </t>
  </si>
  <si>
    <t>TUERCA HEXAGONAL  SEGURIDAD R.O 5/16</t>
  </si>
  <si>
    <t>UNION IMC 3</t>
  </si>
  <si>
    <t>UNION INTERPLAST 1</t>
  </si>
  <si>
    <t>VARILLA ROSCADA NEGRA B7 3/4 X 1</t>
  </si>
  <si>
    <t>BOQUILLA N° 1</t>
  </si>
  <si>
    <t>CADENA SKY LINE 100-1R PASO 1.1/4</t>
  </si>
  <si>
    <t>CAJA METAL</t>
  </si>
  <si>
    <t>BALA CO2</t>
  </si>
  <si>
    <t>GRATA MANUAL</t>
  </si>
  <si>
    <t>PREMIER DISCO DE PULIR PREMIER 9 * 1/4</t>
  </si>
  <si>
    <t>PUNTA LA CRUZ 37</t>
  </si>
  <si>
    <t>SOLDADURA MIC C KG+X27</t>
  </si>
  <si>
    <t>TOMA TRIFASICO</t>
  </si>
  <si>
    <t>15 años</t>
  </si>
  <si>
    <t>IPE 500 x 12m</t>
  </si>
  <si>
    <t>IPE 270 x 12m</t>
  </si>
  <si>
    <t>IPE 240 x 12m</t>
  </si>
  <si>
    <t xml:space="preserve">COMPRESOR 60 GLS; 200 LBS; MOTOR 3.5 HP </t>
  </si>
  <si>
    <t>UNION RECTA PRESTOLOCK</t>
  </si>
  <si>
    <t>VALVULA MARIPOSA 3"</t>
  </si>
  <si>
    <t>CAJA POLO A TIERRA DE 30 X 30PVC</t>
  </si>
  <si>
    <t xml:space="preserve">UNION EMT 3/4 </t>
  </si>
  <si>
    <t xml:space="preserve">CONDULETA TIPO L CON ROSCA 3/4  </t>
  </si>
  <si>
    <t>UNION PVC 2</t>
  </si>
  <si>
    <t>CODO PVC 2"</t>
  </si>
  <si>
    <t>INTERRUPTOR MIXTO AVE</t>
  </si>
  <si>
    <t>INTERRUPTOR SENCILLO ABITARE</t>
  </si>
  <si>
    <t>REFLECTOR LED 200W</t>
  </si>
  <si>
    <t>CHUMACERA UCT 211-32 ZSG</t>
  </si>
  <si>
    <t>ABRAZADERA DOBLE ALA DE 1"</t>
  </si>
  <si>
    <t>CAJA TOMA TRIFASICA</t>
  </si>
  <si>
    <t>TEE ALUMINIO 2"</t>
  </si>
  <si>
    <t>TORNILLO HEXAGONAL NEGRO G5 R.O 7/16 X 2</t>
  </si>
  <si>
    <t>UNION IMC 3/4</t>
  </si>
  <si>
    <t>UNIDAD F/R TIPO SMC 1</t>
  </si>
  <si>
    <t>ACOPLE RECTO 10MM X 12</t>
  </si>
  <si>
    <t xml:space="preserve">ACOPLE CODO 10MM X 12 </t>
  </si>
  <si>
    <t>SILENCIADORES BRONCE 1/2</t>
  </si>
  <si>
    <t>ELECTROVALVULA 5/2 - 12 - 110</t>
  </si>
  <si>
    <t>Servicio de grua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</si>
</sst>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&quot;$&quot;#,##0.00;[Red]\-&quot;$&quot;#,##0.00"/>
    <numFmt numFmtId="165" formatCode="_-&quot;$&quot;\ * #,##0_-;\-&quot;$&quot;\ * #,##0_-;_-&quot;$&quot;\ * &quot;-&quot;??_-;_-@_-"/>
    <numFmt numFmtId="166" formatCode="0.000"/>
    <numFmt numFmtId="167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0"/>
      <color theme="1"/>
      <name val="Arial"/>
      <family val="2"/>
    </font>
    <font>
      <sz val="14"/>
      <color theme="1"/>
      <name val="Book Antiqua"/>
      <family val="1"/>
    </font>
    <font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4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11" xfId="0" applyBorder="1"/>
    <xf numFmtId="165" fontId="0" fillId="0" borderId="0" xfId="1" applyNumberFormat="1" applyFont="1"/>
    <xf numFmtId="165" fontId="0" fillId="0" borderId="0" xfId="1" applyNumberFormat="1" applyFont="1" applyBorder="1"/>
    <xf numFmtId="0" fontId="6" fillId="2" borderId="0" xfId="0" applyFont="1" applyFill="1" applyBorder="1"/>
    <xf numFmtId="0" fontId="6" fillId="2" borderId="5" xfId="0" applyFont="1" applyFill="1" applyBorder="1"/>
    <xf numFmtId="0" fontId="6" fillId="2" borderId="0" xfId="0" applyFont="1" applyFill="1"/>
    <xf numFmtId="0" fontId="6" fillId="0" borderId="0" xfId="0" applyFont="1"/>
    <xf numFmtId="0" fontId="6" fillId="2" borderId="1" xfId="0" applyFont="1" applyFill="1" applyBorder="1"/>
    <xf numFmtId="0" fontId="6" fillId="2" borderId="2" xfId="0" applyFont="1" applyFill="1" applyBorder="1"/>
    <xf numFmtId="0" fontId="6" fillId="2" borderId="3" xfId="0" applyFont="1" applyFill="1" applyBorder="1"/>
    <xf numFmtId="0" fontId="6" fillId="2" borderId="4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8" xfId="0" applyFont="1" applyFill="1" applyBorder="1"/>
    <xf numFmtId="15" fontId="6" fillId="0" borderId="0" xfId="0" applyNumberFormat="1" applyFont="1"/>
    <xf numFmtId="0" fontId="9" fillId="2" borderId="22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14" fontId="0" fillId="0" borderId="26" xfId="0" applyNumberFormat="1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7" fontId="0" fillId="0" borderId="9" xfId="1" applyNumberFormat="1" applyFont="1" applyBorder="1" applyAlignment="1">
      <alignment horizontal="center" vertical="center"/>
    </xf>
    <xf numFmtId="167" fontId="0" fillId="0" borderId="9" xfId="1" applyNumberFormat="1" applyFont="1" applyBorder="1"/>
    <xf numFmtId="167" fontId="0" fillId="0" borderId="10" xfId="1" applyNumberFormat="1" applyFont="1" applyBorder="1"/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166" fontId="0" fillId="0" borderId="11" xfId="0" applyNumberFormat="1" applyBorder="1" applyAlignment="1">
      <alignment horizontal="center" vertical="center"/>
    </xf>
    <xf numFmtId="167" fontId="0" fillId="0" borderId="11" xfId="1" applyNumberFormat="1" applyFont="1" applyBorder="1" applyAlignment="1">
      <alignment horizontal="center" vertical="center"/>
    </xf>
    <xf numFmtId="167" fontId="0" fillId="0" borderId="11" xfId="1" applyNumberFormat="1" applyFont="1" applyBorder="1"/>
    <xf numFmtId="167" fontId="0" fillId="0" borderId="12" xfId="1" applyNumberFormat="1" applyFont="1" applyBorder="1"/>
    <xf numFmtId="0" fontId="0" fillId="0" borderId="31" xfId="0" applyBorder="1" applyAlignment="1">
      <alignment horizontal="center" vertical="center"/>
    </xf>
    <xf numFmtId="0" fontId="0" fillId="0" borderId="0" xfId="0" applyFill="1"/>
    <xf numFmtId="0" fontId="0" fillId="0" borderId="35" xfId="0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14" fontId="0" fillId="0" borderId="36" xfId="0" applyNumberForma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0" fillId="0" borderId="11" xfId="0" applyFont="1" applyFill="1" applyBorder="1" applyAlignment="1">
      <alignment horizontal="center" vertical="center"/>
    </xf>
    <xf numFmtId="44" fontId="0" fillId="0" borderId="11" xfId="1" applyFont="1" applyFill="1" applyBorder="1" applyAlignment="1">
      <alignment horizontal="center" vertical="center"/>
    </xf>
    <xf numFmtId="164" fontId="0" fillId="0" borderId="11" xfId="0" applyNumberFormat="1" applyBorder="1" applyAlignment="1">
      <alignment horizontal="right"/>
    </xf>
    <xf numFmtId="44" fontId="6" fillId="2" borderId="26" xfId="1" applyFont="1" applyFill="1" applyBorder="1" applyAlignment="1">
      <alignment horizontal="center" vertical="center"/>
    </xf>
    <xf numFmtId="44" fontId="6" fillId="2" borderId="20" xfId="1" applyFont="1" applyFill="1" applyBorder="1" applyAlignment="1">
      <alignment horizontal="center" vertical="center"/>
    </xf>
    <xf numFmtId="44" fontId="6" fillId="2" borderId="27" xfId="1" applyFont="1" applyFill="1" applyBorder="1" applyAlignment="1">
      <alignment horizontal="center" vertical="center"/>
    </xf>
    <xf numFmtId="44" fontId="6" fillId="2" borderId="21" xfId="1" applyFont="1" applyFill="1" applyBorder="1" applyAlignment="1">
      <alignment horizontal="center" vertical="center"/>
    </xf>
    <xf numFmtId="44" fontId="10" fillId="2" borderId="23" xfId="1" applyFont="1" applyFill="1" applyBorder="1" applyAlignment="1">
      <alignment horizontal="center" vertical="center"/>
    </xf>
    <xf numFmtId="44" fontId="10" fillId="2" borderId="24" xfId="1" applyFont="1" applyFill="1" applyBorder="1" applyAlignment="1">
      <alignment horizontal="center" vertical="center"/>
    </xf>
    <xf numFmtId="167" fontId="0" fillId="0" borderId="0" xfId="0" applyNumberFormat="1"/>
    <xf numFmtId="167" fontId="0" fillId="0" borderId="32" xfId="0" applyNumberFormat="1" applyFont="1" applyBorder="1"/>
    <xf numFmtId="0" fontId="0" fillId="0" borderId="11" xfId="0" applyFont="1" applyBorder="1" applyAlignment="1">
      <alignment horizontal="center" vertical="center"/>
    </xf>
    <xf numFmtId="44" fontId="0" fillId="0" borderId="11" xfId="1" applyFont="1" applyBorder="1" applyAlignment="1">
      <alignment horizontal="center" vertical="center"/>
    </xf>
    <xf numFmtId="0" fontId="6" fillId="2" borderId="4" xfId="0" applyFont="1" applyFill="1" applyBorder="1"/>
    <xf numFmtId="0" fontId="6" fillId="2" borderId="0" xfId="0" applyFont="1" applyFill="1" applyBorder="1"/>
    <xf numFmtId="0" fontId="6" fillId="2" borderId="5" xfId="0" applyFont="1" applyFill="1" applyBorder="1"/>
    <xf numFmtId="0" fontId="8" fillId="2" borderId="1" xfId="0" applyFont="1" applyFill="1" applyBorder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Fill="1" applyBorder="1" applyAlignment="1"/>
    <xf numFmtId="0" fontId="0" fillId="0" borderId="11" xfId="0" applyNumberFormat="1" applyFont="1" applyFill="1" applyBorder="1" applyAlignment="1"/>
    <xf numFmtId="0" fontId="11" fillId="0" borderId="11" xfId="0" applyFont="1" applyBorder="1" applyAlignment="1"/>
    <xf numFmtId="0" fontId="14" fillId="0" borderId="11" xfId="0" applyFont="1" applyBorder="1" applyAlignment="1"/>
    <xf numFmtId="0" fontId="0" fillId="0" borderId="11" xfId="0" applyFont="1" applyBorder="1" applyAlignment="1"/>
    <xf numFmtId="0" fontId="0" fillId="0" borderId="11" xfId="0" applyFill="1" applyBorder="1" applyAlignment="1"/>
    <xf numFmtId="0" fontId="0" fillId="0" borderId="11" xfId="0" applyFill="1" applyBorder="1" applyAlignment="1">
      <alignment horizontal="center"/>
    </xf>
    <xf numFmtId="0" fontId="14" fillId="0" borderId="11" xfId="0" applyNumberFormat="1" applyFont="1" applyFill="1" applyBorder="1" applyAlignment="1"/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44" fontId="0" fillId="0" borderId="32" xfId="0" applyNumberFormat="1" applyBorder="1"/>
    <xf numFmtId="0" fontId="0" fillId="0" borderId="13" xfId="0" applyFill="1" applyBorder="1" applyAlignment="1">
      <alignment horizontal="center" vertical="center"/>
    </xf>
    <xf numFmtId="0" fontId="0" fillId="0" borderId="9" xfId="0" applyFont="1" applyFill="1" applyBorder="1" applyAlignment="1"/>
    <xf numFmtId="0" fontId="0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4" fontId="0" fillId="0" borderId="9" xfId="1" applyFont="1" applyFill="1" applyBorder="1" applyAlignment="1">
      <alignment horizontal="center" vertical="center"/>
    </xf>
    <xf numFmtId="44" fontId="0" fillId="0" borderId="10" xfId="1" applyFont="1" applyFill="1" applyBorder="1" applyAlignment="1">
      <alignment horizontal="center" vertical="center"/>
    </xf>
    <xf numFmtId="44" fontId="0" fillId="0" borderId="12" xfId="1" applyFont="1" applyFill="1" applyBorder="1" applyAlignment="1">
      <alignment horizontal="center" vertical="center"/>
    </xf>
    <xf numFmtId="44" fontId="0" fillId="0" borderId="12" xfId="1" applyFont="1" applyBorder="1" applyAlignment="1">
      <alignment horizontal="center" vertical="center"/>
    </xf>
    <xf numFmtId="0" fontId="0" fillId="0" borderId="15" xfId="0" applyBorder="1"/>
    <xf numFmtId="0" fontId="0" fillId="0" borderId="15" xfId="0" applyFill="1" applyBorder="1" applyAlignment="1">
      <alignment horizontal="center"/>
    </xf>
    <xf numFmtId="44" fontId="0" fillId="0" borderId="15" xfId="1" applyFont="1" applyFill="1" applyBorder="1" applyAlignment="1">
      <alignment horizontal="center" vertical="center"/>
    </xf>
    <xf numFmtId="44" fontId="0" fillId="0" borderId="16" xfId="1" applyFont="1" applyFill="1" applyBorder="1" applyAlignment="1">
      <alignment horizontal="center" vertical="center"/>
    </xf>
    <xf numFmtId="44" fontId="0" fillId="0" borderId="11" xfId="1" applyNumberFormat="1" applyFont="1" applyFill="1" applyBorder="1" applyAlignment="1">
      <alignment horizontal="center" vertical="center"/>
    </xf>
    <xf numFmtId="44" fontId="0" fillId="0" borderId="0" xfId="0" applyNumberFormat="1"/>
    <xf numFmtId="0" fontId="18" fillId="0" borderId="0" xfId="0" applyFont="1"/>
    <xf numFmtId="0" fontId="14" fillId="0" borderId="11" xfId="0" applyFont="1" applyBorder="1" applyAlignment="1">
      <alignment vertical="center"/>
    </xf>
    <xf numFmtId="0" fontId="14" fillId="0" borderId="11" xfId="0" applyFont="1" applyFill="1" applyBorder="1" applyAlignment="1"/>
    <xf numFmtId="0" fontId="14" fillId="0" borderId="1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6" fillId="2" borderId="29" xfId="0" applyFont="1" applyFill="1" applyBorder="1"/>
    <xf numFmtId="0" fontId="6" fillId="2" borderId="30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8" fillId="2" borderId="4" xfId="0" applyFont="1" applyFill="1" applyBorder="1" applyAlignment="1"/>
    <xf numFmtId="0" fontId="8" fillId="2" borderId="5" xfId="0" applyFont="1" applyFill="1" applyBorder="1" applyAlignment="1"/>
    <xf numFmtId="0" fontId="6" fillId="2" borderId="4" xfId="0" applyFont="1" applyFill="1" applyBorder="1"/>
    <xf numFmtId="0" fontId="6" fillId="2" borderId="17" xfId="0" applyFont="1" applyFill="1" applyBorder="1"/>
    <xf numFmtId="0" fontId="10" fillId="2" borderId="18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6" fillId="2" borderId="0" xfId="0" applyFont="1" applyFill="1" applyBorder="1"/>
    <xf numFmtId="0" fontId="6" fillId="2" borderId="5" xfId="0" applyFont="1" applyFill="1" applyBorder="1"/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14" fontId="6" fillId="2" borderId="0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11" xfId="0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0" fillId="0" borderId="33" xfId="0" applyFill="1" applyBorder="1" applyAlignment="1">
      <alignment horizontal="left" vertical="center"/>
    </xf>
    <xf numFmtId="0" fontId="0" fillId="0" borderId="34" xfId="0" applyFill="1" applyBorder="1" applyAlignment="1">
      <alignment horizontal="left" vertical="center"/>
    </xf>
    <xf numFmtId="0" fontId="14" fillId="0" borderId="33" xfId="0" applyFont="1" applyFill="1" applyBorder="1" applyAlignment="1">
      <alignment horizontal="left" vertical="center"/>
    </xf>
    <xf numFmtId="0" fontId="14" fillId="0" borderId="34" xfId="0" applyFont="1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left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6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4" fillId="0" borderId="1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left" vertical="center"/>
    </xf>
    <xf numFmtId="166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7" fontId="0" fillId="0" borderId="15" xfId="1" applyNumberFormat="1" applyFont="1" applyBorder="1" applyAlignment="1">
      <alignment horizontal="center" vertical="center"/>
    </xf>
    <xf numFmtId="167" fontId="0" fillId="0" borderId="15" xfId="1" applyNumberFormat="1" applyFont="1" applyBorder="1"/>
    <xf numFmtId="167" fontId="0" fillId="0" borderId="16" xfId="1" applyNumberFormat="1" applyFont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2</xdr:row>
      <xdr:rowOff>47624</xdr:rowOff>
    </xdr:from>
    <xdr:to>
      <xdr:col>3</xdr:col>
      <xdr:colOff>704849</xdr:colOff>
      <xdr:row>6</xdr:row>
      <xdr:rowOff>142875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80974"/>
          <a:ext cx="2305050" cy="914401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66675</xdr:colOff>
      <xdr:row>10</xdr:row>
      <xdr:rowOff>57150</xdr:rowOff>
    </xdr:from>
    <xdr:to>
      <xdr:col>9</xdr:col>
      <xdr:colOff>647697</xdr:colOff>
      <xdr:row>30</xdr:row>
      <xdr:rowOff>238125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6195" b="18900"/>
        <a:stretch/>
      </xdr:blipFill>
      <xdr:spPr>
        <a:xfrm>
          <a:off x="209550" y="1771650"/>
          <a:ext cx="8496298" cy="4010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1</xdr:row>
      <xdr:rowOff>47624</xdr:rowOff>
    </xdr:from>
    <xdr:to>
      <xdr:col>4</xdr:col>
      <xdr:colOff>523875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3" y="250030"/>
          <a:ext cx="2493168" cy="99060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50"/>
  <sheetViews>
    <sheetView zoomScale="90" zoomScaleNormal="90" workbookViewId="0">
      <selection activeCell="D32" sqref="D32:J34"/>
    </sheetView>
  </sheetViews>
  <sheetFormatPr baseColWidth="10" defaultRowHeight="14.25" x14ac:dyDescent="0.2"/>
  <cols>
    <col min="1" max="2" width="11.42578125" style="9"/>
    <col min="3" max="3" width="13.5703125" style="9" customWidth="1"/>
    <col min="4" max="4" width="12.140625" style="9" bestFit="1" customWidth="1"/>
    <col min="5" max="5" width="15.5703125" style="9" bestFit="1" customWidth="1"/>
    <col min="6" max="6" width="18.5703125" style="9" bestFit="1" customWidth="1"/>
    <col min="7" max="7" width="17.42578125" style="9" bestFit="1" customWidth="1"/>
    <col min="8" max="8" width="18.5703125" style="9" bestFit="1" customWidth="1"/>
    <col min="9" max="10" width="11.42578125" style="9"/>
    <col min="11" max="11" width="4" style="9" customWidth="1"/>
    <col min="12" max="16384" width="11.42578125" style="9"/>
  </cols>
  <sheetData>
    <row r="2" spans="2:13" ht="10.5" customHeight="1" thickBot="1" x14ac:dyDescent="0.25">
      <c r="B2" s="8"/>
      <c r="C2" s="8"/>
      <c r="D2" s="8"/>
      <c r="E2" s="8"/>
      <c r="F2" s="8"/>
      <c r="G2" s="8"/>
      <c r="H2" s="8"/>
      <c r="I2" s="8"/>
      <c r="J2" s="8"/>
    </row>
    <row r="3" spans="2:13" x14ac:dyDescent="0.2">
      <c r="B3" s="10"/>
      <c r="C3" s="11"/>
      <c r="D3" s="12"/>
      <c r="E3" s="11"/>
      <c r="F3" s="11"/>
      <c r="G3" s="11"/>
      <c r="H3" s="11"/>
      <c r="I3" s="11"/>
      <c r="J3" s="12"/>
    </row>
    <row r="4" spans="2:13" ht="18" x14ac:dyDescent="0.2">
      <c r="B4" s="13"/>
      <c r="C4" s="6"/>
      <c r="D4" s="7"/>
      <c r="E4" s="147" t="s">
        <v>14</v>
      </c>
      <c r="F4" s="147"/>
      <c r="G4" s="147"/>
      <c r="H4" s="147"/>
      <c r="I4" s="147"/>
      <c r="J4" s="148"/>
      <c r="M4" s="106"/>
    </row>
    <row r="5" spans="2:13" ht="18" x14ac:dyDescent="0.2">
      <c r="B5" s="13"/>
      <c r="C5" s="6"/>
      <c r="D5" s="7"/>
      <c r="E5" s="147" t="s">
        <v>15</v>
      </c>
      <c r="F5" s="147"/>
      <c r="G5" s="147"/>
      <c r="H5" s="147"/>
      <c r="I5" s="147"/>
      <c r="J5" s="148"/>
      <c r="M5" s="106"/>
    </row>
    <row r="6" spans="2:13" x14ac:dyDescent="0.2">
      <c r="B6" s="13"/>
      <c r="C6" s="6"/>
      <c r="D6" s="7"/>
      <c r="E6" s="149" t="s">
        <v>16</v>
      </c>
      <c r="F6" s="149"/>
      <c r="G6" s="149"/>
      <c r="H6" s="149"/>
      <c r="I6" s="149"/>
      <c r="J6" s="150"/>
    </row>
    <row r="7" spans="2:13" ht="15" thickBot="1" x14ac:dyDescent="0.25">
      <c r="B7" s="14"/>
      <c r="C7" s="15"/>
      <c r="D7" s="16"/>
      <c r="E7" s="15"/>
      <c r="F7" s="15"/>
      <c r="G7" s="15"/>
      <c r="H7" s="15"/>
      <c r="I7" s="15"/>
      <c r="J7" s="16"/>
    </row>
    <row r="8" spans="2:13" ht="15" customHeight="1" thickBot="1" x14ac:dyDescent="0.25">
      <c r="B8" s="8"/>
      <c r="C8" s="8"/>
      <c r="D8" s="8"/>
      <c r="E8" s="8"/>
      <c r="F8" s="8"/>
      <c r="G8" s="8"/>
      <c r="H8" s="8"/>
      <c r="I8" s="8"/>
      <c r="J8" s="8"/>
    </row>
    <row r="9" spans="2:13" x14ac:dyDescent="0.2">
      <c r="B9" s="110" t="s">
        <v>252</v>
      </c>
      <c r="C9" s="111"/>
      <c r="D9" s="114" t="s">
        <v>251</v>
      </c>
      <c r="E9" s="115"/>
      <c r="F9" s="115"/>
      <c r="G9" s="115"/>
      <c r="H9" s="115"/>
      <c r="I9" s="115"/>
      <c r="J9" s="116"/>
    </row>
    <row r="10" spans="2:13" ht="15.75" customHeight="1" thickBot="1" x14ac:dyDescent="0.25">
      <c r="B10" s="112"/>
      <c r="C10" s="113"/>
      <c r="D10" s="117"/>
      <c r="E10" s="118"/>
      <c r="F10" s="118"/>
      <c r="G10" s="118"/>
      <c r="H10" s="118"/>
      <c r="I10" s="118"/>
      <c r="J10" s="119"/>
    </row>
    <row r="11" spans="2:13" x14ac:dyDescent="0.2">
      <c r="B11" s="130"/>
      <c r="C11" s="131"/>
      <c r="D11" s="131"/>
      <c r="E11" s="131"/>
      <c r="F11" s="131"/>
      <c r="G11" s="131"/>
      <c r="H11" s="131"/>
      <c r="I11" s="131"/>
      <c r="J11" s="132"/>
    </row>
    <row r="12" spans="2:13" ht="15.75" customHeight="1" x14ac:dyDescent="0.2">
      <c r="B12" s="133"/>
      <c r="C12" s="134"/>
      <c r="D12" s="134"/>
      <c r="E12" s="134"/>
      <c r="F12" s="134"/>
      <c r="G12" s="134"/>
      <c r="H12" s="134"/>
      <c r="I12" s="134"/>
      <c r="J12" s="135"/>
    </row>
    <row r="13" spans="2:13" ht="15.75" customHeight="1" x14ac:dyDescent="0.2">
      <c r="B13" s="133"/>
      <c r="C13" s="134"/>
      <c r="D13" s="134"/>
      <c r="E13" s="134"/>
      <c r="F13" s="134"/>
      <c r="G13" s="134"/>
      <c r="H13" s="134"/>
      <c r="I13" s="134"/>
      <c r="J13" s="135"/>
    </row>
    <row r="14" spans="2:13" ht="15.75" customHeight="1" x14ac:dyDescent="0.2">
      <c r="B14" s="133"/>
      <c r="C14" s="134"/>
      <c r="D14" s="134"/>
      <c r="E14" s="134"/>
      <c r="F14" s="134"/>
      <c r="G14" s="134"/>
      <c r="H14" s="134"/>
      <c r="I14" s="134"/>
      <c r="J14" s="135"/>
    </row>
    <row r="15" spans="2:13" ht="15.75" customHeight="1" x14ac:dyDescent="0.2">
      <c r="B15" s="133"/>
      <c r="C15" s="134"/>
      <c r="D15" s="134"/>
      <c r="E15" s="134"/>
      <c r="F15" s="134"/>
      <c r="G15" s="134"/>
      <c r="H15" s="134"/>
      <c r="I15" s="134"/>
      <c r="J15" s="135"/>
    </row>
    <row r="16" spans="2:13" ht="15.75" customHeight="1" x14ac:dyDescent="0.2">
      <c r="B16" s="133"/>
      <c r="C16" s="134"/>
      <c r="D16" s="134"/>
      <c r="E16" s="134"/>
      <c r="F16" s="134"/>
      <c r="G16" s="134"/>
      <c r="H16" s="134"/>
      <c r="I16" s="134"/>
      <c r="J16" s="135"/>
    </row>
    <row r="17" spans="2:10" ht="15.75" customHeight="1" x14ac:dyDescent="0.2">
      <c r="B17" s="133"/>
      <c r="C17" s="134"/>
      <c r="D17" s="134"/>
      <c r="E17" s="134"/>
      <c r="F17" s="134"/>
      <c r="G17" s="134"/>
      <c r="H17" s="134"/>
      <c r="I17" s="134"/>
      <c r="J17" s="135"/>
    </row>
    <row r="18" spans="2:10" ht="15.75" customHeight="1" x14ac:dyDescent="0.2">
      <c r="B18" s="133"/>
      <c r="C18" s="134"/>
      <c r="D18" s="134"/>
      <c r="E18" s="134"/>
      <c r="F18" s="134"/>
      <c r="G18" s="134"/>
      <c r="H18" s="134"/>
      <c r="I18" s="134"/>
      <c r="J18" s="135"/>
    </row>
    <row r="19" spans="2:10" ht="15.75" customHeight="1" x14ac:dyDescent="0.2">
      <c r="B19" s="133"/>
      <c r="C19" s="134"/>
      <c r="D19" s="134"/>
      <c r="E19" s="134"/>
      <c r="F19" s="134"/>
      <c r="G19" s="134"/>
      <c r="H19" s="134"/>
      <c r="I19" s="134"/>
      <c r="J19" s="135"/>
    </row>
    <row r="20" spans="2:10" ht="15.75" customHeight="1" x14ac:dyDescent="0.2">
      <c r="B20" s="133"/>
      <c r="C20" s="134"/>
      <c r="D20" s="134"/>
      <c r="E20" s="134"/>
      <c r="F20" s="134"/>
      <c r="G20" s="134"/>
      <c r="H20" s="134"/>
      <c r="I20" s="134"/>
      <c r="J20" s="135"/>
    </row>
    <row r="21" spans="2:10" ht="15.75" customHeight="1" x14ac:dyDescent="0.2">
      <c r="B21" s="133"/>
      <c r="C21" s="134"/>
      <c r="D21" s="134"/>
      <c r="E21" s="134"/>
      <c r="F21" s="134"/>
      <c r="G21" s="134"/>
      <c r="H21" s="134"/>
      <c r="I21" s="134"/>
      <c r="J21" s="135"/>
    </row>
    <row r="22" spans="2:10" ht="15.75" customHeight="1" x14ac:dyDescent="0.2">
      <c r="B22" s="133"/>
      <c r="C22" s="134"/>
      <c r="D22" s="134"/>
      <c r="E22" s="134"/>
      <c r="F22" s="134"/>
      <c r="G22" s="134"/>
      <c r="H22" s="134"/>
      <c r="I22" s="134"/>
      <c r="J22" s="135"/>
    </row>
    <row r="23" spans="2:10" x14ac:dyDescent="0.2">
      <c r="B23" s="133"/>
      <c r="C23" s="134"/>
      <c r="D23" s="134"/>
      <c r="E23" s="134"/>
      <c r="F23" s="134"/>
      <c r="G23" s="134"/>
      <c r="H23" s="134"/>
      <c r="I23" s="134"/>
      <c r="J23" s="135"/>
    </row>
    <row r="24" spans="2:10" x14ac:dyDescent="0.2">
      <c r="B24" s="133"/>
      <c r="C24" s="134"/>
      <c r="D24" s="134"/>
      <c r="E24" s="134"/>
      <c r="F24" s="134"/>
      <c r="G24" s="134"/>
      <c r="H24" s="134"/>
      <c r="I24" s="134"/>
      <c r="J24" s="135"/>
    </row>
    <row r="25" spans="2:10" x14ac:dyDescent="0.2">
      <c r="B25" s="133"/>
      <c r="C25" s="134"/>
      <c r="D25" s="134"/>
      <c r="E25" s="134"/>
      <c r="F25" s="134"/>
      <c r="G25" s="134"/>
      <c r="H25" s="134"/>
      <c r="I25" s="134"/>
      <c r="J25" s="135"/>
    </row>
    <row r="26" spans="2:10" x14ac:dyDescent="0.2">
      <c r="B26" s="133"/>
      <c r="C26" s="134"/>
      <c r="D26" s="134"/>
      <c r="E26" s="134"/>
      <c r="F26" s="134"/>
      <c r="G26" s="134"/>
      <c r="H26" s="134"/>
      <c r="I26" s="134"/>
      <c r="J26" s="135"/>
    </row>
    <row r="27" spans="2:10" x14ac:dyDescent="0.2">
      <c r="B27" s="133"/>
      <c r="C27" s="134"/>
      <c r="D27" s="134"/>
      <c r="E27" s="134"/>
      <c r="F27" s="134"/>
      <c r="G27" s="134"/>
      <c r="H27" s="134"/>
      <c r="I27" s="134"/>
      <c r="J27" s="135"/>
    </row>
    <row r="28" spans="2:10" x14ac:dyDescent="0.2">
      <c r="B28" s="133"/>
      <c r="C28" s="134"/>
      <c r="D28" s="134"/>
      <c r="E28" s="134"/>
      <c r="F28" s="134"/>
      <c r="G28" s="134"/>
      <c r="H28" s="134"/>
      <c r="I28" s="134"/>
      <c r="J28" s="135"/>
    </row>
    <row r="29" spans="2:10" x14ac:dyDescent="0.2">
      <c r="B29" s="133"/>
      <c r="C29" s="134"/>
      <c r="D29" s="134"/>
      <c r="E29" s="134"/>
      <c r="F29" s="134"/>
      <c r="G29" s="134"/>
      <c r="H29" s="134"/>
      <c r="I29" s="134"/>
      <c r="J29" s="135"/>
    </row>
    <row r="30" spans="2:10" x14ac:dyDescent="0.2">
      <c r="B30" s="133"/>
      <c r="C30" s="134"/>
      <c r="D30" s="134"/>
      <c r="E30" s="134"/>
      <c r="F30" s="134"/>
      <c r="G30" s="134"/>
      <c r="H30" s="134"/>
      <c r="I30" s="134"/>
      <c r="J30" s="135"/>
    </row>
    <row r="31" spans="2:10" ht="26.25" customHeight="1" thickBot="1" x14ac:dyDescent="0.25">
      <c r="B31" s="136"/>
      <c r="C31" s="137"/>
      <c r="D31" s="137"/>
      <c r="E31" s="137"/>
      <c r="F31" s="137"/>
      <c r="G31" s="137"/>
      <c r="H31" s="137"/>
      <c r="I31" s="137"/>
      <c r="J31" s="138"/>
    </row>
    <row r="32" spans="2:10" ht="15.75" customHeight="1" x14ac:dyDescent="0.2">
      <c r="B32" s="120" t="s">
        <v>17</v>
      </c>
      <c r="C32" s="121"/>
      <c r="D32" s="153" t="s">
        <v>296</v>
      </c>
      <c r="E32" s="154"/>
      <c r="F32" s="154"/>
      <c r="G32" s="154"/>
      <c r="H32" s="154"/>
      <c r="I32" s="154"/>
      <c r="J32" s="155"/>
    </row>
    <row r="33" spans="2:14" ht="15" customHeight="1" x14ac:dyDescent="0.2">
      <c r="B33" s="122"/>
      <c r="C33" s="123"/>
      <c r="D33" s="156"/>
      <c r="E33" s="157"/>
      <c r="F33" s="157"/>
      <c r="G33" s="157"/>
      <c r="H33" s="157"/>
      <c r="I33" s="157"/>
      <c r="J33" s="158"/>
    </row>
    <row r="34" spans="2:14" ht="27" customHeight="1" thickBot="1" x14ac:dyDescent="0.25">
      <c r="B34" s="124"/>
      <c r="C34" s="125"/>
      <c r="D34" s="159"/>
      <c r="E34" s="160"/>
      <c r="F34" s="160"/>
      <c r="G34" s="160"/>
      <c r="H34" s="160"/>
      <c r="I34" s="160"/>
      <c r="J34" s="161"/>
    </row>
    <row r="35" spans="2:14" ht="19.5" customHeight="1" x14ac:dyDescent="0.25">
      <c r="B35" s="139" t="s">
        <v>0</v>
      </c>
      <c r="C35" s="140"/>
      <c r="D35" s="151" t="s">
        <v>295</v>
      </c>
      <c r="E35" s="151"/>
      <c r="F35" s="151"/>
      <c r="G35" s="151"/>
      <c r="H35" s="151"/>
      <c r="I35" s="151"/>
      <c r="J35" s="152"/>
    </row>
    <row r="36" spans="2:14" ht="19.5" customHeight="1" x14ac:dyDescent="0.25">
      <c r="B36" s="139" t="s">
        <v>1</v>
      </c>
      <c r="C36" s="140"/>
      <c r="D36" s="145" t="s">
        <v>294</v>
      </c>
      <c r="E36" s="145"/>
      <c r="F36" s="145"/>
      <c r="G36" s="145"/>
      <c r="H36" s="145"/>
      <c r="I36" s="145"/>
      <c r="J36" s="146"/>
    </row>
    <row r="37" spans="2:14" ht="19.5" customHeight="1" x14ac:dyDescent="0.25">
      <c r="B37" s="139" t="s">
        <v>2</v>
      </c>
      <c r="C37" s="140"/>
      <c r="D37" s="145" t="s">
        <v>294</v>
      </c>
      <c r="E37" s="145"/>
      <c r="F37" s="145"/>
      <c r="G37" s="145"/>
      <c r="H37" s="145"/>
      <c r="I37" s="145"/>
      <c r="J37" s="146"/>
    </row>
    <row r="38" spans="2:14" ht="19.5" customHeight="1" x14ac:dyDescent="0.25">
      <c r="B38" s="139" t="s">
        <v>3</v>
      </c>
      <c r="C38" s="140"/>
      <c r="D38" s="145" t="s">
        <v>293</v>
      </c>
      <c r="E38" s="145"/>
      <c r="F38" s="145"/>
      <c r="G38" s="145"/>
      <c r="H38" s="145"/>
      <c r="I38" s="145"/>
      <c r="J38" s="146"/>
    </row>
    <row r="39" spans="2:14" ht="19.5" customHeight="1" x14ac:dyDescent="0.25">
      <c r="B39" s="139" t="s">
        <v>7</v>
      </c>
      <c r="C39" s="140"/>
      <c r="D39" s="162">
        <v>44268</v>
      </c>
      <c r="E39" s="145"/>
      <c r="F39" s="145"/>
      <c r="G39" s="145"/>
      <c r="H39" s="145"/>
      <c r="I39" s="145"/>
      <c r="J39" s="146"/>
    </row>
    <row r="40" spans="2:14" ht="19.5" customHeight="1" x14ac:dyDescent="0.25">
      <c r="B40" s="139" t="s">
        <v>6</v>
      </c>
      <c r="C40" s="140"/>
      <c r="D40" s="145"/>
      <c r="E40" s="145"/>
      <c r="F40" s="145"/>
      <c r="G40" s="145"/>
      <c r="H40" s="145"/>
      <c r="I40" s="145"/>
      <c r="J40" s="146"/>
    </row>
    <row r="41" spans="2:14" ht="19.5" customHeight="1" x14ac:dyDescent="0.25">
      <c r="B41" s="139" t="s">
        <v>10</v>
      </c>
      <c r="C41" s="140"/>
      <c r="D41" s="145" t="s">
        <v>339</v>
      </c>
      <c r="E41" s="145"/>
      <c r="F41" s="145"/>
      <c r="G41" s="145"/>
      <c r="H41" s="145"/>
      <c r="I41" s="145"/>
      <c r="J41" s="146"/>
    </row>
    <row r="42" spans="2:14" ht="19.5" customHeight="1" x14ac:dyDescent="0.25">
      <c r="B42" s="139" t="s">
        <v>11</v>
      </c>
      <c r="C42" s="140"/>
      <c r="D42" s="145">
        <f>D39-D43</f>
        <v>332</v>
      </c>
      <c r="E42" s="145"/>
      <c r="F42" s="145"/>
      <c r="G42" s="145"/>
      <c r="H42" s="145"/>
      <c r="I42" s="145"/>
      <c r="J42" s="146"/>
    </row>
    <row r="43" spans="2:14" ht="19.5" customHeight="1" x14ac:dyDescent="0.25">
      <c r="B43" s="139" t="s">
        <v>12</v>
      </c>
      <c r="C43" s="140"/>
      <c r="D43" s="162">
        <v>43936</v>
      </c>
      <c r="E43" s="145"/>
      <c r="F43" s="145"/>
      <c r="G43" s="145"/>
      <c r="H43" s="145"/>
      <c r="I43" s="145"/>
      <c r="J43" s="146"/>
    </row>
    <row r="44" spans="2:14" ht="19.5" customHeight="1" thickBot="1" x14ac:dyDescent="0.3">
      <c r="B44" s="139" t="s">
        <v>13</v>
      </c>
      <c r="C44" s="140"/>
      <c r="D44" s="145"/>
      <c r="E44" s="145"/>
      <c r="F44" s="145"/>
      <c r="G44" s="145"/>
      <c r="H44" s="145"/>
      <c r="I44" s="145"/>
      <c r="J44" s="146"/>
      <c r="N44" s="17"/>
    </row>
    <row r="45" spans="2:14" ht="16.5" thickBot="1" x14ac:dyDescent="0.3">
      <c r="B45" s="76"/>
      <c r="C45" s="11"/>
      <c r="D45" s="11"/>
      <c r="E45" s="11"/>
      <c r="F45" s="11"/>
      <c r="G45" s="11"/>
      <c r="H45" s="11"/>
      <c r="I45" s="11"/>
      <c r="J45" s="12"/>
    </row>
    <row r="46" spans="2:14" ht="15" thickBot="1" x14ac:dyDescent="0.25">
      <c r="B46" s="73"/>
      <c r="C46" s="74"/>
      <c r="D46" s="126" t="s">
        <v>18</v>
      </c>
      <c r="E46" s="127"/>
      <c r="F46" s="18" t="s">
        <v>19</v>
      </c>
      <c r="G46" s="19" t="s">
        <v>5</v>
      </c>
      <c r="H46" s="20" t="s">
        <v>20</v>
      </c>
      <c r="I46" s="74"/>
      <c r="J46" s="75"/>
    </row>
    <row r="47" spans="2:14" ht="17.25" customHeight="1" x14ac:dyDescent="0.2">
      <c r="B47" s="73"/>
      <c r="C47" s="74"/>
      <c r="D47" s="128" t="s">
        <v>21</v>
      </c>
      <c r="E47" s="129"/>
      <c r="F47" s="63">
        <f>SUM(Materiales!S39,Materiales!AC156)</f>
        <v>340732570.6323843</v>
      </c>
      <c r="G47" s="63">
        <f>SUM(Materiales!AD156,Materiales!T39)</f>
        <v>64739188.420153007</v>
      </c>
      <c r="H47" s="65">
        <f>SUM(F47:G47)</f>
        <v>405471759.05253732</v>
      </c>
      <c r="I47" s="74"/>
      <c r="J47" s="75"/>
    </row>
    <row r="48" spans="2:14" ht="17.25" customHeight="1" thickBot="1" x14ac:dyDescent="0.25">
      <c r="B48" s="73"/>
      <c r="C48" s="74"/>
      <c r="D48" s="141" t="s">
        <v>4</v>
      </c>
      <c r="E48" s="142"/>
      <c r="F48" s="64">
        <v>121830000</v>
      </c>
      <c r="G48" s="64">
        <f>+F48*19%</f>
        <v>23147700</v>
      </c>
      <c r="H48" s="66">
        <f>SUM(F48:G48)</f>
        <v>144977700</v>
      </c>
      <c r="I48" s="74"/>
      <c r="J48" s="75"/>
    </row>
    <row r="49" spans="2:10" ht="15.75" thickBot="1" x14ac:dyDescent="0.3">
      <c r="B49" s="73"/>
      <c r="C49" s="74"/>
      <c r="D49" s="143" t="s">
        <v>22</v>
      </c>
      <c r="E49" s="144"/>
      <c r="F49" s="67">
        <f>SUM(F47:F48)</f>
        <v>462562570.6323843</v>
      </c>
      <c r="G49" s="67">
        <f>SUM(G47:G48)</f>
        <v>87886888.420153007</v>
      </c>
      <c r="H49" s="68">
        <f>SUM(H47:H48)</f>
        <v>550449459.05253732</v>
      </c>
      <c r="I49" s="74"/>
      <c r="J49" s="75"/>
    </row>
    <row r="50" spans="2:10" ht="15" thickBot="1" x14ac:dyDescent="0.25">
      <c r="B50" s="14"/>
      <c r="C50" s="15"/>
      <c r="D50" s="15"/>
      <c r="E50" s="15"/>
      <c r="F50" s="15"/>
      <c r="G50" s="15"/>
      <c r="H50" s="15"/>
      <c r="I50" s="15"/>
      <c r="J50" s="16"/>
    </row>
  </sheetData>
  <mergeCells count="32">
    <mergeCell ref="D48:E48"/>
    <mergeCell ref="D49:E49"/>
    <mergeCell ref="D38:J38"/>
    <mergeCell ref="E4:J4"/>
    <mergeCell ref="E5:J5"/>
    <mergeCell ref="E6:J6"/>
    <mergeCell ref="D37:J37"/>
    <mergeCell ref="D36:J36"/>
    <mergeCell ref="D35:J35"/>
    <mergeCell ref="D32:J34"/>
    <mergeCell ref="D39:J39"/>
    <mergeCell ref="D40:J40"/>
    <mergeCell ref="D41:J41"/>
    <mergeCell ref="D42:J42"/>
    <mergeCell ref="D43:J43"/>
    <mergeCell ref="D44:J44"/>
    <mergeCell ref="B9:C10"/>
    <mergeCell ref="D9:J10"/>
    <mergeCell ref="B32:C34"/>
    <mergeCell ref="D46:E46"/>
    <mergeCell ref="D47:E47"/>
    <mergeCell ref="B11:J31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</mergeCells>
  <pageMargins left="0.70866141732283472" right="0.70866141732283472" top="0.74803149606299213" bottom="0.74803149606299213" header="0.31496062992125984" footer="0.31496062992125984"/>
  <pageSetup paperSize="9" scale="74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F177"/>
  <sheetViews>
    <sheetView tabSelected="1" topLeftCell="A4" zoomScale="70" zoomScaleNormal="70" workbookViewId="0">
      <selection activeCell="N18" sqref="N18:O18"/>
    </sheetView>
  </sheetViews>
  <sheetFormatPr baseColWidth="10" defaultRowHeight="15" x14ac:dyDescent="0.25"/>
  <cols>
    <col min="2" max="2" width="5.85546875" bestFit="1" customWidth="1"/>
    <col min="3" max="3" width="5.140625" bestFit="1" customWidth="1"/>
    <col min="4" max="4" width="25.28515625" bestFit="1" customWidth="1"/>
    <col min="5" max="5" width="11.5703125" bestFit="1" customWidth="1"/>
    <col min="6" max="6" width="18.28515625" bestFit="1" customWidth="1"/>
    <col min="7" max="7" width="15.140625" style="4" customWidth="1"/>
    <col min="8" max="8" width="14" style="4" bestFit="1" customWidth="1"/>
    <col min="9" max="9" width="13" style="4" bestFit="1" customWidth="1"/>
    <col min="10" max="10" width="14" style="4" bestFit="1" customWidth="1"/>
    <col min="11" max="11" width="14" bestFit="1" customWidth="1"/>
    <col min="12" max="12" width="13" bestFit="1" customWidth="1"/>
    <col min="14" max="14" width="14" customWidth="1"/>
    <col min="15" max="15" width="14.140625" customWidth="1"/>
    <col min="17" max="17" width="17.85546875" bestFit="1" customWidth="1"/>
    <col min="18" max="18" width="15.28515625" bestFit="1" customWidth="1"/>
    <col min="19" max="19" width="16.7109375" bestFit="1" customWidth="1"/>
    <col min="20" max="20" width="14.85546875" bestFit="1" customWidth="1"/>
    <col min="21" max="21" width="16.85546875" bestFit="1" customWidth="1"/>
    <col min="24" max="24" width="5.5703125" bestFit="1" customWidth="1"/>
    <col min="25" max="25" width="52.140625" style="77" bestFit="1" customWidth="1"/>
    <col min="26" max="26" width="11.42578125" style="78"/>
    <col min="27" max="27" width="18" bestFit="1" customWidth="1"/>
    <col min="28" max="28" width="17.85546875" bestFit="1" customWidth="1"/>
    <col min="29" max="30" width="16.5703125" bestFit="1" customWidth="1"/>
    <col min="31" max="31" width="17.85546875" bestFit="1" customWidth="1"/>
  </cols>
  <sheetData>
    <row r="1" spans="2:32" ht="15.75" thickBot="1" x14ac:dyDescent="0.3"/>
    <row r="2" spans="2:32" x14ac:dyDescent="0.25">
      <c r="B2" s="1"/>
      <c r="C2" s="185"/>
      <c r="D2" s="186"/>
      <c r="E2" s="187"/>
      <c r="F2" s="200"/>
      <c r="G2" s="201"/>
      <c r="H2" s="201"/>
      <c r="I2" s="201"/>
      <c r="J2" s="202"/>
      <c r="K2" s="1"/>
    </row>
    <row r="3" spans="2:32" ht="18.75" x14ac:dyDescent="0.25">
      <c r="B3" s="1"/>
      <c r="C3" s="188"/>
      <c r="D3" s="189"/>
      <c r="E3" s="190"/>
      <c r="F3" s="194" t="s">
        <v>14</v>
      </c>
      <c r="G3" s="195"/>
      <c r="H3" s="195"/>
      <c r="I3" s="195"/>
      <c r="J3" s="196"/>
      <c r="K3" s="1"/>
    </row>
    <row r="4" spans="2:32" ht="18.75" x14ac:dyDescent="0.25">
      <c r="B4" s="1"/>
      <c r="C4" s="188"/>
      <c r="D4" s="189"/>
      <c r="E4" s="190"/>
      <c r="F4" s="194" t="s">
        <v>15</v>
      </c>
      <c r="G4" s="195"/>
      <c r="H4" s="195"/>
      <c r="I4" s="195"/>
      <c r="J4" s="196"/>
      <c r="K4" s="1"/>
    </row>
    <row r="5" spans="2:32" ht="18.75" x14ac:dyDescent="0.25">
      <c r="B5" s="1"/>
      <c r="C5" s="188"/>
      <c r="D5" s="189"/>
      <c r="E5" s="190"/>
      <c r="F5" s="197" t="s">
        <v>16</v>
      </c>
      <c r="G5" s="198"/>
      <c r="H5" s="198"/>
      <c r="I5" s="198"/>
      <c r="J5" s="199"/>
      <c r="K5" s="1"/>
    </row>
    <row r="6" spans="2:32" ht="15.75" thickBot="1" x14ac:dyDescent="0.3">
      <c r="B6" s="1"/>
      <c r="C6" s="191"/>
      <c r="D6" s="192"/>
      <c r="E6" s="193"/>
      <c r="F6" s="203"/>
      <c r="G6" s="204"/>
      <c r="H6" s="204"/>
      <c r="I6" s="204"/>
      <c r="J6" s="205"/>
      <c r="K6" s="1"/>
    </row>
    <row r="7" spans="2:32" x14ac:dyDescent="0.25">
      <c r="B7" s="1"/>
      <c r="C7" s="2"/>
      <c r="D7" s="2"/>
      <c r="E7" s="2"/>
      <c r="F7" s="1"/>
      <c r="G7" s="5"/>
      <c r="H7" s="5"/>
      <c r="I7" s="5"/>
      <c r="J7" s="5"/>
      <c r="K7" s="1"/>
    </row>
    <row r="8" spans="2:32" ht="15.75" thickBot="1" x14ac:dyDescent="0.3">
      <c r="B8" s="1"/>
      <c r="C8" s="2"/>
      <c r="D8" s="2"/>
      <c r="E8" s="2"/>
      <c r="F8" s="1"/>
      <c r="G8" s="5"/>
      <c r="H8" s="5"/>
      <c r="I8" s="5"/>
      <c r="J8" s="5"/>
      <c r="K8" s="1"/>
    </row>
    <row r="9" spans="2:32" ht="16.5" thickBot="1" x14ac:dyDescent="0.3">
      <c r="B9" s="182" t="s">
        <v>292</v>
      </c>
      <c r="C9" s="183"/>
      <c r="D9" s="183"/>
      <c r="E9" s="183"/>
      <c r="F9" s="183"/>
      <c r="G9" s="183"/>
      <c r="H9" s="183"/>
      <c r="I9" s="183"/>
      <c r="J9" s="183"/>
      <c r="K9" s="184"/>
      <c r="M9" s="179" t="s">
        <v>206</v>
      </c>
      <c r="N9" s="180"/>
      <c r="O9" s="180"/>
      <c r="P9" s="180"/>
      <c r="Q9" s="180"/>
      <c r="R9" s="180"/>
      <c r="S9" s="180"/>
      <c r="T9" s="180"/>
      <c r="U9" s="181"/>
      <c r="X9" s="163" t="s">
        <v>248</v>
      </c>
      <c r="Y9" s="164"/>
      <c r="Z9" s="164"/>
      <c r="AA9" s="164"/>
      <c r="AB9" s="164"/>
      <c r="AC9" s="164"/>
      <c r="AD9" s="164"/>
      <c r="AE9" s="165"/>
      <c r="AF9" s="59"/>
    </row>
    <row r="10" spans="2:32" ht="30.75" thickBot="1" x14ac:dyDescent="0.3">
      <c r="B10" s="21" t="s">
        <v>27</v>
      </c>
      <c r="C10" s="175" t="s">
        <v>28</v>
      </c>
      <c r="D10" s="175"/>
      <c r="E10" s="22" t="s">
        <v>29</v>
      </c>
      <c r="F10" s="22" t="s">
        <v>30</v>
      </c>
      <c r="G10" s="23" t="s">
        <v>31</v>
      </c>
      <c r="H10" s="24" t="s">
        <v>32</v>
      </c>
      <c r="I10" s="23" t="s">
        <v>33</v>
      </c>
      <c r="J10" s="23" t="s">
        <v>34</v>
      </c>
      <c r="K10" s="25" t="s">
        <v>35</v>
      </c>
      <c r="M10" s="26" t="s">
        <v>8</v>
      </c>
      <c r="N10" s="176" t="s">
        <v>23</v>
      </c>
      <c r="O10" s="176"/>
      <c r="P10" s="27" t="s">
        <v>9</v>
      </c>
      <c r="Q10" s="27" t="s">
        <v>24</v>
      </c>
      <c r="R10" s="27" t="s">
        <v>25</v>
      </c>
      <c r="S10" s="27" t="s">
        <v>19</v>
      </c>
      <c r="T10" s="27" t="s">
        <v>26</v>
      </c>
      <c r="U10" s="28" t="s">
        <v>20</v>
      </c>
      <c r="X10" s="88" t="s">
        <v>8</v>
      </c>
      <c r="Y10" s="89" t="s">
        <v>23</v>
      </c>
      <c r="Z10" s="89" t="s">
        <v>9</v>
      </c>
      <c r="AA10" s="89" t="s">
        <v>24</v>
      </c>
      <c r="AB10" s="89" t="s">
        <v>25</v>
      </c>
      <c r="AC10" s="89" t="s">
        <v>19</v>
      </c>
      <c r="AD10" s="89" t="s">
        <v>26</v>
      </c>
      <c r="AE10" s="90" t="s">
        <v>20</v>
      </c>
    </row>
    <row r="11" spans="2:32" ht="15" customHeight="1" x14ac:dyDescent="0.25">
      <c r="B11" s="50">
        <v>1</v>
      </c>
      <c r="C11" s="177" t="s">
        <v>36</v>
      </c>
      <c r="D11" s="177"/>
      <c r="E11" s="29">
        <v>2</v>
      </c>
      <c r="F11" s="29" t="s">
        <v>37</v>
      </c>
      <c r="G11" s="30" t="s">
        <v>205</v>
      </c>
      <c r="H11" s="31"/>
      <c r="I11" s="32"/>
      <c r="J11" s="31">
        <v>6</v>
      </c>
      <c r="K11" s="51">
        <f t="shared" ref="K11:K73" si="0">J11*E11</f>
        <v>12</v>
      </c>
      <c r="M11" s="33">
        <v>1</v>
      </c>
      <c r="N11" s="178" t="s">
        <v>340</v>
      </c>
      <c r="O11" s="178"/>
      <c r="P11" s="34">
        <f>SUM(K11:K12)/12</f>
        <v>1.8333333333333333</v>
      </c>
      <c r="Q11" s="35" t="s">
        <v>38</v>
      </c>
      <c r="R11" s="36">
        <v>2938680</v>
      </c>
      <c r="S11" s="37">
        <f>R11*P11</f>
        <v>5387580</v>
      </c>
      <c r="T11" s="37">
        <f>S11*0.19</f>
        <v>1023640.2000000001</v>
      </c>
      <c r="U11" s="38">
        <f>SUM(S11:T11)</f>
        <v>6411220.2000000002</v>
      </c>
      <c r="X11" s="92">
        <v>1</v>
      </c>
      <c r="Y11" s="93" t="s">
        <v>207</v>
      </c>
      <c r="Z11" s="94">
        <v>830</v>
      </c>
      <c r="AA11" s="95" t="s">
        <v>208</v>
      </c>
      <c r="AB11" s="96">
        <v>9350</v>
      </c>
      <c r="AC11" s="96">
        <f>AB11*Z11</f>
        <v>7760500</v>
      </c>
      <c r="AD11" s="96">
        <f>AC11*0.19</f>
        <v>1474495</v>
      </c>
      <c r="AE11" s="97">
        <f>SUM(AC11:AD11)</f>
        <v>9234995</v>
      </c>
    </row>
    <row r="12" spans="2:32" ht="15" customHeight="1" x14ac:dyDescent="0.25">
      <c r="B12" s="43">
        <v>2</v>
      </c>
      <c r="C12" s="166" t="s">
        <v>39</v>
      </c>
      <c r="D12" s="166"/>
      <c r="E12" s="40">
        <v>2</v>
      </c>
      <c r="F12" s="40" t="s">
        <v>37</v>
      </c>
      <c r="G12" s="30" t="s">
        <v>205</v>
      </c>
      <c r="H12" s="41"/>
      <c r="I12" s="42"/>
      <c r="J12" s="41">
        <v>5</v>
      </c>
      <c r="K12" s="52">
        <f t="shared" si="0"/>
        <v>10</v>
      </c>
      <c r="M12" s="43">
        <v>2</v>
      </c>
      <c r="N12" s="173" t="s">
        <v>41</v>
      </c>
      <c r="O12" s="173"/>
      <c r="P12" s="44">
        <f>SUM(K13:K16)/12</f>
        <v>11.666666666666666</v>
      </c>
      <c r="Q12" s="39" t="s">
        <v>38</v>
      </c>
      <c r="R12" s="45">
        <v>2148120</v>
      </c>
      <c r="S12" s="46">
        <f t="shared" ref="S12:S37" si="1">R12*P12</f>
        <v>25061400</v>
      </c>
      <c r="T12" s="46">
        <f t="shared" ref="T12:T37" si="2">S12*0.19</f>
        <v>4761666</v>
      </c>
      <c r="U12" s="47">
        <f t="shared" ref="U12:U20" si="3">SUM(S12:T12)</f>
        <v>29823066</v>
      </c>
      <c r="X12" s="53">
        <v>2</v>
      </c>
      <c r="Y12" s="80" t="s">
        <v>209</v>
      </c>
      <c r="Z12" s="60">
        <v>18</v>
      </c>
      <c r="AA12" s="40" t="s">
        <v>208</v>
      </c>
      <c r="AB12" s="61">
        <v>19328</v>
      </c>
      <c r="AC12" s="61">
        <f t="shared" ref="AC12:AC59" si="4">AB12*Z12</f>
        <v>347904</v>
      </c>
      <c r="AD12" s="61">
        <f t="shared" ref="AD12:AD78" si="5">AC12*0.19</f>
        <v>66101.759999999995</v>
      </c>
      <c r="AE12" s="98">
        <f t="shared" ref="AE12:AE59" si="6">SUM(AC12:AD12)</f>
        <v>414005.76000000001</v>
      </c>
    </row>
    <row r="13" spans="2:32" ht="15" customHeight="1" x14ac:dyDescent="0.25">
      <c r="B13" s="43">
        <v>3</v>
      </c>
      <c r="C13" s="166" t="s">
        <v>41</v>
      </c>
      <c r="D13" s="166"/>
      <c r="E13" s="40">
        <v>3</v>
      </c>
      <c r="F13" s="40" t="s">
        <v>37</v>
      </c>
      <c r="G13" s="30" t="s">
        <v>205</v>
      </c>
      <c r="H13" s="41"/>
      <c r="I13" s="42"/>
      <c r="J13" s="41">
        <v>12</v>
      </c>
      <c r="K13" s="52">
        <f t="shared" si="0"/>
        <v>36</v>
      </c>
      <c r="M13" s="43">
        <v>3</v>
      </c>
      <c r="N13" s="173" t="s">
        <v>341</v>
      </c>
      <c r="O13" s="173"/>
      <c r="P13" s="44">
        <f>SUM(K17:K18)</f>
        <v>58.8</v>
      </c>
      <c r="Q13" s="39" t="s">
        <v>38</v>
      </c>
      <c r="R13" s="45">
        <v>1169640</v>
      </c>
      <c r="S13" s="46">
        <f t="shared" si="1"/>
        <v>68774832</v>
      </c>
      <c r="T13" s="46">
        <f t="shared" si="2"/>
        <v>13067218.08</v>
      </c>
      <c r="U13" s="47">
        <f t="shared" si="3"/>
        <v>81842050.079999998</v>
      </c>
      <c r="X13" s="53">
        <v>3</v>
      </c>
      <c r="Y13" s="80" t="s">
        <v>210</v>
      </c>
      <c r="Z13" s="60">
        <v>210</v>
      </c>
      <c r="AA13" s="40" t="s">
        <v>208</v>
      </c>
      <c r="AB13" s="61">
        <v>9515</v>
      </c>
      <c r="AC13" s="61">
        <f t="shared" si="4"/>
        <v>1998150</v>
      </c>
      <c r="AD13" s="61">
        <f t="shared" si="5"/>
        <v>379648.5</v>
      </c>
      <c r="AE13" s="98">
        <f t="shared" si="6"/>
        <v>2377798.5</v>
      </c>
    </row>
    <row r="14" spans="2:32" ht="15" customHeight="1" x14ac:dyDescent="0.25">
      <c r="B14" s="43">
        <v>4</v>
      </c>
      <c r="C14" s="166" t="s">
        <v>42</v>
      </c>
      <c r="D14" s="166"/>
      <c r="E14" s="40">
        <v>4</v>
      </c>
      <c r="F14" s="40" t="s">
        <v>37</v>
      </c>
      <c r="G14" s="30" t="s">
        <v>205</v>
      </c>
      <c r="H14" s="41"/>
      <c r="I14" s="42"/>
      <c r="J14" s="41">
        <v>9</v>
      </c>
      <c r="K14" s="52">
        <f t="shared" si="0"/>
        <v>36</v>
      </c>
      <c r="M14" s="43">
        <v>4</v>
      </c>
      <c r="N14" s="173" t="s">
        <v>342</v>
      </c>
      <c r="O14" s="173"/>
      <c r="P14" s="44">
        <f>SUM(K19:K34)/12</f>
        <v>17.137499999999999</v>
      </c>
      <c r="Q14" s="39" t="s">
        <v>38</v>
      </c>
      <c r="R14" s="45">
        <v>994680</v>
      </c>
      <c r="S14" s="46">
        <f t="shared" si="1"/>
        <v>17046328.5</v>
      </c>
      <c r="T14" s="46">
        <f t="shared" si="2"/>
        <v>3238802.415</v>
      </c>
      <c r="U14" s="47">
        <f t="shared" si="3"/>
        <v>20285130.914999999</v>
      </c>
      <c r="X14" s="53">
        <v>4</v>
      </c>
      <c r="Y14" s="80" t="s">
        <v>211</v>
      </c>
      <c r="Z14" s="60">
        <v>5</v>
      </c>
      <c r="AA14" s="40" t="s">
        <v>208</v>
      </c>
      <c r="AB14" s="61">
        <v>42000</v>
      </c>
      <c r="AC14" s="61">
        <f t="shared" si="4"/>
        <v>210000</v>
      </c>
      <c r="AD14" s="61">
        <f t="shared" si="5"/>
        <v>39900</v>
      </c>
      <c r="AE14" s="98">
        <f t="shared" si="6"/>
        <v>249900</v>
      </c>
    </row>
    <row r="15" spans="2:32" ht="15" customHeight="1" x14ac:dyDescent="0.25">
      <c r="B15" s="50">
        <v>5</v>
      </c>
      <c r="C15" s="166" t="s">
        <v>40</v>
      </c>
      <c r="D15" s="166"/>
      <c r="E15" s="40">
        <v>8</v>
      </c>
      <c r="F15" s="40" t="s">
        <v>37</v>
      </c>
      <c r="G15" s="30" t="s">
        <v>205</v>
      </c>
      <c r="H15" s="41"/>
      <c r="I15" s="42"/>
      <c r="J15" s="41">
        <v>6</v>
      </c>
      <c r="K15" s="52">
        <f t="shared" si="0"/>
        <v>48</v>
      </c>
      <c r="M15" s="43">
        <v>5</v>
      </c>
      <c r="N15" s="173" t="s">
        <v>43</v>
      </c>
      <c r="O15" s="173"/>
      <c r="P15" s="44">
        <f>SUM(K35:K38)/6</f>
        <v>6.3500000000000005</v>
      </c>
      <c r="Q15" s="39" t="s">
        <v>38</v>
      </c>
      <c r="R15" s="45">
        <v>362880</v>
      </c>
      <c r="S15" s="46">
        <f t="shared" si="1"/>
        <v>2304288</v>
      </c>
      <c r="T15" s="46">
        <f t="shared" si="2"/>
        <v>437814.72000000003</v>
      </c>
      <c r="U15" s="47">
        <f t="shared" si="3"/>
        <v>2742102.72</v>
      </c>
      <c r="X15" s="53">
        <v>5</v>
      </c>
      <c r="Y15" s="80" t="s">
        <v>212</v>
      </c>
      <c r="Z15" s="60">
        <v>20</v>
      </c>
      <c r="AA15" s="40" t="s">
        <v>208</v>
      </c>
      <c r="AB15" s="61">
        <v>22186</v>
      </c>
      <c r="AC15" s="61">
        <f t="shared" si="4"/>
        <v>443720</v>
      </c>
      <c r="AD15" s="61">
        <f t="shared" si="5"/>
        <v>84306.8</v>
      </c>
      <c r="AE15" s="98">
        <f t="shared" si="6"/>
        <v>528026.80000000005</v>
      </c>
    </row>
    <row r="16" spans="2:32" ht="15" customHeight="1" x14ac:dyDescent="0.25">
      <c r="B16" s="43">
        <v>6</v>
      </c>
      <c r="C16" s="166" t="s">
        <v>44</v>
      </c>
      <c r="D16" s="166"/>
      <c r="E16" s="40">
        <v>4</v>
      </c>
      <c r="F16" s="40" t="s">
        <v>37</v>
      </c>
      <c r="G16" s="30" t="s">
        <v>205</v>
      </c>
      <c r="H16" s="41"/>
      <c r="I16" s="42"/>
      <c r="J16" s="41">
        <v>5</v>
      </c>
      <c r="K16" s="52">
        <f t="shared" si="0"/>
        <v>20</v>
      </c>
      <c r="M16" s="43">
        <v>6</v>
      </c>
      <c r="N16" s="173" t="s">
        <v>45</v>
      </c>
      <c r="O16" s="173"/>
      <c r="P16" s="44">
        <f>SUM(K39:K47)/6</f>
        <v>32.533333333333339</v>
      </c>
      <c r="Q16" s="39" t="s">
        <v>38</v>
      </c>
      <c r="R16" s="45">
        <v>276816</v>
      </c>
      <c r="S16" s="46">
        <f t="shared" si="1"/>
        <v>9005747.2000000011</v>
      </c>
      <c r="T16" s="46">
        <f t="shared" si="2"/>
        <v>1711091.9680000003</v>
      </c>
      <c r="U16" s="47">
        <f t="shared" si="3"/>
        <v>10716839.168000001</v>
      </c>
      <c r="X16" s="53">
        <v>6</v>
      </c>
      <c r="Y16" s="80" t="s">
        <v>213</v>
      </c>
      <c r="Z16" s="60">
        <v>60</v>
      </c>
      <c r="AA16" s="40" t="s">
        <v>208</v>
      </c>
      <c r="AB16" s="61">
        <v>35047</v>
      </c>
      <c r="AC16" s="61">
        <f t="shared" si="4"/>
        <v>2102820</v>
      </c>
      <c r="AD16" s="61">
        <f t="shared" si="5"/>
        <v>399535.8</v>
      </c>
      <c r="AE16" s="98">
        <f t="shared" si="6"/>
        <v>2502355.7999999998</v>
      </c>
    </row>
    <row r="17" spans="2:31" ht="15" customHeight="1" x14ac:dyDescent="0.25">
      <c r="B17" s="43">
        <v>7</v>
      </c>
      <c r="C17" s="166" t="s">
        <v>46</v>
      </c>
      <c r="D17" s="166"/>
      <c r="E17" s="40">
        <v>4</v>
      </c>
      <c r="F17" s="40" t="s">
        <v>37</v>
      </c>
      <c r="G17" s="30" t="s">
        <v>205</v>
      </c>
      <c r="H17" s="41"/>
      <c r="I17" s="42"/>
      <c r="J17" s="41">
        <v>13</v>
      </c>
      <c r="K17" s="52">
        <f t="shared" si="0"/>
        <v>52</v>
      </c>
      <c r="M17" s="43">
        <v>7</v>
      </c>
      <c r="N17" s="173" t="s">
        <v>47</v>
      </c>
      <c r="O17" s="173"/>
      <c r="P17" s="44">
        <f>SUM(K48:K55)/6</f>
        <v>15.950000000000001</v>
      </c>
      <c r="Q17" s="39" t="s">
        <v>38</v>
      </c>
      <c r="R17" s="45">
        <v>215970</v>
      </c>
      <c r="S17" s="46">
        <f t="shared" si="1"/>
        <v>3444721.5</v>
      </c>
      <c r="T17" s="46">
        <f t="shared" si="2"/>
        <v>654497.08499999996</v>
      </c>
      <c r="U17" s="47">
        <f t="shared" si="3"/>
        <v>4099218.585</v>
      </c>
      <c r="X17" s="53">
        <v>7</v>
      </c>
      <c r="Y17" s="80" t="s">
        <v>214</v>
      </c>
      <c r="Z17" s="60">
        <v>143</v>
      </c>
      <c r="AA17" s="40" t="s">
        <v>208</v>
      </c>
      <c r="AB17" s="61">
        <v>6723</v>
      </c>
      <c r="AC17" s="61">
        <f t="shared" si="4"/>
        <v>961389</v>
      </c>
      <c r="AD17" s="61">
        <f t="shared" si="5"/>
        <v>182663.91</v>
      </c>
      <c r="AE17" s="98">
        <f t="shared" si="6"/>
        <v>1144052.9099999999</v>
      </c>
    </row>
    <row r="18" spans="2:31" ht="15" customHeight="1" x14ac:dyDescent="0.25">
      <c r="B18" s="43">
        <v>8</v>
      </c>
      <c r="C18" s="166" t="s">
        <v>48</v>
      </c>
      <c r="D18" s="166"/>
      <c r="E18" s="40">
        <v>8</v>
      </c>
      <c r="F18" s="40" t="s">
        <v>37</v>
      </c>
      <c r="G18" s="30" t="s">
        <v>205</v>
      </c>
      <c r="H18" s="41"/>
      <c r="I18" s="42"/>
      <c r="J18" s="41">
        <v>0.85</v>
      </c>
      <c r="K18" s="52">
        <f t="shared" si="0"/>
        <v>6.8</v>
      </c>
      <c r="M18" s="43">
        <v>8</v>
      </c>
      <c r="N18" s="173" t="s">
        <v>49</v>
      </c>
      <c r="O18" s="173"/>
      <c r="P18" s="44">
        <f>SUM(K56:K68)/6</f>
        <v>51.300000000000004</v>
      </c>
      <c r="Q18" s="39" t="s">
        <v>38</v>
      </c>
      <c r="R18" s="45">
        <v>131630</v>
      </c>
      <c r="S18" s="46">
        <f t="shared" si="1"/>
        <v>6752619.0000000009</v>
      </c>
      <c r="T18" s="46">
        <f t="shared" si="2"/>
        <v>1282997.6100000001</v>
      </c>
      <c r="U18" s="47">
        <f t="shared" si="3"/>
        <v>8035616.6100000013</v>
      </c>
      <c r="X18" s="53">
        <v>8</v>
      </c>
      <c r="Y18" s="80" t="s">
        <v>215</v>
      </c>
      <c r="Z18" s="60">
        <v>16</v>
      </c>
      <c r="AA18" s="40" t="s">
        <v>208</v>
      </c>
      <c r="AB18" s="61">
        <v>52565</v>
      </c>
      <c r="AC18" s="61">
        <f t="shared" si="4"/>
        <v>841040</v>
      </c>
      <c r="AD18" s="61">
        <f t="shared" si="5"/>
        <v>159797.6</v>
      </c>
      <c r="AE18" s="98">
        <f t="shared" si="6"/>
        <v>1000837.6</v>
      </c>
    </row>
    <row r="19" spans="2:31" ht="15" customHeight="1" x14ac:dyDescent="0.25">
      <c r="B19" s="50">
        <v>9</v>
      </c>
      <c r="C19" s="166" t="s">
        <v>50</v>
      </c>
      <c r="D19" s="166"/>
      <c r="E19" s="40">
        <v>1</v>
      </c>
      <c r="F19" s="40" t="s">
        <v>37</v>
      </c>
      <c r="G19" s="30" t="s">
        <v>205</v>
      </c>
      <c r="H19" s="41"/>
      <c r="I19" s="42"/>
      <c r="J19" s="41">
        <v>5.3</v>
      </c>
      <c r="K19" s="52">
        <f t="shared" si="0"/>
        <v>5.3</v>
      </c>
      <c r="M19" s="43">
        <v>9</v>
      </c>
      <c r="N19" s="173" t="s">
        <v>51</v>
      </c>
      <c r="O19" s="173"/>
      <c r="P19" s="44">
        <f>SUM(K69:K73)/6</f>
        <v>7.1333333333333337</v>
      </c>
      <c r="Q19" s="39" t="s">
        <v>38</v>
      </c>
      <c r="R19" s="45">
        <v>101037</v>
      </c>
      <c r="S19" s="46">
        <f t="shared" si="1"/>
        <v>720730.60000000009</v>
      </c>
      <c r="T19" s="46">
        <f t="shared" si="2"/>
        <v>136938.81400000001</v>
      </c>
      <c r="U19" s="47">
        <f t="shared" si="3"/>
        <v>857669.41400000011</v>
      </c>
      <c r="X19" s="53">
        <v>9</v>
      </c>
      <c r="Y19" s="81" t="s">
        <v>216</v>
      </c>
      <c r="Z19" s="60">
        <v>36</v>
      </c>
      <c r="AA19" s="40" t="s">
        <v>208</v>
      </c>
      <c r="AB19" s="62">
        <v>2521.0100000000002</v>
      </c>
      <c r="AC19" s="61">
        <f t="shared" si="4"/>
        <v>90756.360000000015</v>
      </c>
      <c r="AD19" s="61">
        <f t="shared" si="5"/>
        <v>17243.708400000003</v>
      </c>
      <c r="AE19" s="98">
        <f t="shared" si="6"/>
        <v>108000.06840000002</v>
      </c>
    </row>
    <row r="20" spans="2:31" ht="15" customHeight="1" x14ac:dyDescent="0.25">
      <c r="B20" s="43">
        <v>10</v>
      </c>
      <c r="C20" s="166" t="s">
        <v>52</v>
      </c>
      <c r="D20" s="166"/>
      <c r="E20" s="40">
        <v>2</v>
      </c>
      <c r="F20" s="40" t="s">
        <v>37</v>
      </c>
      <c r="G20" s="30" t="s">
        <v>205</v>
      </c>
      <c r="H20" s="41"/>
      <c r="I20" s="42"/>
      <c r="J20" s="41">
        <v>5.9</v>
      </c>
      <c r="K20" s="52">
        <f t="shared" si="0"/>
        <v>11.8</v>
      </c>
      <c r="M20" s="43">
        <v>10</v>
      </c>
      <c r="N20" s="173" t="s">
        <v>53</v>
      </c>
      <c r="O20" s="173"/>
      <c r="P20" s="44">
        <f>SUM(I74:I98)/14.4</f>
        <v>3.4807847222222215</v>
      </c>
      <c r="Q20" s="39" t="s">
        <v>38</v>
      </c>
      <c r="R20" s="45">
        <v>3047900</v>
      </c>
      <c r="S20" s="46">
        <f t="shared" si="1"/>
        <v>10609083.754861109</v>
      </c>
      <c r="T20" s="46">
        <f t="shared" si="2"/>
        <v>2015725.9134236106</v>
      </c>
      <c r="U20" s="47">
        <f t="shared" si="3"/>
        <v>12624809.66828472</v>
      </c>
      <c r="X20" s="53">
        <v>10</v>
      </c>
      <c r="Y20" s="81" t="s">
        <v>217</v>
      </c>
      <c r="Z20" s="60">
        <v>79</v>
      </c>
      <c r="AA20" s="40" t="s">
        <v>208</v>
      </c>
      <c r="AB20" s="61">
        <v>101</v>
      </c>
      <c r="AC20" s="61">
        <f t="shared" si="4"/>
        <v>7979</v>
      </c>
      <c r="AD20" s="61">
        <f t="shared" si="5"/>
        <v>1516.01</v>
      </c>
      <c r="AE20" s="98">
        <f t="shared" si="6"/>
        <v>9495.01</v>
      </c>
    </row>
    <row r="21" spans="2:31" ht="15" customHeight="1" x14ac:dyDescent="0.25">
      <c r="B21" s="43">
        <v>11</v>
      </c>
      <c r="C21" s="166" t="s">
        <v>54</v>
      </c>
      <c r="D21" s="166"/>
      <c r="E21" s="40">
        <v>2</v>
      </c>
      <c r="F21" s="40" t="s">
        <v>37</v>
      </c>
      <c r="G21" s="30" t="s">
        <v>205</v>
      </c>
      <c r="H21" s="41"/>
      <c r="I21" s="42"/>
      <c r="J21" s="41">
        <v>4.25</v>
      </c>
      <c r="K21" s="52">
        <f t="shared" si="0"/>
        <v>8.5</v>
      </c>
      <c r="M21" s="43">
        <v>11</v>
      </c>
      <c r="N21" s="173" t="s">
        <v>55</v>
      </c>
      <c r="O21" s="173"/>
      <c r="P21" s="44">
        <f>SUM(I99:I101)/14.4</f>
        <v>0.26291666666666669</v>
      </c>
      <c r="Q21" s="39" t="s">
        <v>38</v>
      </c>
      <c r="R21" s="45">
        <v>3670620</v>
      </c>
      <c r="S21" s="46">
        <f t="shared" si="1"/>
        <v>965067.17500000005</v>
      </c>
      <c r="T21" s="46">
        <f t="shared" si="2"/>
        <v>183362.76325000002</v>
      </c>
      <c r="U21" s="47">
        <f t="shared" ref="U21:U35" si="7">SUM(S21:T21)</f>
        <v>1148429.9382500001</v>
      </c>
      <c r="X21" s="53">
        <v>11</v>
      </c>
      <c r="Y21" s="81" t="s">
        <v>218</v>
      </c>
      <c r="Z21" s="60">
        <v>21</v>
      </c>
      <c r="AA21" s="40" t="s">
        <v>208</v>
      </c>
      <c r="AB21" s="61">
        <v>846</v>
      </c>
      <c r="AC21" s="61">
        <f t="shared" si="4"/>
        <v>17766</v>
      </c>
      <c r="AD21" s="61">
        <f t="shared" si="5"/>
        <v>3375.54</v>
      </c>
      <c r="AE21" s="98">
        <f t="shared" si="6"/>
        <v>21141.54</v>
      </c>
    </row>
    <row r="22" spans="2:31" ht="15" customHeight="1" x14ac:dyDescent="0.25">
      <c r="B22" s="43">
        <v>12</v>
      </c>
      <c r="C22" s="166" t="s">
        <v>56</v>
      </c>
      <c r="D22" s="166"/>
      <c r="E22" s="40">
        <v>1</v>
      </c>
      <c r="F22" s="40" t="s">
        <v>37</v>
      </c>
      <c r="G22" s="30" t="s">
        <v>205</v>
      </c>
      <c r="H22" s="41"/>
      <c r="I22" s="42"/>
      <c r="J22" s="41">
        <v>1.85</v>
      </c>
      <c r="K22" s="52">
        <f t="shared" si="0"/>
        <v>1.85</v>
      </c>
      <c r="M22" s="43">
        <v>12</v>
      </c>
      <c r="N22" s="173" t="s">
        <v>57</v>
      </c>
      <c r="O22" s="173"/>
      <c r="P22" s="44">
        <f>SUM(I102:I105)/10.8</f>
        <v>9.5274814814814821</v>
      </c>
      <c r="Q22" s="39" t="s">
        <v>38</v>
      </c>
      <c r="R22" s="45">
        <v>1159480</v>
      </c>
      <c r="S22" s="46">
        <f t="shared" si="1"/>
        <v>11046924.228148149</v>
      </c>
      <c r="T22" s="46">
        <f t="shared" si="2"/>
        <v>2098915.6033481485</v>
      </c>
      <c r="U22" s="47">
        <f t="shared" si="7"/>
        <v>13145839.831496298</v>
      </c>
      <c r="X22" s="53">
        <v>12</v>
      </c>
      <c r="Y22" s="81" t="s">
        <v>219</v>
      </c>
      <c r="Z22" s="60">
        <v>69</v>
      </c>
      <c r="AA22" s="40" t="s">
        <v>208</v>
      </c>
      <c r="AB22" s="61">
        <v>55392</v>
      </c>
      <c r="AC22" s="61">
        <f t="shared" si="4"/>
        <v>3822048</v>
      </c>
      <c r="AD22" s="61">
        <f t="shared" si="5"/>
        <v>726189.12</v>
      </c>
      <c r="AE22" s="98">
        <f t="shared" si="6"/>
        <v>4548237.12</v>
      </c>
    </row>
    <row r="23" spans="2:31" ht="15" customHeight="1" x14ac:dyDescent="0.25">
      <c r="B23" s="50">
        <v>13</v>
      </c>
      <c r="C23" s="166" t="s">
        <v>58</v>
      </c>
      <c r="D23" s="166"/>
      <c r="E23" s="40">
        <v>18</v>
      </c>
      <c r="F23" s="40" t="s">
        <v>37</v>
      </c>
      <c r="G23" s="30" t="s">
        <v>205</v>
      </c>
      <c r="H23" s="41"/>
      <c r="I23" s="42"/>
      <c r="J23" s="41">
        <v>0.85</v>
      </c>
      <c r="K23" s="52">
        <f t="shared" si="0"/>
        <v>15.299999999999999</v>
      </c>
      <c r="M23" s="43">
        <v>13</v>
      </c>
      <c r="N23" s="174" t="s">
        <v>59</v>
      </c>
      <c r="O23" s="174"/>
      <c r="P23" s="44">
        <f>SUM(I106:I116)/7.2</f>
        <v>13.566597222222223</v>
      </c>
      <c r="Q23" s="39" t="s">
        <v>38</v>
      </c>
      <c r="R23" s="45">
        <v>452725</v>
      </c>
      <c r="S23" s="46">
        <f t="shared" si="1"/>
        <v>6141937.727430556</v>
      </c>
      <c r="T23" s="46">
        <f t="shared" si="2"/>
        <v>1166968.1682118056</v>
      </c>
      <c r="U23" s="47">
        <f t="shared" si="7"/>
        <v>7308905.8956423616</v>
      </c>
      <c r="X23" s="53">
        <v>13</v>
      </c>
      <c r="Y23" s="81" t="s">
        <v>220</v>
      </c>
      <c r="Z23" s="60">
        <v>3</v>
      </c>
      <c r="AA23" s="40" t="s">
        <v>208</v>
      </c>
      <c r="AB23" s="61">
        <v>228</v>
      </c>
      <c r="AC23" s="61">
        <f t="shared" si="4"/>
        <v>684</v>
      </c>
      <c r="AD23" s="61">
        <f t="shared" si="5"/>
        <v>129.96</v>
      </c>
      <c r="AE23" s="98">
        <f t="shared" si="6"/>
        <v>813.96</v>
      </c>
    </row>
    <row r="24" spans="2:31" ht="15" customHeight="1" x14ac:dyDescent="0.25">
      <c r="B24" s="43">
        <v>14</v>
      </c>
      <c r="C24" s="166" t="s">
        <v>60</v>
      </c>
      <c r="D24" s="166"/>
      <c r="E24" s="40">
        <v>8</v>
      </c>
      <c r="F24" s="40" t="s">
        <v>37</v>
      </c>
      <c r="G24" s="30" t="s">
        <v>205</v>
      </c>
      <c r="H24" s="41"/>
      <c r="I24" s="42"/>
      <c r="J24" s="41">
        <v>8</v>
      </c>
      <c r="K24" s="52">
        <f t="shared" si="0"/>
        <v>64</v>
      </c>
      <c r="M24" s="43">
        <v>14</v>
      </c>
      <c r="N24" s="173" t="s">
        <v>61</v>
      </c>
      <c r="O24" s="173"/>
      <c r="P24" s="44">
        <f>SUM(I117)/14.4</f>
        <v>0.52777777777777779</v>
      </c>
      <c r="Q24" s="39" t="s">
        <v>38</v>
      </c>
      <c r="R24" s="45">
        <v>7647780</v>
      </c>
      <c r="S24" s="46">
        <f t="shared" si="1"/>
        <v>4036328.3333333335</v>
      </c>
      <c r="T24" s="46">
        <f t="shared" si="2"/>
        <v>766902.38333333342</v>
      </c>
      <c r="U24" s="47">
        <f t="shared" si="7"/>
        <v>4803230.7166666668</v>
      </c>
      <c r="X24" s="53">
        <v>14</v>
      </c>
      <c r="Y24" s="81" t="s">
        <v>221</v>
      </c>
      <c r="Z24" s="60">
        <v>27</v>
      </c>
      <c r="AA24" s="40" t="s">
        <v>208</v>
      </c>
      <c r="AB24" s="61">
        <v>280</v>
      </c>
      <c r="AC24" s="61">
        <f t="shared" si="4"/>
        <v>7560</v>
      </c>
      <c r="AD24" s="61">
        <f t="shared" si="5"/>
        <v>1436.4</v>
      </c>
      <c r="AE24" s="98">
        <f t="shared" si="6"/>
        <v>8996.4</v>
      </c>
    </row>
    <row r="25" spans="2:31" ht="15" customHeight="1" x14ac:dyDescent="0.25">
      <c r="B25" s="43">
        <v>15</v>
      </c>
      <c r="C25" s="166" t="s">
        <v>62</v>
      </c>
      <c r="D25" s="166"/>
      <c r="E25" s="40">
        <v>4</v>
      </c>
      <c r="F25" s="40" t="s">
        <v>37</v>
      </c>
      <c r="G25" s="30" t="s">
        <v>205</v>
      </c>
      <c r="H25" s="41"/>
      <c r="I25" s="42"/>
      <c r="J25" s="41">
        <v>4</v>
      </c>
      <c r="K25" s="52">
        <f t="shared" si="0"/>
        <v>16</v>
      </c>
      <c r="M25" s="43">
        <v>15</v>
      </c>
      <c r="N25" s="173" t="s">
        <v>63</v>
      </c>
      <c r="O25" s="173"/>
      <c r="P25" s="44">
        <f>SUM(I118:I122)/14.4</f>
        <v>1.3023611111111109</v>
      </c>
      <c r="Q25" s="39" t="s">
        <v>38</v>
      </c>
      <c r="R25" s="45">
        <v>5811160</v>
      </c>
      <c r="S25" s="46">
        <f t="shared" si="1"/>
        <v>7568228.7944444427</v>
      </c>
      <c r="T25" s="46">
        <f t="shared" si="2"/>
        <v>1437963.4709444442</v>
      </c>
      <c r="U25" s="47">
        <f t="shared" si="7"/>
        <v>9006192.2653888874</v>
      </c>
      <c r="X25" s="53">
        <v>15</v>
      </c>
      <c r="Y25" s="81" t="s">
        <v>222</v>
      </c>
      <c r="Z25" s="60">
        <v>20</v>
      </c>
      <c r="AA25" s="40" t="s">
        <v>208</v>
      </c>
      <c r="AB25" s="61">
        <v>10000.76</v>
      </c>
      <c r="AC25" s="61">
        <f t="shared" si="4"/>
        <v>200015.2</v>
      </c>
      <c r="AD25" s="61">
        <f t="shared" si="5"/>
        <v>38002.888000000006</v>
      </c>
      <c r="AE25" s="98">
        <f t="shared" si="6"/>
        <v>238018.08800000002</v>
      </c>
    </row>
    <row r="26" spans="2:31" ht="15" customHeight="1" x14ac:dyDescent="0.25">
      <c r="B26" s="43">
        <v>16</v>
      </c>
      <c r="C26" s="166" t="s">
        <v>64</v>
      </c>
      <c r="D26" s="166"/>
      <c r="E26" s="40">
        <v>4</v>
      </c>
      <c r="F26" s="40" t="s">
        <v>37</v>
      </c>
      <c r="G26" s="30" t="s">
        <v>205</v>
      </c>
      <c r="H26" s="41"/>
      <c r="I26" s="42"/>
      <c r="J26" s="41">
        <v>5.2</v>
      </c>
      <c r="K26" s="52">
        <f t="shared" si="0"/>
        <v>20.8</v>
      </c>
      <c r="M26" s="43">
        <v>16</v>
      </c>
      <c r="N26" s="173" t="s">
        <v>65</v>
      </c>
      <c r="O26" s="173"/>
      <c r="P26" s="44">
        <f>SUM(I123:I133)/10.8</f>
        <v>26.434000000000001</v>
      </c>
      <c r="Q26" s="39" t="s">
        <v>38</v>
      </c>
      <c r="R26" s="45">
        <v>1535920</v>
      </c>
      <c r="S26" s="46">
        <f t="shared" si="1"/>
        <v>40600509.280000001</v>
      </c>
      <c r="T26" s="46">
        <f t="shared" si="2"/>
        <v>7714096.7631999999</v>
      </c>
      <c r="U26" s="47">
        <f t="shared" si="7"/>
        <v>48314606.043200001</v>
      </c>
      <c r="X26" s="53">
        <v>16</v>
      </c>
      <c r="Y26" s="81" t="s">
        <v>223</v>
      </c>
      <c r="Z26" s="60">
        <v>105</v>
      </c>
      <c r="AA26" s="40" t="s">
        <v>208</v>
      </c>
      <c r="AB26" s="61">
        <v>7564</v>
      </c>
      <c r="AC26" s="61">
        <f t="shared" si="4"/>
        <v>794220</v>
      </c>
      <c r="AD26" s="61">
        <f t="shared" si="5"/>
        <v>150901.79999999999</v>
      </c>
      <c r="AE26" s="98">
        <f t="shared" si="6"/>
        <v>945121.8</v>
      </c>
    </row>
    <row r="27" spans="2:31" ht="15" customHeight="1" x14ac:dyDescent="0.25">
      <c r="B27" s="50">
        <v>17</v>
      </c>
      <c r="C27" s="166" t="s">
        <v>66</v>
      </c>
      <c r="D27" s="166"/>
      <c r="E27" s="40">
        <v>4</v>
      </c>
      <c r="F27" s="40" t="s">
        <v>37</v>
      </c>
      <c r="G27" s="30" t="s">
        <v>205</v>
      </c>
      <c r="H27" s="41"/>
      <c r="I27" s="42"/>
      <c r="J27" s="41">
        <v>2.4</v>
      </c>
      <c r="K27" s="52">
        <f t="shared" si="0"/>
        <v>9.6</v>
      </c>
      <c r="M27" s="43">
        <v>17</v>
      </c>
      <c r="N27" s="166" t="s">
        <v>67</v>
      </c>
      <c r="O27" s="166"/>
      <c r="P27" s="44">
        <f>SUM(K137:K138)/6</f>
        <v>3.6</v>
      </c>
      <c r="Q27" s="39" t="s">
        <v>38</v>
      </c>
      <c r="R27" s="45">
        <v>92658</v>
      </c>
      <c r="S27" s="46">
        <f t="shared" si="1"/>
        <v>333568.8</v>
      </c>
      <c r="T27" s="46">
        <f t="shared" si="2"/>
        <v>63378.072</v>
      </c>
      <c r="U27" s="47">
        <f t="shared" si="7"/>
        <v>396946.87199999997</v>
      </c>
      <c r="X27" s="53">
        <v>17</v>
      </c>
      <c r="Y27" s="81" t="s">
        <v>224</v>
      </c>
      <c r="Z27" s="60">
        <v>165</v>
      </c>
      <c r="AA27" s="40" t="s">
        <v>208</v>
      </c>
      <c r="AB27" s="61">
        <v>9350</v>
      </c>
      <c r="AC27" s="61">
        <f t="shared" si="4"/>
        <v>1542750</v>
      </c>
      <c r="AD27" s="61">
        <f t="shared" si="5"/>
        <v>293122.5</v>
      </c>
      <c r="AE27" s="98">
        <f t="shared" si="6"/>
        <v>1835872.5</v>
      </c>
    </row>
    <row r="28" spans="2:31" ht="15" customHeight="1" x14ac:dyDescent="0.25">
      <c r="B28" s="43">
        <v>18</v>
      </c>
      <c r="C28" s="166" t="s">
        <v>68</v>
      </c>
      <c r="D28" s="166"/>
      <c r="E28" s="40">
        <v>2</v>
      </c>
      <c r="F28" s="40" t="s">
        <v>37</v>
      </c>
      <c r="G28" s="30" t="s">
        <v>205</v>
      </c>
      <c r="H28" s="41"/>
      <c r="I28" s="42"/>
      <c r="J28" s="41">
        <v>3.6</v>
      </c>
      <c r="K28" s="52">
        <f t="shared" si="0"/>
        <v>7.2</v>
      </c>
      <c r="M28" s="43">
        <v>18</v>
      </c>
      <c r="N28" s="173" t="s">
        <v>69</v>
      </c>
      <c r="O28" s="173"/>
      <c r="P28" s="44">
        <f>SUM(K134:K135)/6</f>
        <v>3.1199999999999997</v>
      </c>
      <c r="Q28" s="39" t="s">
        <v>38</v>
      </c>
      <c r="R28" s="45">
        <v>29694</v>
      </c>
      <c r="S28" s="46">
        <f t="shared" si="1"/>
        <v>92645.279999999984</v>
      </c>
      <c r="T28" s="46">
        <f t="shared" si="2"/>
        <v>17602.603199999998</v>
      </c>
      <c r="U28" s="47">
        <f t="shared" si="7"/>
        <v>110247.88319999998</v>
      </c>
      <c r="X28" s="53">
        <v>18</v>
      </c>
      <c r="Y28" s="81" t="s">
        <v>225</v>
      </c>
      <c r="Z28" s="60">
        <v>6</v>
      </c>
      <c r="AA28" s="40" t="s">
        <v>208</v>
      </c>
      <c r="AB28" s="61">
        <v>53638</v>
      </c>
      <c r="AC28" s="61">
        <f t="shared" si="4"/>
        <v>321828</v>
      </c>
      <c r="AD28" s="61">
        <f t="shared" si="5"/>
        <v>61147.32</v>
      </c>
      <c r="AE28" s="98">
        <f t="shared" si="6"/>
        <v>382975.32</v>
      </c>
    </row>
    <row r="29" spans="2:31" ht="15" customHeight="1" x14ac:dyDescent="0.25">
      <c r="B29" s="43">
        <v>19</v>
      </c>
      <c r="C29" s="166" t="s">
        <v>70</v>
      </c>
      <c r="D29" s="166"/>
      <c r="E29" s="40">
        <v>2</v>
      </c>
      <c r="F29" s="40" t="s">
        <v>37</v>
      </c>
      <c r="G29" s="30" t="s">
        <v>205</v>
      </c>
      <c r="H29" s="41"/>
      <c r="I29" s="42"/>
      <c r="J29" s="41">
        <v>2.8</v>
      </c>
      <c r="K29" s="52">
        <f t="shared" si="0"/>
        <v>5.6</v>
      </c>
      <c r="M29" s="43">
        <v>19</v>
      </c>
      <c r="N29" s="173" t="s">
        <v>71</v>
      </c>
      <c r="O29" s="173"/>
      <c r="P29" s="44">
        <f>SUM(K136)/6</f>
        <v>2.4</v>
      </c>
      <c r="Q29" s="39" t="s">
        <v>38</v>
      </c>
      <c r="R29" s="45">
        <v>40148</v>
      </c>
      <c r="S29" s="46">
        <f t="shared" si="1"/>
        <v>96355.199999999997</v>
      </c>
      <c r="T29" s="46">
        <f t="shared" si="2"/>
        <v>18307.488000000001</v>
      </c>
      <c r="U29" s="47">
        <f t="shared" si="7"/>
        <v>114662.68799999999</v>
      </c>
      <c r="X29" s="53">
        <v>19</v>
      </c>
      <c r="Y29" s="87" t="s">
        <v>226</v>
      </c>
      <c r="Z29" s="60">
        <v>4</v>
      </c>
      <c r="AA29" s="40" t="s">
        <v>208</v>
      </c>
      <c r="AB29" s="61">
        <v>504</v>
      </c>
      <c r="AC29" s="61">
        <f t="shared" si="4"/>
        <v>2016</v>
      </c>
      <c r="AD29" s="61">
        <f t="shared" si="5"/>
        <v>383.04</v>
      </c>
      <c r="AE29" s="98">
        <f t="shared" si="6"/>
        <v>2399.04</v>
      </c>
    </row>
    <row r="30" spans="2:31" ht="15" customHeight="1" x14ac:dyDescent="0.25">
      <c r="B30" s="43">
        <v>20</v>
      </c>
      <c r="C30" s="166" t="s">
        <v>72</v>
      </c>
      <c r="D30" s="166"/>
      <c r="E30" s="40">
        <v>2</v>
      </c>
      <c r="F30" s="40" t="s">
        <v>37</v>
      </c>
      <c r="G30" s="30" t="s">
        <v>205</v>
      </c>
      <c r="H30" s="41"/>
      <c r="I30" s="42"/>
      <c r="J30" s="41">
        <v>4.3</v>
      </c>
      <c r="K30" s="52">
        <f t="shared" si="0"/>
        <v>8.6</v>
      </c>
      <c r="M30" s="43">
        <v>20</v>
      </c>
      <c r="N30" s="166" t="s">
        <v>73</v>
      </c>
      <c r="O30" s="166"/>
      <c r="P30" s="44">
        <f>SUM(K139)/6</f>
        <v>3</v>
      </c>
      <c r="Q30" s="39" t="s">
        <v>38</v>
      </c>
      <c r="R30" s="45">
        <v>262500</v>
      </c>
      <c r="S30" s="46">
        <f t="shared" si="1"/>
        <v>787500</v>
      </c>
      <c r="T30" s="46">
        <f t="shared" si="2"/>
        <v>149625</v>
      </c>
      <c r="U30" s="47">
        <f t="shared" si="7"/>
        <v>937125</v>
      </c>
      <c r="X30" s="53">
        <v>20</v>
      </c>
      <c r="Y30" s="87" t="s">
        <v>227</v>
      </c>
      <c r="Z30" s="60">
        <v>2</v>
      </c>
      <c r="AA30" s="40" t="s">
        <v>208</v>
      </c>
      <c r="AB30" s="61">
        <v>112605.04</v>
      </c>
      <c r="AC30" s="61">
        <f t="shared" si="4"/>
        <v>225210.08</v>
      </c>
      <c r="AD30" s="61">
        <f t="shared" si="5"/>
        <v>42789.915199999996</v>
      </c>
      <c r="AE30" s="98">
        <f t="shared" si="6"/>
        <v>267999.9952</v>
      </c>
    </row>
    <row r="31" spans="2:31" ht="15" customHeight="1" x14ac:dyDescent="0.25">
      <c r="B31" s="50">
        <v>21</v>
      </c>
      <c r="C31" s="166" t="s">
        <v>74</v>
      </c>
      <c r="D31" s="166"/>
      <c r="E31" s="40">
        <v>2</v>
      </c>
      <c r="F31" s="40" t="s">
        <v>37</v>
      </c>
      <c r="G31" s="30" t="s">
        <v>205</v>
      </c>
      <c r="H31" s="41"/>
      <c r="I31" s="42"/>
      <c r="J31" s="41">
        <v>3.7</v>
      </c>
      <c r="K31" s="52">
        <f t="shared" si="0"/>
        <v>7.4</v>
      </c>
      <c r="M31" s="43">
        <v>21</v>
      </c>
      <c r="N31" s="173" t="s">
        <v>75</v>
      </c>
      <c r="O31" s="173"/>
      <c r="P31" s="44">
        <f>SUM(K140)/6</f>
        <v>121</v>
      </c>
      <c r="Q31" s="39" t="s">
        <v>38</v>
      </c>
      <c r="R31" s="45">
        <v>3780</v>
      </c>
      <c r="S31" s="46">
        <f t="shared" si="1"/>
        <v>457380</v>
      </c>
      <c r="T31" s="46">
        <f t="shared" si="2"/>
        <v>86902.2</v>
      </c>
      <c r="U31" s="47">
        <f t="shared" si="7"/>
        <v>544282.19999999995</v>
      </c>
      <c r="X31" s="53">
        <v>21</v>
      </c>
      <c r="Y31" s="87" t="s">
        <v>228</v>
      </c>
      <c r="Z31" s="60">
        <v>2</v>
      </c>
      <c r="AA31" s="40" t="s">
        <v>208</v>
      </c>
      <c r="AB31" s="61">
        <v>92436.98</v>
      </c>
      <c r="AC31" s="61">
        <f t="shared" si="4"/>
        <v>184873.96</v>
      </c>
      <c r="AD31" s="61">
        <f t="shared" si="5"/>
        <v>35126.0524</v>
      </c>
      <c r="AE31" s="98">
        <f t="shared" si="6"/>
        <v>220000.01240000001</v>
      </c>
    </row>
    <row r="32" spans="2:31" ht="15" customHeight="1" x14ac:dyDescent="0.25">
      <c r="B32" s="43">
        <v>22</v>
      </c>
      <c r="C32" s="166" t="s">
        <v>76</v>
      </c>
      <c r="D32" s="166"/>
      <c r="E32" s="40">
        <v>2</v>
      </c>
      <c r="F32" s="40" t="s">
        <v>37</v>
      </c>
      <c r="G32" s="30" t="s">
        <v>205</v>
      </c>
      <c r="H32" s="41"/>
      <c r="I32" s="42"/>
      <c r="J32" s="41">
        <v>4.4000000000000004</v>
      </c>
      <c r="K32" s="52">
        <f t="shared" si="0"/>
        <v>8.8000000000000007</v>
      </c>
      <c r="M32" s="43">
        <v>22</v>
      </c>
      <c r="N32" s="166" t="s">
        <v>77</v>
      </c>
      <c r="O32" s="166"/>
      <c r="P32" s="44">
        <f>SUM(K141)/6</f>
        <v>14</v>
      </c>
      <c r="Q32" s="39" t="s">
        <v>38</v>
      </c>
      <c r="R32" s="45">
        <v>164214</v>
      </c>
      <c r="S32" s="46">
        <f t="shared" si="1"/>
        <v>2298996</v>
      </c>
      <c r="T32" s="46">
        <f t="shared" si="2"/>
        <v>436809.24</v>
      </c>
      <c r="U32" s="47">
        <f t="shared" si="7"/>
        <v>2735805.24</v>
      </c>
      <c r="X32" s="53">
        <v>22</v>
      </c>
      <c r="Y32" s="87" t="s">
        <v>229</v>
      </c>
      <c r="Z32" s="60">
        <v>12</v>
      </c>
      <c r="AA32" s="40" t="s">
        <v>208</v>
      </c>
      <c r="AB32" s="61">
        <v>1713624</v>
      </c>
      <c r="AC32" s="61">
        <f t="shared" si="4"/>
        <v>20563488</v>
      </c>
      <c r="AD32" s="61">
        <f t="shared" si="5"/>
        <v>3907062.72</v>
      </c>
      <c r="AE32" s="98">
        <f t="shared" si="6"/>
        <v>24470550.719999999</v>
      </c>
    </row>
    <row r="33" spans="2:31" ht="15" customHeight="1" x14ac:dyDescent="0.25">
      <c r="B33" s="43">
        <v>23</v>
      </c>
      <c r="C33" s="166" t="s">
        <v>78</v>
      </c>
      <c r="D33" s="166"/>
      <c r="E33" s="40">
        <v>2</v>
      </c>
      <c r="F33" s="40" t="s">
        <v>37</v>
      </c>
      <c r="G33" s="30" t="s">
        <v>205</v>
      </c>
      <c r="H33" s="41"/>
      <c r="I33" s="42"/>
      <c r="J33" s="41">
        <v>4.1500000000000004</v>
      </c>
      <c r="K33" s="52">
        <f t="shared" si="0"/>
        <v>8.3000000000000007</v>
      </c>
      <c r="M33" s="43">
        <v>23</v>
      </c>
      <c r="N33" s="166" t="s">
        <v>79</v>
      </c>
      <c r="O33" s="166"/>
      <c r="P33" s="44">
        <f>SUM(K142)/6</f>
        <v>9</v>
      </c>
      <c r="Q33" s="39" t="s">
        <v>38</v>
      </c>
      <c r="R33" s="45">
        <v>40992</v>
      </c>
      <c r="S33" s="46">
        <f t="shared" si="1"/>
        <v>368928</v>
      </c>
      <c r="T33" s="46">
        <f t="shared" si="2"/>
        <v>70096.320000000007</v>
      </c>
      <c r="U33" s="47">
        <f t="shared" si="7"/>
        <v>439024.32</v>
      </c>
      <c r="X33" s="53">
        <v>23</v>
      </c>
      <c r="Y33" s="87" t="s">
        <v>230</v>
      </c>
      <c r="Z33" s="60">
        <v>12</v>
      </c>
      <c r="AA33" s="40" t="s">
        <v>208</v>
      </c>
      <c r="AB33" s="61">
        <v>253000</v>
      </c>
      <c r="AC33" s="61">
        <f t="shared" si="4"/>
        <v>3036000</v>
      </c>
      <c r="AD33" s="61">
        <f t="shared" si="5"/>
        <v>576840</v>
      </c>
      <c r="AE33" s="98">
        <f t="shared" si="6"/>
        <v>3612840</v>
      </c>
    </row>
    <row r="34" spans="2:31" ht="15" customHeight="1" x14ac:dyDescent="0.25">
      <c r="B34" s="43">
        <v>24</v>
      </c>
      <c r="C34" s="166" t="s">
        <v>80</v>
      </c>
      <c r="D34" s="166"/>
      <c r="E34" s="40">
        <v>2</v>
      </c>
      <c r="F34" s="40" t="s">
        <v>37</v>
      </c>
      <c r="G34" s="30" t="s">
        <v>205</v>
      </c>
      <c r="H34" s="41"/>
      <c r="I34" s="42"/>
      <c r="J34" s="41">
        <v>3.3</v>
      </c>
      <c r="K34" s="52">
        <f t="shared" si="0"/>
        <v>6.6</v>
      </c>
      <c r="M34" s="43">
        <v>24</v>
      </c>
      <c r="N34" s="166" t="s">
        <v>81</v>
      </c>
      <c r="O34" s="166"/>
      <c r="P34" s="44">
        <f>SUM(K143)/6</f>
        <v>36</v>
      </c>
      <c r="Q34" s="39" t="s">
        <v>38</v>
      </c>
      <c r="R34" s="45">
        <v>187500</v>
      </c>
      <c r="S34" s="46">
        <f t="shared" si="1"/>
        <v>6750000</v>
      </c>
      <c r="T34" s="46">
        <f t="shared" si="2"/>
        <v>1282500</v>
      </c>
      <c r="U34" s="47">
        <f t="shared" si="7"/>
        <v>8032500</v>
      </c>
      <c r="X34" s="53">
        <v>24</v>
      </c>
      <c r="Y34" s="87" t="s">
        <v>231</v>
      </c>
      <c r="Z34" s="60">
        <v>12</v>
      </c>
      <c r="AA34" s="40" t="s">
        <v>208</v>
      </c>
      <c r="AB34" s="61">
        <v>197000</v>
      </c>
      <c r="AC34" s="61">
        <f t="shared" si="4"/>
        <v>2364000</v>
      </c>
      <c r="AD34" s="61">
        <f t="shared" si="5"/>
        <v>449160</v>
      </c>
      <c r="AE34" s="98">
        <f t="shared" si="6"/>
        <v>2813160</v>
      </c>
    </row>
    <row r="35" spans="2:31" ht="15" customHeight="1" x14ac:dyDescent="0.25">
      <c r="B35" s="50">
        <v>25</v>
      </c>
      <c r="C35" s="166" t="s">
        <v>82</v>
      </c>
      <c r="D35" s="166"/>
      <c r="E35" s="40">
        <v>1</v>
      </c>
      <c r="F35" s="40" t="s">
        <v>37</v>
      </c>
      <c r="G35" s="30" t="s">
        <v>205</v>
      </c>
      <c r="H35" s="41"/>
      <c r="I35" s="42"/>
      <c r="J35" s="41">
        <v>5.3</v>
      </c>
      <c r="K35" s="52">
        <f t="shared" si="0"/>
        <v>5.3</v>
      </c>
      <c r="M35" s="43">
        <v>25</v>
      </c>
      <c r="N35" s="166" t="s">
        <v>83</v>
      </c>
      <c r="O35" s="166"/>
      <c r="P35" s="44">
        <f>SUM(K144:K148)/6</f>
        <v>20.793333333333333</v>
      </c>
      <c r="Q35" s="39" t="s">
        <v>38</v>
      </c>
      <c r="R35" s="45">
        <v>66940</v>
      </c>
      <c r="S35" s="46">
        <f t="shared" si="1"/>
        <v>1391905.7333333334</v>
      </c>
      <c r="T35" s="46">
        <f t="shared" si="2"/>
        <v>264462.08933333337</v>
      </c>
      <c r="U35" s="47">
        <f t="shared" si="7"/>
        <v>1656367.8226666667</v>
      </c>
      <c r="X35" s="53">
        <v>25</v>
      </c>
      <c r="Y35" s="109" t="s">
        <v>364</v>
      </c>
      <c r="Z35" s="60">
        <v>12</v>
      </c>
      <c r="AA35" s="40" t="s">
        <v>208</v>
      </c>
      <c r="AB35" s="61">
        <v>228008</v>
      </c>
      <c r="AC35" s="61">
        <f t="shared" si="4"/>
        <v>2736096</v>
      </c>
      <c r="AD35" s="61">
        <f t="shared" si="5"/>
        <v>519858.24</v>
      </c>
      <c r="AE35" s="98">
        <f t="shared" si="6"/>
        <v>3255954.24</v>
      </c>
    </row>
    <row r="36" spans="2:31" ht="15" customHeight="1" x14ac:dyDescent="0.25">
      <c r="B36" s="43">
        <v>26</v>
      </c>
      <c r="C36" s="166" t="s">
        <v>84</v>
      </c>
      <c r="D36" s="166"/>
      <c r="E36" s="40">
        <v>2</v>
      </c>
      <c r="F36" s="40" t="s">
        <v>37</v>
      </c>
      <c r="G36" s="30" t="s">
        <v>205</v>
      </c>
      <c r="H36" s="41"/>
      <c r="I36" s="42"/>
      <c r="J36" s="41">
        <v>4.0999999999999996</v>
      </c>
      <c r="K36" s="52">
        <f t="shared" si="0"/>
        <v>8.1999999999999993</v>
      </c>
      <c r="M36" s="43">
        <v>26</v>
      </c>
      <c r="N36" s="166" t="s">
        <v>85</v>
      </c>
      <c r="O36" s="166"/>
      <c r="P36" s="44">
        <f>SUM(K149:K153)/6</f>
        <v>23.593333333333334</v>
      </c>
      <c r="Q36" s="39" t="s">
        <v>38</v>
      </c>
      <c r="R36" s="45">
        <v>117448</v>
      </c>
      <c r="S36" s="46">
        <f t="shared" si="1"/>
        <v>2770989.8133333335</v>
      </c>
      <c r="T36" s="46">
        <f t="shared" si="2"/>
        <v>526488.06453333341</v>
      </c>
      <c r="U36" s="47">
        <f t="shared" ref="U36:U38" si="8">SUM(S36:T36)</f>
        <v>3297477.8778666668</v>
      </c>
      <c r="X36" s="53">
        <v>26</v>
      </c>
      <c r="Y36" s="109" t="s">
        <v>360</v>
      </c>
      <c r="Z36" s="60">
        <v>1</v>
      </c>
      <c r="AA36" s="40" t="s">
        <v>208</v>
      </c>
      <c r="AB36" s="61">
        <v>1350000</v>
      </c>
      <c r="AC36" s="61">
        <f t="shared" si="4"/>
        <v>1350000</v>
      </c>
      <c r="AD36" s="61">
        <f t="shared" si="5"/>
        <v>256500</v>
      </c>
      <c r="AE36" s="98">
        <f t="shared" si="6"/>
        <v>1606500</v>
      </c>
    </row>
    <row r="37" spans="2:31" ht="15" customHeight="1" x14ac:dyDescent="0.25">
      <c r="B37" s="43">
        <v>27</v>
      </c>
      <c r="C37" s="166" t="s">
        <v>86</v>
      </c>
      <c r="D37" s="166"/>
      <c r="E37" s="40">
        <v>2</v>
      </c>
      <c r="F37" s="40" t="s">
        <v>37</v>
      </c>
      <c r="G37" s="30" t="s">
        <v>205</v>
      </c>
      <c r="H37" s="41"/>
      <c r="I37" s="42"/>
      <c r="J37" s="41">
        <v>3.3</v>
      </c>
      <c r="K37" s="52">
        <f t="shared" si="0"/>
        <v>6.6</v>
      </c>
      <c r="M37" s="43">
        <v>27</v>
      </c>
      <c r="N37" s="173" t="s">
        <v>87</v>
      </c>
      <c r="O37" s="173"/>
      <c r="P37" s="44">
        <v>48</v>
      </c>
      <c r="Q37" s="39" t="s">
        <v>38</v>
      </c>
      <c r="R37" s="45">
        <v>79170</v>
      </c>
      <c r="S37" s="46">
        <f t="shared" si="1"/>
        <v>3800160</v>
      </c>
      <c r="T37" s="46">
        <f t="shared" si="2"/>
        <v>722030.4</v>
      </c>
      <c r="U37" s="47">
        <f t="shared" si="8"/>
        <v>4522190.4000000004</v>
      </c>
      <c r="X37" s="53">
        <v>27</v>
      </c>
      <c r="Y37" s="109" t="s">
        <v>361</v>
      </c>
      <c r="Z37" s="60">
        <v>42</v>
      </c>
      <c r="AA37" s="40" t="s">
        <v>208</v>
      </c>
      <c r="AB37" s="61">
        <v>7040</v>
      </c>
      <c r="AC37" s="61">
        <f t="shared" si="4"/>
        <v>295680</v>
      </c>
      <c r="AD37" s="61">
        <f t="shared" si="5"/>
        <v>56179.199999999997</v>
      </c>
      <c r="AE37" s="98">
        <f t="shared" si="6"/>
        <v>351859.20000000001</v>
      </c>
    </row>
    <row r="38" spans="2:31" ht="15" customHeight="1" thickBot="1" x14ac:dyDescent="0.3">
      <c r="B38" s="43">
        <v>28</v>
      </c>
      <c r="C38" s="166" t="s">
        <v>88</v>
      </c>
      <c r="D38" s="166"/>
      <c r="E38" s="40">
        <v>2</v>
      </c>
      <c r="F38" s="40" t="s">
        <v>37</v>
      </c>
      <c r="G38" s="30" t="s">
        <v>205</v>
      </c>
      <c r="H38" s="41"/>
      <c r="I38" s="42"/>
      <c r="J38" s="41">
        <v>9</v>
      </c>
      <c r="K38" s="52">
        <f t="shared" si="0"/>
        <v>18</v>
      </c>
      <c r="M38" s="48">
        <v>28</v>
      </c>
      <c r="N38" s="208" t="s">
        <v>365</v>
      </c>
      <c r="O38" s="208"/>
      <c r="P38" s="209">
        <v>1</v>
      </c>
      <c r="Q38" s="210" t="s">
        <v>38</v>
      </c>
      <c r="R38" s="211">
        <v>12605042</v>
      </c>
      <c r="S38" s="212">
        <f t="shared" ref="S38" si="9">R38*P38</f>
        <v>12605042</v>
      </c>
      <c r="T38" s="212">
        <f t="shared" ref="T38" si="10">S38*0.19</f>
        <v>2394957.98</v>
      </c>
      <c r="U38" s="213">
        <f t="shared" si="8"/>
        <v>14999999.98</v>
      </c>
      <c r="X38" s="53">
        <v>28</v>
      </c>
      <c r="Y38" s="109" t="s">
        <v>362</v>
      </c>
      <c r="Z38" s="60">
        <v>18</v>
      </c>
      <c r="AA38" s="40" t="s">
        <v>208</v>
      </c>
      <c r="AB38" s="61">
        <v>10120</v>
      </c>
      <c r="AC38" s="61">
        <f t="shared" si="4"/>
        <v>182160</v>
      </c>
      <c r="AD38" s="61">
        <f t="shared" si="5"/>
        <v>34610.400000000001</v>
      </c>
      <c r="AE38" s="98">
        <f t="shared" si="6"/>
        <v>216770.4</v>
      </c>
    </row>
    <row r="39" spans="2:31" ht="15" customHeight="1" thickBot="1" x14ac:dyDescent="0.3">
      <c r="B39" s="50">
        <v>29</v>
      </c>
      <c r="C39" s="166" t="s">
        <v>89</v>
      </c>
      <c r="D39" s="166"/>
      <c r="E39" s="40">
        <v>8</v>
      </c>
      <c r="F39" s="40" t="s">
        <v>37</v>
      </c>
      <c r="G39" s="30" t="s">
        <v>205</v>
      </c>
      <c r="H39" s="41"/>
      <c r="I39" s="42"/>
      <c r="J39" s="41">
        <v>1.6</v>
      </c>
      <c r="K39" s="52">
        <f t="shared" si="0"/>
        <v>12.8</v>
      </c>
      <c r="M39" s="206"/>
      <c r="N39" s="206"/>
      <c r="O39" s="206"/>
      <c r="P39" s="206"/>
      <c r="Q39" s="207"/>
      <c r="R39" s="70">
        <f t="shared" ref="R39:T39" si="11">SUM(R11:R38)</f>
        <v>45355124</v>
      </c>
      <c r="S39" s="70">
        <f t="shared" si="11"/>
        <v>251219796.91988429</v>
      </c>
      <c r="T39" s="70">
        <f t="shared" si="11"/>
        <v>47731761.414778002</v>
      </c>
      <c r="U39" s="70">
        <f>SUM(U11:U38)</f>
        <v>298951558.33466226</v>
      </c>
      <c r="X39" s="53">
        <v>29</v>
      </c>
      <c r="Y39" s="109" t="s">
        <v>363</v>
      </c>
      <c r="Z39" s="60">
        <v>24</v>
      </c>
      <c r="AA39" s="40" t="s">
        <v>208</v>
      </c>
      <c r="AB39" s="61">
        <v>20592</v>
      </c>
      <c r="AC39" s="61">
        <f t="shared" si="4"/>
        <v>494208</v>
      </c>
      <c r="AD39" s="61">
        <f t="shared" si="5"/>
        <v>93899.520000000004</v>
      </c>
      <c r="AE39" s="98">
        <f t="shared" si="6"/>
        <v>588107.52000000002</v>
      </c>
    </row>
    <row r="40" spans="2:31" ht="15" customHeight="1" x14ac:dyDescent="0.25">
      <c r="B40" s="43">
        <v>30</v>
      </c>
      <c r="C40" s="166" t="s">
        <v>90</v>
      </c>
      <c r="D40" s="166"/>
      <c r="E40" s="40">
        <v>8</v>
      </c>
      <c r="F40" s="40" t="s">
        <v>37</v>
      </c>
      <c r="G40" s="30" t="s">
        <v>205</v>
      </c>
      <c r="H40" s="41"/>
      <c r="I40" s="42"/>
      <c r="J40" s="41">
        <v>0.9</v>
      </c>
      <c r="K40" s="52">
        <f t="shared" si="0"/>
        <v>7.2</v>
      </c>
      <c r="T40" s="69"/>
      <c r="X40" s="53">
        <v>30</v>
      </c>
      <c r="Y40" s="87" t="s">
        <v>232</v>
      </c>
      <c r="Z40" s="60">
        <v>83</v>
      </c>
      <c r="AA40" s="40" t="s">
        <v>208</v>
      </c>
      <c r="AB40" s="61">
        <v>581</v>
      </c>
      <c r="AC40" s="61">
        <f t="shared" si="4"/>
        <v>48223</v>
      </c>
      <c r="AD40" s="61">
        <f t="shared" si="5"/>
        <v>9162.3700000000008</v>
      </c>
      <c r="AE40" s="98">
        <f t="shared" si="6"/>
        <v>57385.37</v>
      </c>
    </row>
    <row r="41" spans="2:31" ht="15" customHeight="1" x14ac:dyDescent="0.25">
      <c r="B41" s="43">
        <v>31</v>
      </c>
      <c r="C41" s="166" t="s">
        <v>91</v>
      </c>
      <c r="D41" s="166"/>
      <c r="E41" s="40">
        <v>8</v>
      </c>
      <c r="F41" s="40" t="s">
        <v>37</v>
      </c>
      <c r="G41" s="30" t="s">
        <v>205</v>
      </c>
      <c r="H41" s="41"/>
      <c r="I41" s="42"/>
      <c r="J41" s="41">
        <v>1.1499999999999999</v>
      </c>
      <c r="K41" s="52">
        <f t="shared" si="0"/>
        <v>9.1999999999999993</v>
      </c>
      <c r="U41" s="69"/>
      <c r="X41" s="53">
        <v>31</v>
      </c>
      <c r="Y41" s="81" t="s">
        <v>233</v>
      </c>
      <c r="Z41" s="60">
        <v>122</v>
      </c>
      <c r="AA41" s="40" t="s">
        <v>208</v>
      </c>
      <c r="AB41" s="61">
        <v>61</v>
      </c>
      <c r="AC41" s="61">
        <f t="shared" si="4"/>
        <v>7442</v>
      </c>
      <c r="AD41" s="61">
        <f t="shared" si="5"/>
        <v>1413.98</v>
      </c>
      <c r="AE41" s="98">
        <f t="shared" si="6"/>
        <v>8855.98</v>
      </c>
    </row>
    <row r="42" spans="2:31" ht="15" customHeight="1" x14ac:dyDescent="0.25">
      <c r="B42" s="43">
        <v>32</v>
      </c>
      <c r="C42" s="166" t="s">
        <v>92</v>
      </c>
      <c r="D42" s="166"/>
      <c r="E42" s="40">
        <v>4</v>
      </c>
      <c r="F42" s="40" t="s">
        <v>37</v>
      </c>
      <c r="G42" s="30" t="s">
        <v>205</v>
      </c>
      <c r="H42" s="41"/>
      <c r="I42" s="42"/>
      <c r="J42" s="41">
        <v>0.7</v>
      </c>
      <c r="K42" s="52">
        <f t="shared" si="0"/>
        <v>2.8</v>
      </c>
      <c r="X42" s="53">
        <v>32</v>
      </c>
      <c r="Y42" s="81" t="s">
        <v>234</v>
      </c>
      <c r="Z42" s="60">
        <v>56</v>
      </c>
      <c r="AA42" s="40" t="s">
        <v>208</v>
      </c>
      <c r="AB42" s="61">
        <v>1500</v>
      </c>
      <c r="AC42" s="61">
        <f t="shared" si="4"/>
        <v>84000</v>
      </c>
      <c r="AD42" s="61">
        <f t="shared" si="5"/>
        <v>15960</v>
      </c>
      <c r="AE42" s="98">
        <f t="shared" si="6"/>
        <v>99960</v>
      </c>
    </row>
    <row r="43" spans="2:31" ht="15" customHeight="1" x14ac:dyDescent="0.25">
      <c r="B43" s="50">
        <v>33</v>
      </c>
      <c r="C43" s="166" t="s">
        <v>93</v>
      </c>
      <c r="D43" s="166"/>
      <c r="E43" s="40">
        <v>6</v>
      </c>
      <c r="F43" s="40" t="s">
        <v>37</v>
      </c>
      <c r="G43" s="30" t="s">
        <v>205</v>
      </c>
      <c r="H43" s="41"/>
      <c r="I43" s="42"/>
      <c r="J43" s="41">
        <v>1.3</v>
      </c>
      <c r="K43" s="52">
        <f t="shared" si="0"/>
        <v>7.8000000000000007</v>
      </c>
      <c r="X43" s="53">
        <v>33</v>
      </c>
      <c r="Y43" s="81" t="s">
        <v>250</v>
      </c>
      <c r="Z43" s="60">
        <v>43</v>
      </c>
      <c r="AA43" s="40" t="s">
        <v>208</v>
      </c>
      <c r="AB43" s="61">
        <v>52000</v>
      </c>
      <c r="AC43" s="61">
        <f t="shared" si="4"/>
        <v>2236000</v>
      </c>
      <c r="AD43" s="61">
        <f t="shared" si="5"/>
        <v>424840</v>
      </c>
      <c r="AE43" s="98">
        <f t="shared" si="6"/>
        <v>2660840</v>
      </c>
    </row>
    <row r="44" spans="2:31" ht="15" customHeight="1" x14ac:dyDescent="0.25">
      <c r="B44" s="43">
        <v>34</v>
      </c>
      <c r="C44" s="166" t="s">
        <v>94</v>
      </c>
      <c r="D44" s="166"/>
      <c r="E44" s="40">
        <v>6</v>
      </c>
      <c r="F44" s="40" t="s">
        <v>37</v>
      </c>
      <c r="G44" s="30" t="s">
        <v>205</v>
      </c>
      <c r="H44" s="41"/>
      <c r="I44" s="42"/>
      <c r="J44" s="41">
        <v>1.1000000000000001</v>
      </c>
      <c r="K44" s="52">
        <f t="shared" si="0"/>
        <v>6.6000000000000005</v>
      </c>
      <c r="X44" s="53">
        <v>34</v>
      </c>
      <c r="Y44" s="81" t="s">
        <v>235</v>
      </c>
      <c r="Z44" s="60">
        <v>2</v>
      </c>
      <c r="AA44" s="40" t="s">
        <v>208</v>
      </c>
      <c r="AB44" s="61">
        <v>21000</v>
      </c>
      <c r="AC44" s="61">
        <f t="shared" si="4"/>
        <v>42000</v>
      </c>
      <c r="AD44" s="61">
        <f t="shared" si="5"/>
        <v>7980</v>
      </c>
      <c r="AE44" s="98">
        <f t="shared" si="6"/>
        <v>49980</v>
      </c>
    </row>
    <row r="45" spans="2:31" ht="15" customHeight="1" x14ac:dyDescent="0.25">
      <c r="B45" s="43">
        <v>35</v>
      </c>
      <c r="C45" s="166" t="s">
        <v>95</v>
      </c>
      <c r="D45" s="166"/>
      <c r="E45" s="40">
        <v>12</v>
      </c>
      <c r="F45" s="40" t="s">
        <v>37</v>
      </c>
      <c r="G45" s="30" t="s">
        <v>205</v>
      </c>
      <c r="H45" s="41"/>
      <c r="I45" s="42"/>
      <c r="J45" s="41">
        <v>4.3</v>
      </c>
      <c r="K45" s="52">
        <f t="shared" si="0"/>
        <v>51.599999999999994</v>
      </c>
      <c r="X45" s="53">
        <v>35</v>
      </c>
      <c r="Y45" s="87" t="s">
        <v>354</v>
      </c>
      <c r="Z45" s="60">
        <v>7</v>
      </c>
      <c r="AA45" s="40" t="s">
        <v>208</v>
      </c>
      <c r="AB45" s="61">
        <v>61740</v>
      </c>
      <c r="AC45" s="61">
        <f t="shared" si="4"/>
        <v>432180</v>
      </c>
      <c r="AD45" s="61">
        <f t="shared" si="5"/>
        <v>82114.2</v>
      </c>
      <c r="AE45" s="98">
        <f t="shared" si="6"/>
        <v>514294.2</v>
      </c>
    </row>
    <row r="46" spans="2:31" ht="15" customHeight="1" x14ac:dyDescent="0.25">
      <c r="B46" s="43">
        <v>36</v>
      </c>
      <c r="C46" s="166" t="s">
        <v>96</v>
      </c>
      <c r="D46" s="166"/>
      <c r="E46" s="40">
        <v>12</v>
      </c>
      <c r="F46" s="40" t="s">
        <v>37</v>
      </c>
      <c r="G46" s="30" t="s">
        <v>205</v>
      </c>
      <c r="H46" s="41"/>
      <c r="I46" s="42"/>
      <c r="J46" s="41">
        <v>3.7</v>
      </c>
      <c r="K46" s="52">
        <f t="shared" si="0"/>
        <v>44.400000000000006</v>
      </c>
      <c r="X46" s="53">
        <v>36</v>
      </c>
      <c r="Y46" s="81" t="s">
        <v>236</v>
      </c>
      <c r="Z46" s="60">
        <v>2</v>
      </c>
      <c r="AA46" s="40" t="s">
        <v>208</v>
      </c>
      <c r="AB46" s="61">
        <v>3800</v>
      </c>
      <c r="AC46" s="61">
        <f t="shared" si="4"/>
        <v>7600</v>
      </c>
      <c r="AD46" s="61">
        <f t="shared" si="5"/>
        <v>1444</v>
      </c>
      <c r="AE46" s="98">
        <f t="shared" si="6"/>
        <v>9044</v>
      </c>
    </row>
    <row r="47" spans="2:31" ht="15" customHeight="1" x14ac:dyDescent="0.25">
      <c r="B47" s="50">
        <v>37</v>
      </c>
      <c r="C47" s="166" t="s">
        <v>97</v>
      </c>
      <c r="D47" s="166"/>
      <c r="E47" s="40">
        <v>12</v>
      </c>
      <c r="F47" s="40" t="s">
        <v>37</v>
      </c>
      <c r="G47" s="30" t="s">
        <v>205</v>
      </c>
      <c r="H47" s="41"/>
      <c r="I47" s="42"/>
      <c r="J47" s="41">
        <v>4.4000000000000004</v>
      </c>
      <c r="K47" s="52">
        <f t="shared" si="0"/>
        <v>52.800000000000004</v>
      </c>
      <c r="X47" s="53">
        <v>37</v>
      </c>
      <c r="Y47" s="81" t="s">
        <v>237</v>
      </c>
      <c r="Z47" s="60">
        <v>11</v>
      </c>
      <c r="AA47" s="40" t="s">
        <v>208</v>
      </c>
      <c r="AB47" s="61">
        <v>841</v>
      </c>
      <c r="AC47" s="61">
        <f t="shared" si="4"/>
        <v>9251</v>
      </c>
      <c r="AD47" s="61">
        <f t="shared" si="5"/>
        <v>1757.69</v>
      </c>
      <c r="AE47" s="98">
        <f t="shared" si="6"/>
        <v>11008.69</v>
      </c>
    </row>
    <row r="48" spans="2:31" ht="15" customHeight="1" x14ac:dyDescent="0.25">
      <c r="B48" s="43">
        <v>38</v>
      </c>
      <c r="C48" s="166" t="s">
        <v>98</v>
      </c>
      <c r="D48" s="166"/>
      <c r="E48" s="40">
        <v>10</v>
      </c>
      <c r="F48" s="40" t="s">
        <v>37</v>
      </c>
      <c r="G48" s="30" t="s">
        <v>205</v>
      </c>
      <c r="H48" s="41"/>
      <c r="I48" s="42"/>
      <c r="J48" s="41">
        <v>3.5</v>
      </c>
      <c r="K48" s="52">
        <f t="shared" si="0"/>
        <v>35</v>
      </c>
      <c r="X48" s="53">
        <v>38</v>
      </c>
      <c r="Y48" s="81" t="s">
        <v>238</v>
      </c>
      <c r="Z48" s="60">
        <v>30</v>
      </c>
      <c r="AA48" s="40" t="s">
        <v>208</v>
      </c>
      <c r="AB48" s="61">
        <v>6450</v>
      </c>
      <c r="AC48" s="61">
        <f t="shared" si="4"/>
        <v>193500</v>
      </c>
      <c r="AD48" s="61">
        <f t="shared" si="5"/>
        <v>36765</v>
      </c>
      <c r="AE48" s="98">
        <f t="shared" si="6"/>
        <v>230265</v>
      </c>
    </row>
    <row r="49" spans="2:31" ht="15" customHeight="1" x14ac:dyDescent="0.25">
      <c r="B49" s="43">
        <v>39</v>
      </c>
      <c r="C49" s="166" t="s">
        <v>99</v>
      </c>
      <c r="D49" s="166"/>
      <c r="E49" s="40">
        <v>4</v>
      </c>
      <c r="F49" s="40" t="s">
        <v>37</v>
      </c>
      <c r="G49" s="30" t="s">
        <v>205</v>
      </c>
      <c r="H49" s="41"/>
      <c r="I49" s="42"/>
      <c r="J49" s="41">
        <v>2.8</v>
      </c>
      <c r="K49" s="52">
        <f t="shared" si="0"/>
        <v>11.2</v>
      </c>
      <c r="X49" s="53">
        <v>39</v>
      </c>
      <c r="Y49" s="81" t="s">
        <v>239</v>
      </c>
      <c r="Z49" s="60">
        <v>1</v>
      </c>
      <c r="AA49" s="40" t="s">
        <v>208</v>
      </c>
      <c r="AB49" s="61">
        <v>2941</v>
      </c>
      <c r="AC49" s="61">
        <f t="shared" si="4"/>
        <v>2941</v>
      </c>
      <c r="AD49" s="61">
        <f t="shared" si="5"/>
        <v>558.79</v>
      </c>
      <c r="AE49" s="98">
        <f t="shared" si="6"/>
        <v>3499.79</v>
      </c>
    </row>
    <row r="50" spans="2:31" ht="15" customHeight="1" x14ac:dyDescent="0.25">
      <c r="B50" s="43">
        <v>40</v>
      </c>
      <c r="C50" s="166" t="s">
        <v>100</v>
      </c>
      <c r="D50" s="166"/>
      <c r="E50" s="40">
        <v>2</v>
      </c>
      <c r="F50" s="40" t="s">
        <v>37</v>
      </c>
      <c r="G50" s="30" t="s">
        <v>205</v>
      </c>
      <c r="H50" s="41"/>
      <c r="I50" s="42"/>
      <c r="J50" s="41">
        <v>3.1</v>
      </c>
      <c r="K50" s="52">
        <f t="shared" si="0"/>
        <v>6.2</v>
      </c>
      <c r="X50" s="53">
        <v>40</v>
      </c>
      <c r="Y50" s="81" t="s">
        <v>240</v>
      </c>
      <c r="Z50" s="60">
        <v>4</v>
      </c>
      <c r="AA50" s="40" t="s">
        <v>208</v>
      </c>
      <c r="AB50" s="61">
        <v>504</v>
      </c>
      <c r="AC50" s="61">
        <f t="shared" si="4"/>
        <v>2016</v>
      </c>
      <c r="AD50" s="61">
        <f t="shared" si="5"/>
        <v>383.04</v>
      </c>
      <c r="AE50" s="98">
        <f t="shared" si="6"/>
        <v>2399.04</v>
      </c>
    </row>
    <row r="51" spans="2:31" ht="15" customHeight="1" x14ac:dyDescent="0.25">
      <c r="B51" s="50">
        <v>41</v>
      </c>
      <c r="C51" s="166" t="s">
        <v>101</v>
      </c>
      <c r="D51" s="166"/>
      <c r="E51" s="40">
        <v>2</v>
      </c>
      <c r="F51" s="40" t="s">
        <v>37</v>
      </c>
      <c r="G51" s="30" t="s">
        <v>205</v>
      </c>
      <c r="H51" s="41"/>
      <c r="I51" s="42"/>
      <c r="J51" s="41">
        <v>3.25</v>
      </c>
      <c r="K51" s="52">
        <f t="shared" si="0"/>
        <v>6.5</v>
      </c>
      <c r="X51" s="53">
        <v>41</v>
      </c>
      <c r="Y51" s="81" t="s">
        <v>249</v>
      </c>
      <c r="Z51" s="60">
        <v>90</v>
      </c>
      <c r="AA51" s="40" t="s">
        <v>208</v>
      </c>
      <c r="AB51" s="61">
        <v>1600</v>
      </c>
      <c r="AC51" s="61">
        <f t="shared" si="4"/>
        <v>144000</v>
      </c>
      <c r="AD51" s="61">
        <f t="shared" si="5"/>
        <v>27360</v>
      </c>
      <c r="AE51" s="98">
        <f t="shared" si="6"/>
        <v>171360</v>
      </c>
    </row>
    <row r="52" spans="2:31" ht="15" customHeight="1" x14ac:dyDescent="0.25">
      <c r="B52" s="43">
        <v>42</v>
      </c>
      <c r="C52" s="166" t="s">
        <v>102</v>
      </c>
      <c r="D52" s="166"/>
      <c r="E52" s="40">
        <v>2</v>
      </c>
      <c r="F52" s="40" t="s">
        <v>37</v>
      </c>
      <c r="G52" s="30" t="s">
        <v>205</v>
      </c>
      <c r="H52" s="41"/>
      <c r="I52" s="42"/>
      <c r="J52" s="41">
        <v>4.3</v>
      </c>
      <c r="K52" s="52">
        <f t="shared" si="0"/>
        <v>8.6</v>
      </c>
      <c r="X52" s="53">
        <v>42</v>
      </c>
      <c r="Y52" s="81" t="s">
        <v>241</v>
      </c>
      <c r="Z52" s="60">
        <v>165</v>
      </c>
      <c r="AA52" s="40" t="s">
        <v>208</v>
      </c>
      <c r="AB52" s="61">
        <v>137</v>
      </c>
      <c r="AC52" s="61">
        <f t="shared" si="4"/>
        <v>22605</v>
      </c>
      <c r="AD52" s="61">
        <f t="shared" si="5"/>
        <v>4294.95</v>
      </c>
      <c r="AE52" s="98">
        <f t="shared" si="6"/>
        <v>26899.95</v>
      </c>
    </row>
    <row r="53" spans="2:31" ht="15" customHeight="1" x14ac:dyDescent="0.25">
      <c r="B53" s="43">
        <v>43</v>
      </c>
      <c r="C53" s="166" t="s">
        <v>103</v>
      </c>
      <c r="D53" s="166"/>
      <c r="E53" s="40">
        <v>2</v>
      </c>
      <c r="F53" s="40" t="s">
        <v>37</v>
      </c>
      <c r="G53" s="30" t="s">
        <v>205</v>
      </c>
      <c r="H53" s="41"/>
      <c r="I53" s="42"/>
      <c r="J53" s="41">
        <v>3.7</v>
      </c>
      <c r="K53" s="52">
        <f t="shared" si="0"/>
        <v>7.4</v>
      </c>
      <c r="X53" s="53">
        <v>43</v>
      </c>
      <c r="Y53" s="81" t="s">
        <v>242</v>
      </c>
      <c r="Z53" s="60">
        <v>82</v>
      </c>
      <c r="AA53" s="40" t="s">
        <v>208</v>
      </c>
      <c r="AB53" s="61">
        <v>6250</v>
      </c>
      <c r="AC53" s="61">
        <f t="shared" si="4"/>
        <v>512500</v>
      </c>
      <c r="AD53" s="61">
        <f t="shared" si="5"/>
        <v>97375</v>
      </c>
      <c r="AE53" s="98">
        <f t="shared" si="6"/>
        <v>609875</v>
      </c>
    </row>
    <row r="54" spans="2:31" ht="15" customHeight="1" x14ac:dyDescent="0.25">
      <c r="B54" s="43">
        <v>44</v>
      </c>
      <c r="C54" s="166" t="s">
        <v>47</v>
      </c>
      <c r="D54" s="166"/>
      <c r="E54" s="40">
        <v>2</v>
      </c>
      <c r="F54" s="40" t="s">
        <v>37</v>
      </c>
      <c r="G54" s="30" t="s">
        <v>205</v>
      </c>
      <c r="H54" s="41"/>
      <c r="I54" s="42"/>
      <c r="J54" s="41">
        <v>6</v>
      </c>
      <c r="K54" s="52">
        <f t="shared" si="0"/>
        <v>12</v>
      </c>
      <c r="X54" s="53">
        <v>44</v>
      </c>
      <c r="Y54" s="81" t="s">
        <v>243</v>
      </c>
      <c r="Z54" s="60">
        <v>2</v>
      </c>
      <c r="AA54" s="40" t="s">
        <v>208</v>
      </c>
      <c r="AB54" s="61">
        <v>96639</v>
      </c>
      <c r="AC54" s="61">
        <f t="shared" si="4"/>
        <v>193278</v>
      </c>
      <c r="AD54" s="61">
        <f t="shared" si="5"/>
        <v>36722.82</v>
      </c>
      <c r="AE54" s="98">
        <f t="shared" si="6"/>
        <v>230000.82</v>
      </c>
    </row>
    <row r="55" spans="2:31" ht="15" customHeight="1" x14ac:dyDescent="0.25">
      <c r="B55" s="50">
        <v>45</v>
      </c>
      <c r="C55" s="166" t="s">
        <v>104</v>
      </c>
      <c r="D55" s="166"/>
      <c r="E55" s="40">
        <v>2</v>
      </c>
      <c r="F55" s="40" t="s">
        <v>37</v>
      </c>
      <c r="G55" s="30" t="s">
        <v>205</v>
      </c>
      <c r="H55" s="41"/>
      <c r="I55" s="42"/>
      <c r="J55" s="41">
        <v>4.4000000000000004</v>
      </c>
      <c r="K55" s="52">
        <f t="shared" si="0"/>
        <v>8.8000000000000007</v>
      </c>
      <c r="X55" s="53">
        <v>45</v>
      </c>
      <c r="Y55" s="87" t="s">
        <v>244</v>
      </c>
      <c r="Z55" s="60">
        <v>9</v>
      </c>
      <c r="AA55" s="40" t="s">
        <v>208</v>
      </c>
      <c r="AB55" s="61">
        <v>16929</v>
      </c>
      <c r="AC55" s="61">
        <f t="shared" si="4"/>
        <v>152361</v>
      </c>
      <c r="AD55" s="61">
        <f t="shared" si="5"/>
        <v>28948.59</v>
      </c>
      <c r="AE55" s="98">
        <f t="shared" si="6"/>
        <v>181309.59</v>
      </c>
    </row>
    <row r="56" spans="2:31" ht="15" customHeight="1" x14ac:dyDescent="0.25">
      <c r="B56" s="43">
        <v>46</v>
      </c>
      <c r="C56" s="166" t="s">
        <v>105</v>
      </c>
      <c r="D56" s="166"/>
      <c r="E56" s="40">
        <v>4</v>
      </c>
      <c r="F56" s="40" t="s">
        <v>106</v>
      </c>
      <c r="G56" s="30" t="s">
        <v>205</v>
      </c>
      <c r="H56" s="41"/>
      <c r="I56" s="42"/>
      <c r="J56" s="41">
        <v>4.3</v>
      </c>
      <c r="K56" s="52">
        <f t="shared" si="0"/>
        <v>17.2</v>
      </c>
      <c r="X56" s="53">
        <v>46</v>
      </c>
      <c r="Y56" s="87" t="s">
        <v>245</v>
      </c>
      <c r="Z56" s="60">
        <v>7</v>
      </c>
      <c r="AA56" s="40" t="s">
        <v>208</v>
      </c>
      <c r="AB56" s="61">
        <v>37238</v>
      </c>
      <c r="AC56" s="61">
        <f t="shared" si="4"/>
        <v>260666</v>
      </c>
      <c r="AD56" s="61">
        <f t="shared" si="5"/>
        <v>49526.54</v>
      </c>
      <c r="AE56" s="98">
        <f t="shared" si="6"/>
        <v>310192.53999999998</v>
      </c>
    </row>
    <row r="57" spans="2:31" ht="15" customHeight="1" x14ac:dyDescent="0.25">
      <c r="B57" s="43">
        <v>47</v>
      </c>
      <c r="C57" s="166" t="s">
        <v>107</v>
      </c>
      <c r="D57" s="166"/>
      <c r="E57" s="40">
        <v>4</v>
      </c>
      <c r="F57" s="40" t="s">
        <v>106</v>
      </c>
      <c r="G57" s="30" t="s">
        <v>205</v>
      </c>
      <c r="H57" s="41"/>
      <c r="I57" s="42"/>
      <c r="J57" s="41">
        <v>3.7</v>
      </c>
      <c r="K57" s="52">
        <f t="shared" si="0"/>
        <v>14.8</v>
      </c>
      <c r="X57" s="53">
        <v>47</v>
      </c>
      <c r="Y57" s="87" t="s">
        <v>246</v>
      </c>
      <c r="Z57" s="60">
        <v>44</v>
      </c>
      <c r="AA57" s="40" t="s">
        <v>208</v>
      </c>
      <c r="AB57" s="61">
        <v>311</v>
      </c>
      <c r="AC57" s="61">
        <f t="shared" si="4"/>
        <v>13684</v>
      </c>
      <c r="AD57" s="61">
        <f t="shared" si="5"/>
        <v>2599.96</v>
      </c>
      <c r="AE57" s="98">
        <f t="shared" si="6"/>
        <v>16283.96</v>
      </c>
    </row>
    <row r="58" spans="2:31" ht="15" customHeight="1" x14ac:dyDescent="0.25">
      <c r="B58" s="43">
        <v>48</v>
      </c>
      <c r="C58" s="166" t="s">
        <v>108</v>
      </c>
      <c r="D58" s="166"/>
      <c r="E58" s="40">
        <v>4</v>
      </c>
      <c r="F58" s="40" t="s">
        <v>106</v>
      </c>
      <c r="G58" s="30" t="s">
        <v>205</v>
      </c>
      <c r="H58" s="41"/>
      <c r="I58" s="42"/>
      <c r="J58" s="41">
        <v>4.4000000000000004</v>
      </c>
      <c r="K58" s="52">
        <f t="shared" si="0"/>
        <v>17.600000000000001</v>
      </c>
      <c r="X58" s="53">
        <v>48</v>
      </c>
      <c r="Y58" s="87" t="s">
        <v>247</v>
      </c>
      <c r="Z58" s="60">
        <v>1</v>
      </c>
      <c r="AA58" s="40" t="s">
        <v>208</v>
      </c>
      <c r="AB58" s="61">
        <v>75000</v>
      </c>
      <c r="AC58" s="61">
        <f t="shared" si="4"/>
        <v>75000</v>
      </c>
      <c r="AD58" s="61">
        <f t="shared" si="5"/>
        <v>14250</v>
      </c>
      <c r="AE58" s="98">
        <f t="shared" si="6"/>
        <v>89250</v>
      </c>
    </row>
    <row r="59" spans="2:31" ht="15" customHeight="1" x14ac:dyDescent="0.25">
      <c r="B59" s="50">
        <v>49</v>
      </c>
      <c r="C59" s="166" t="s">
        <v>109</v>
      </c>
      <c r="D59" s="166"/>
      <c r="E59" s="40">
        <v>27</v>
      </c>
      <c r="F59" s="40" t="s">
        <v>106</v>
      </c>
      <c r="G59" s="30" t="s">
        <v>205</v>
      </c>
      <c r="H59" s="41"/>
      <c r="I59" s="42"/>
      <c r="J59" s="41">
        <v>2.15</v>
      </c>
      <c r="K59" s="52">
        <f t="shared" si="0"/>
        <v>58.05</v>
      </c>
      <c r="X59" s="53">
        <v>49</v>
      </c>
      <c r="Y59" s="83" t="s">
        <v>253</v>
      </c>
      <c r="Z59" s="71">
        <v>895</v>
      </c>
      <c r="AA59" s="40" t="s">
        <v>208</v>
      </c>
      <c r="AB59" s="61">
        <v>1300</v>
      </c>
      <c r="AC59" s="61">
        <f t="shared" si="4"/>
        <v>1163500</v>
      </c>
      <c r="AD59" s="61">
        <f t="shared" si="5"/>
        <v>221065</v>
      </c>
      <c r="AE59" s="98">
        <f t="shared" si="6"/>
        <v>1384565</v>
      </c>
    </row>
    <row r="60" spans="2:31" ht="15" customHeight="1" x14ac:dyDescent="0.25">
      <c r="B60" s="43">
        <v>50</v>
      </c>
      <c r="C60" s="166" t="s">
        <v>110</v>
      </c>
      <c r="D60" s="166"/>
      <c r="E60" s="40">
        <v>27</v>
      </c>
      <c r="F60" s="40" t="s">
        <v>106</v>
      </c>
      <c r="G60" s="30" t="s">
        <v>205</v>
      </c>
      <c r="H60" s="41"/>
      <c r="I60" s="42"/>
      <c r="J60" s="41">
        <v>2</v>
      </c>
      <c r="K60" s="52">
        <f t="shared" si="0"/>
        <v>54</v>
      </c>
      <c r="X60" s="53">
        <v>50</v>
      </c>
      <c r="Y60" s="83" t="s">
        <v>254</v>
      </c>
      <c r="Z60" s="71">
        <v>2</v>
      </c>
      <c r="AA60" s="40" t="s">
        <v>208</v>
      </c>
      <c r="AB60" s="61">
        <v>109600</v>
      </c>
      <c r="AC60" s="61">
        <f t="shared" ref="AC60:AC105" si="12">AB60*Z60</f>
        <v>219200</v>
      </c>
      <c r="AD60" s="61">
        <f t="shared" si="5"/>
        <v>41648</v>
      </c>
      <c r="AE60" s="98">
        <f t="shared" ref="AE60:AE105" si="13">SUM(AC60:AD60)</f>
        <v>260848</v>
      </c>
    </row>
    <row r="61" spans="2:31" ht="15" customHeight="1" x14ac:dyDescent="0.25">
      <c r="B61" s="43">
        <v>51</v>
      </c>
      <c r="C61" s="166" t="s">
        <v>111</v>
      </c>
      <c r="D61" s="166"/>
      <c r="E61" s="40">
        <v>27</v>
      </c>
      <c r="F61" s="40" t="s">
        <v>106</v>
      </c>
      <c r="G61" s="30" t="s">
        <v>205</v>
      </c>
      <c r="H61" s="41"/>
      <c r="I61" s="42"/>
      <c r="J61" s="41">
        <v>1.25</v>
      </c>
      <c r="K61" s="52">
        <f t="shared" si="0"/>
        <v>33.75</v>
      </c>
      <c r="X61" s="53">
        <v>51</v>
      </c>
      <c r="Y61" s="83" t="s">
        <v>255</v>
      </c>
      <c r="Z61" s="71">
        <v>4</v>
      </c>
      <c r="AA61" s="40" t="s">
        <v>208</v>
      </c>
      <c r="AB61" s="72">
        <v>35421</v>
      </c>
      <c r="AC61" s="72">
        <f t="shared" si="12"/>
        <v>141684</v>
      </c>
      <c r="AD61" s="72">
        <f t="shared" si="5"/>
        <v>26919.96</v>
      </c>
      <c r="AE61" s="99">
        <f t="shared" si="13"/>
        <v>168603.96</v>
      </c>
    </row>
    <row r="62" spans="2:31" ht="15" customHeight="1" x14ac:dyDescent="0.25">
      <c r="B62" s="43">
        <v>52</v>
      </c>
      <c r="C62" s="166" t="s">
        <v>112</v>
      </c>
      <c r="D62" s="166"/>
      <c r="E62" s="40">
        <v>24</v>
      </c>
      <c r="F62" s="40" t="s">
        <v>106</v>
      </c>
      <c r="G62" s="30" t="s">
        <v>205</v>
      </c>
      <c r="H62" s="41"/>
      <c r="I62" s="42"/>
      <c r="J62" s="41">
        <v>0.75</v>
      </c>
      <c r="K62" s="52">
        <f t="shared" si="0"/>
        <v>18</v>
      </c>
      <c r="X62" s="53">
        <v>52</v>
      </c>
      <c r="Y62" s="83" t="s">
        <v>256</v>
      </c>
      <c r="Z62" s="71">
        <v>4</v>
      </c>
      <c r="AA62" s="40" t="s">
        <v>208</v>
      </c>
      <c r="AB62" s="61">
        <v>53638</v>
      </c>
      <c r="AC62" s="61">
        <f t="shared" si="12"/>
        <v>214552</v>
      </c>
      <c r="AD62" s="61">
        <f t="shared" si="5"/>
        <v>40764.879999999997</v>
      </c>
      <c r="AE62" s="98">
        <f t="shared" si="13"/>
        <v>255316.88</v>
      </c>
    </row>
    <row r="63" spans="2:31" ht="15" customHeight="1" x14ac:dyDescent="0.25">
      <c r="B63" s="50">
        <v>53</v>
      </c>
      <c r="C63" s="166" t="s">
        <v>113</v>
      </c>
      <c r="D63" s="166"/>
      <c r="E63" s="40">
        <v>6</v>
      </c>
      <c r="F63" s="40" t="s">
        <v>106</v>
      </c>
      <c r="G63" s="30" t="s">
        <v>205</v>
      </c>
      <c r="H63" s="41"/>
      <c r="I63" s="42"/>
      <c r="J63" s="41">
        <v>1.2</v>
      </c>
      <c r="K63" s="52">
        <f t="shared" si="0"/>
        <v>7.1999999999999993</v>
      </c>
      <c r="X63" s="53">
        <v>53</v>
      </c>
      <c r="Y63" s="83" t="s">
        <v>257</v>
      </c>
      <c r="Z63" s="71">
        <v>1</v>
      </c>
      <c r="AA63" s="40" t="s">
        <v>208</v>
      </c>
      <c r="AB63" s="72">
        <v>2100</v>
      </c>
      <c r="AC63" s="72">
        <f t="shared" si="12"/>
        <v>2100</v>
      </c>
      <c r="AD63" s="72">
        <f t="shared" si="5"/>
        <v>399</v>
      </c>
      <c r="AE63" s="99">
        <f t="shared" si="13"/>
        <v>2499</v>
      </c>
    </row>
    <row r="64" spans="2:31" ht="15" customHeight="1" x14ac:dyDescent="0.25">
      <c r="B64" s="43">
        <v>54</v>
      </c>
      <c r="C64" s="166" t="s">
        <v>114</v>
      </c>
      <c r="D64" s="166"/>
      <c r="E64" s="40">
        <v>6</v>
      </c>
      <c r="F64" s="40" t="s">
        <v>106</v>
      </c>
      <c r="G64" s="30" t="s">
        <v>205</v>
      </c>
      <c r="H64" s="41"/>
      <c r="I64" s="42"/>
      <c r="J64" s="41">
        <v>1.4</v>
      </c>
      <c r="K64" s="52">
        <f t="shared" si="0"/>
        <v>8.3999999999999986</v>
      </c>
      <c r="X64" s="53">
        <v>54</v>
      </c>
      <c r="Y64" s="83" t="s">
        <v>258</v>
      </c>
      <c r="Z64" s="71">
        <v>8</v>
      </c>
      <c r="AA64" s="40" t="s">
        <v>208</v>
      </c>
      <c r="AB64" s="61">
        <v>52.94</v>
      </c>
      <c r="AC64" s="61">
        <f t="shared" si="12"/>
        <v>423.52</v>
      </c>
      <c r="AD64" s="61">
        <f t="shared" si="5"/>
        <v>80.468800000000002</v>
      </c>
      <c r="AE64" s="98">
        <f t="shared" si="13"/>
        <v>503.98879999999997</v>
      </c>
    </row>
    <row r="65" spans="2:31" ht="15" customHeight="1" x14ac:dyDescent="0.25">
      <c r="B65" s="43">
        <v>55</v>
      </c>
      <c r="C65" s="166" t="s">
        <v>115</v>
      </c>
      <c r="D65" s="166"/>
      <c r="E65" s="40">
        <v>9</v>
      </c>
      <c r="F65" s="40" t="s">
        <v>106</v>
      </c>
      <c r="G65" s="30" t="s">
        <v>205</v>
      </c>
      <c r="H65" s="41"/>
      <c r="I65" s="42"/>
      <c r="J65" s="41">
        <v>1.7</v>
      </c>
      <c r="K65" s="52">
        <f t="shared" si="0"/>
        <v>15.299999999999999</v>
      </c>
      <c r="X65" s="53">
        <v>55</v>
      </c>
      <c r="Y65" s="83" t="s">
        <v>259</v>
      </c>
      <c r="Z65" s="71">
        <v>24</v>
      </c>
      <c r="AA65" s="40" t="s">
        <v>208</v>
      </c>
      <c r="AB65" s="72">
        <v>1300</v>
      </c>
      <c r="AC65" s="72">
        <f t="shared" si="12"/>
        <v>31200</v>
      </c>
      <c r="AD65" s="72">
        <f t="shared" si="5"/>
        <v>5928</v>
      </c>
      <c r="AE65" s="99">
        <f t="shared" si="13"/>
        <v>37128</v>
      </c>
    </row>
    <row r="66" spans="2:31" ht="15" customHeight="1" x14ac:dyDescent="0.25">
      <c r="B66" s="43">
        <v>56</v>
      </c>
      <c r="C66" s="166" t="s">
        <v>116</v>
      </c>
      <c r="D66" s="166"/>
      <c r="E66" s="40">
        <v>9</v>
      </c>
      <c r="F66" s="40" t="s">
        <v>106</v>
      </c>
      <c r="G66" s="30" t="s">
        <v>205</v>
      </c>
      <c r="H66" s="41"/>
      <c r="I66" s="42"/>
      <c r="J66" s="41">
        <v>1.35</v>
      </c>
      <c r="K66" s="52">
        <f t="shared" si="0"/>
        <v>12.15</v>
      </c>
      <c r="X66" s="53">
        <v>56</v>
      </c>
      <c r="Y66" s="83" t="s">
        <v>355</v>
      </c>
      <c r="Z66" s="71">
        <v>7</v>
      </c>
      <c r="AA66" s="40" t="s">
        <v>208</v>
      </c>
      <c r="AB66" s="61">
        <v>650</v>
      </c>
      <c r="AC66" s="61">
        <f t="shared" si="12"/>
        <v>4550</v>
      </c>
      <c r="AD66" s="61">
        <f t="shared" si="5"/>
        <v>864.5</v>
      </c>
      <c r="AE66" s="98">
        <f t="shared" si="13"/>
        <v>5414.5</v>
      </c>
    </row>
    <row r="67" spans="2:31" ht="15" customHeight="1" x14ac:dyDescent="0.25">
      <c r="B67" s="50">
        <v>57</v>
      </c>
      <c r="C67" s="166" t="s">
        <v>109</v>
      </c>
      <c r="D67" s="166"/>
      <c r="E67" s="40">
        <v>9</v>
      </c>
      <c r="F67" s="40" t="s">
        <v>106</v>
      </c>
      <c r="G67" s="30" t="s">
        <v>205</v>
      </c>
      <c r="H67" s="41"/>
      <c r="I67" s="42"/>
      <c r="J67" s="41">
        <v>2.15</v>
      </c>
      <c r="K67" s="52">
        <f t="shared" si="0"/>
        <v>19.349999999999998</v>
      </c>
      <c r="X67" s="53">
        <v>57</v>
      </c>
      <c r="Y67" s="83" t="s">
        <v>260</v>
      </c>
      <c r="Z67" s="71">
        <v>21</v>
      </c>
      <c r="AA67" s="40" t="s">
        <v>208</v>
      </c>
      <c r="AB67" s="72">
        <v>4100</v>
      </c>
      <c r="AC67" s="72">
        <f t="shared" si="12"/>
        <v>86100</v>
      </c>
      <c r="AD67" s="72">
        <f t="shared" si="5"/>
        <v>16359</v>
      </c>
      <c r="AE67" s="99">
        <f t="shared" si="13"/>
        <v>102459</v>
      </c>
    </row>
    <row r="68" spans="2:31" ht="15" customHeight="1" x14ac:dyDescent="0.25">
      <c r="B68" s="43">
        <v>58</v>
      </c>
      <c r="C68" s="166" t="s">
        <v>117</v>
      </c>
      <c r="D68" s="166"/>
      <c r="E68" s="40">
        <v>8</v>
      </c>
      <c r="F68" s="40" t="s">
        <v>106</v>
      </c>
      <c r="G68" s="30" t="s">
        <v>205</v>
      </c>
      <c r="H68" s="41"/>
      <c r="I68" s="42"/>
      <c r="J68" s="41">
        <v>4</v>
      </c>
      <c r="K68" s="52">
        <f t="shared" si="0"/>
        <v>32</v>
      </c>
      <c r="X68" s="53">
        <v>58</v>
      </c>
      <c r="Y68" s="83" t="s">
        <v>261</v>
      </c>
      <c r="Z68" s="71">
        <v>60</v>
      </c>
      <c r="AA68" s="40" t="s">
        <v>208</v>
      </c>
      <c r="AB68" s="61">
        <v>950</v>
      </c>
      <c r="AC68" s="61">
        <f t="shared" si="12"/>
        <v>57000</v>
      </c>
      <c r="AD68" s="61">
        <f t="shared" si="5"/>
        <v>10830</v>
      </c>
      <c r="AE68" s="98">
        <f t="shared" si="13"/>
        <v>67830</v>
      </c>
    </row>
    <row r="69" spans="2:31" ht="15" customHeight="1" x14ac:dyDescent="0.25">
      <c r="B69" s="43">
        <v>59</v>
      </c>
      <c r="C69" s="166" t="s">
        <v>118</v>
      </c>
      <c r="D69" s="166"/>
      <c r="E69" s="40">
        <v>2</v>
      </c>
      <c r="F69" s="40" t="s">
        <v>106</v>
      </c>
      <c r="G69" s="30" t="s">
        <v>205</v>
      </c>
      <c r="H69" s="41"/>
      <c r="I69" s="42"/>
      <c r="J69" s="41">
        <v>5.3</v>
      </c>
      <c r="K69" s="52">
        <f t="shared" si="0"/>
        <v>10.6</v>
      </c>
      <c r="X69" s="53">
        <v>59</v>
      </c>
      <c r="Y69" s="83" t="s">
        <v>262</v>
      </c>
      <c r="Z69" s="71">
        <v>120</v>
      </c>
      <c r="AA69" s="40" t="s">
        <v>208</v>
      </c>
      <c r="AB69" s="72">
        <v>4900</v>
      </c>
      <c r="AC69" s="72">
        <f t="shared" si="12"/>
        <v>588000</v>
      </c>
      <c r="AD69" s="72">
        <f t="shared" si="5"/>
        <v>111720</v>
      </c>
      <c r="AE69" s="99">
        <f t="shared" si="13"/>
        <v>699720</v>
      </c>
    </row>
    <row r="70" spans="2:31" ht="15" customHeight="1" x14ac:dyDescent="0.25">
      <c r="B70" s="43">
        <v>60</v>
      </c>
      <c r="C70" s="166" t="s">
        <v>119</v>
      </c>
      <c r="D70" s="166"/>
      <c r="E70" s="40">
        <v>2</v>
      </c>
      <c r="F70" s="40" t="s">
        <v>106</v>
      </c>
      <c r="G70" s="30" t="s">
        <v>205</v>
      </c>
      <c r="H70" s="41"/>
      <c r="I70" s="42"/>
      <c r="J70" s="41">
        <v>5.5</v>
      </c>
      <c r="K70" s="52">
        <f t="shared" si="0"/>
        <v>11</v>
      </c>
      <c r="X70" s="53">
        <v>60</v>
      </c>
      <c r="Y70" s="83" t="s">
        <v>263</v>
      </c>
      <c r="Z70" s="71">
        <v>50</v>
      </c>
      <c r="AA70" s="40" t="s">
        <v>208</v>
      </c>
      <c r="AB70" s="61">
        <v>2138</v>
      </c>
      <c r="AC70" s="61">
        <f t="shared" si="12"/>
        <v>106900</v>
      </c>
      <c r="AD70" s="61">
        <f t="shared" si="5"/>
        <v>20311</v>
      </c>
      <c r="AE70" s="98">
        <f t="shared" si="13"/>
        <v>127211</v>
      </c>
    </row>
    <row r="71" spans="2:31" ht="15" customHeight="1" x14ac:dyDescent="0.25">
      <c r="B71" s="50">
        <v>61</v>
      </c>
      <c r="C71" s="166" t="s">
        <v>120</v>
      </c>
      <c r="D71" s="166"/>
      <c r="E71" s="40">
        <v>4</v>
      </c>
      <c r="F71" s="40" t="s">
        <v>106</v>
      </c>
      <c r="G71" s="30" t="s">
        <v>205</v>
      </c>
      <c r="H71" s="41"/>
      <c r="I71" s="42"/>
      <c r="J71" s="41">
        <v>1.4</v>
      </c>
      <c r="K71" s="52">
        <f t="shared" si="0"/>
        <v>5.6</v>
      </c>
      <c r="X71" s="53">
        <v>61</v>
      </c>
      <c r="Y71" s="83" t="s">
        <v>264</v>
      </c>
      <c r="Z71" s="71">
        <v>1</v>
      </c>
      <c r="AA71" s="40" t="s">
        <v>208</v>
      </c>
      <c r="AB71" s="72">
        <v>63300</v>
      </c>
      <c r="AC71" s="72">
        <f t="shared" si="12"/>
        <v>63300</v>
      </c>
      <c r="AD71" s="72">
        <f t="shared" si="5"/>
        <v>12027</v>
      </c>
      <c r="AE71" s="99">
        <f t="shared" si="13"/>
        <v>75327</v>
      </c>
    </row>
    <row r="72" spans="2:31" ht="15" customHeight="1" x14ac:dyDescent="0.25">
      <c r="B72" s="43">
        <v>62</v>
      </c>
      <c r="C72" s="166" t="s">
        <v>51</v>
      </c>
      <c r="D72" s="166"/>
      <c r="E72" s="40">
        <v>1</v>
      </c>
      <c r="F72" s="40" t="s">
        <v>106</v>
      </c>
      <c r="G72" s="30" t="s">
        <v>205</v>
      </c>
      <c r="H72" s="41"/>
      <c r="I72" s="42"/>
      <c r="J72" s="41">
        <v>6</v>
      </c>
      <c r="K72" s="52">
        <f t="shared" si="0"/>
        <v>6</v>
      </c>
      <c r="X72" s="53">
        <v>62</v>
      </c>
      <c r="Y72" s="83" t="s">
        <v>265</v>
      </c>
      <c r="Z72" s="71">
        <v>20</v>
      </c>
      <c r="AA72" s="40" t="s">
        <v>208</v>
      </c>
      <c r="AB72" s="61">
        <v>3100</v>
      </c>
      <c r="AC72" s="61">
        <f t="shared" si="12"/>
        <v>62000</v>
      </c>
      <c r="AD72" s="61">
        <f t="shared" si="5"/>
        <v>11780</v>
      </c>
      <c r="AE72" s="98">
        <f t="shared" si="13"/>
        <v>73780</v>
      </c>
    </row>
    <row r="73" spans="2:31" ht="15" customHeight="1" x14ac:dyDescent="0.25">
      <c r="B73" s="43">
        <v>63</v>
      </c>
      <c r="C73" s="166" t="s">
        <v>121</v>
      </c>
      <c r="D73" s="166"/>
      <c r="E73" s="40">
        <v>2</v>
      </c>
      <c r="F73" s="40" t="s">
        <v>106</v>
      </c>
      <c r="G73" s="30" t="s">
        <v>205</v>
      </c>
      <c r="H73" s="41"/>
      <c r="I73" s="42"/>
      <c r="J73" s="41">
        <v>4.8</v>
      </c>
      <c r="K73" s="52">
        <f t="shared" si="0"/>
        <v>9.6</v>
      </c>
      <c r="X73" s="53">
        <v>63</v>
      </c>
      <c r="Y73" s="83" t="s">
        <v>266</v>
      </c>
      <c r="Z73" s="71">
        <v>4</v>
      </c>
      <c r="AA73" s="40" t="s">
        <v>208</v>
      </c>
      <c r="AB73" s="72">
        <v>3200</v>
      </c>
      <c r="AC73" s="72">
        <f t="shared" si="12"/>
        <v>12800</v>
      </c>
      <c r="AD73" s="72">
        <f t="shared" si="5"/>
        <v>2432</v>
      </c>
      <c r="AE73" s="99">
        <f t="shared" si="13"/>
        <v>15232</v>
      </c>
    </row>
    <row r="74" spans="2:31" ht="15" customHeight="1" x14ac:dyDescent="0.25">
      <c r="B74" s="43">
        <v>64</v>
      </c>
      <c r="C74" s="166" t="s">
        <v>122</v>
      </c>
      <c r="D74" s="166"/>
      <c r="E74" s="40">
        <v>2</v>
      </c>
      <c r="F74" s="40" t="s">
        <v>123</v>
      </c>
      <c r="G74" s="30" t="s">
        <v>205</v>
      </c>
      <c r="H74" s="41">
        <f>0.57*0.27</f>
        <v>0.15390000000000001</v>
      </c>
      <c r="I74" s="42">
        <f>H74*E74</f>
        <v>0.30780000000000002</v>
      </c>
      <c r="J74" s="41"/>
      <c r="K74" s="52"/>
      <c r="X74" s="53">
        <v>64</v>
      </c>
      <c r="Y74" s="83" t="s">
        <v>267</v>
      </c>
      <c r="Z74" s="71">
        <v>26</v>
      </c>
      <c r="AA74" s="40" t="s">
        <v>208</v>
      </c>
      <c r="AB74" s="61">
        <v>1100</v>
      </c>
      <c r="AC74" s="61">
        <f t="shared" si="12"/>
        <v>28600</v>
      </c>
      <c r="AD74" s="61">
        <f t="shared" si="5"/>
        <v>5434</v>
      </c>
      <c r="AE74" s="98">
        <f t="shared" si="13"/>
        <v>34034</v>
      </c>
    </row>
    <row r="75" spans="2:31" ht="15" customHeight="1" x14ac:dyDescent="0.25">
      <c r="B75" s="50">
        <v>65</v>
      </c>
      <c r="C75" s="166" t="s">
        <v>124</v>
      </c>
      <c r="D75" s="166"/>
      <c r="E75" s="40">
        <v>4</v>
      </c>
      <c r="F75" s="40" t="s">
        <v>123</v>
      </c>
      <c r="G75" s="30" t="s">
        <v>205</v>
      </c>
      <c r="H75" s="41">
        <f>0.32*0.37</f>
        <v>0.11840000000000001</v>
      </c>
      <c r="I75" s="42">
        <f t="shared" ref="I75:I88" si="14">H75*E75</f>
        <v>0.47360000000000002</v>
      </c>
      <c r="J75" s="41"/>
      <c r="K75" s="52"/>
      <c r="X75" s="53">
        <v>65</v>
      </c>
      <c r="Y75" s="83" t="s">
        <v>268</v>
      </c>
      <c r="Z75" s="71">
        <v>21.5</v>
      </c>
      <c r="AA75" s="40" t="s">
        <v>208</v>
      </c>
      <c r="AB75" s="72">
        <v>30000</v>
      </c>
      <c r="AC75" s="72">
        <f t="shared" si="12"/>
        <v>645000</v>
      </c>
      <c r="AD75" s="72">
        <f t="shared" si="5"/>
        <v>122550</v>
      </c>
      <c r="AE75" s="99">
        <f t="shared" si="13"/>
        <v>767550</v>
      </c>
    </row>
    <row r="76" spans="2:31" ht="15" customHeight="1" x14ac:dyDescent="0.25">
      <c r="B76" s="43">
        <v>66</v>
      </c>
      <c r="C76" s="166" t="s">
        <v>125</v>
      </c>
      <c r="D76" s="166"/>
      <c r="E76" s="40">
        <v>2</v>
      </c>
      <c r="F76" s="40" t="s">
        <v>123</v>
      </c>
      <c r="G76" s="30" t="s">
        <v>205</v>
      </c>
      <c r="H76" s="41">
        <f>0.28*0.37</f>
        <v>0.10360000000000001</v>
      </c>
      <c r="I76" s="42">
        <f t="shared" si="14"/>
        <v>0.20720000000000002</v>
      </c>
      <c r="J76" s="41"/>
      <c r="K76" s="52"/>
      <c r="X76" s="53">
        <v>66</v>
      </c>
      <c r="Y76" s="83" t="s">
        <v>269</v>
      </c>
      <c r="Z76" s="71">
        <v>3</v>
      </c>
      <c r="AA76" s="40" t="s">
        <v>208</v>
      </c>
      <c r="AB76" s="61">
        <v>5000</v>
      </c>
      <c r="AC76" s="61">
        <f t="shared" si="12"/>
        <v>15000</v>
      </c>
      <c r="AD76" s="61">
        <f t="shared" si="5"/>
        <v>2850</v>
      </c>
      <c r="AE76" s="98">
        <f t="shared" si="13"/>
        <v>17850</v>
      </c>
    </row>
    <row r="77" spans="2:31" ht="15" customHeight="1" x14ac:dyDescent="0.25">
      <c r="B77" s="43">
        <v>67</v>
      </c>
      <c r="C77" s="166" t="s">
        <v>126</v>
      </c>
      <c r="D77" s="166"/>
      <c r="E77" s="40">
        <v>4</v>
      </c>
      <c r="F77" s="40" t="s">
        <v>123</v>
      </c>
      <c r="G77" s="30" t="s">
        <v>205</v>
      </c>
      <c r="H77" s="41">
        <f>0.45*0.37</f>
        <v>0.16650000000000001</v>
      </c>
      <c r="I77" s="42">
        <f t="shared" si="14"/>
        <v>0.66600000000000004</v>
      </c>
      <c r="J77" s="41"/>
      <c r="K77" s="52"/>
      <c r="X77" s="53">
        <v>67</v>
      </c>
      <c r="Y77" s="83" t="s">
        <v>270</v>
      </c>
      <c r="Z77" s="71">
        <v>19</v>
      </c>
      <c r="AA77" s="40" t="s">
        <v>208</v>
      </c>
      <c r="AB77" s="72">
        <v>5000</v>
      </c>
      <c r="AC77" s="72">
        <f t="shared" si="12"/>
        <v>95000</v>
      </c>
      <c r="AD77" s="72">
        <f t="shared" si="5"/>
        <v>18050</v>
      </c>
      <c r="AE77" s="99">
        <f t="shared" si="13"/>
        <v>113050</v>
      </c>
    </row>
    <row r="78" spans="2:31" ht="15" customHeight="1" x14ac:dyDescent="0.25">
      <c r="B78" s="43">
        <v>68</v>
      </c>
      <c r="C78" s="166" t="s">
        <v>127</v>
      </c>
      <c r="D78" s="166"/>
      <c r="E78" s="40">
        <v>6</v>
      </c>
      <c r="F78" s="40" t="s">
        <v>123</v>
      </c>
      <c r="G78" s="30" t="s">
        <v>205</v>
      </c>
      <c r="H78" s="41">
        <f>0.45*0.57</f>
        <v>0.25650000000000001</v>
      </c>
      <c r="I78" s="42">
        <f t="shared" si="14"/>
        <v>1.5390000000000001</v>
      </c>
      <c r="J78" s="41"/>
      <c r="K78" s="52"/>
      <c r="X78" s="53">
        <v>68</v>
      </c>
      <c r="Y78" s="83" t="s">
        <v>271</v>
      </c>
      <c r="Z78" s="71">
        <v>14</v>
      </c>
      <c r="AA78" s="40" t="s">
        <v>208</v>
      </c>
      <c r="AB78" s="61">
        <v>5000</v>
      </c>
      <c r="AC78" s="61">
        <f t="shared" si="12"/>
        <v>70000</v>
      </c>
      <c r="AD78" s="61">
        <f t="shared" si="5"/>
        <v>13300</v>
      </c>
      <c r="AE78" s="98">
        <f t="shared" si="13"/>
        <v>83300</v>
      </c>
    </row>
    <row r="79" spans="2:31" ht="15" customHeight="1" x14ac:dyDescent="0.25">
      <c r="B79" s="50">
        <v>69</v>
      </c>
      <c r="C79" s="166" t="s">
        <v>128</v>
      </c>
      <c r="D79" s="166"/>
      <c r="E79" s="40">
        <v>2</v>
      </c>
      <c r="F79" s="40" t="s">
        <v>123</v>
      </c>
      <c r="G79" s="30" t="s">
        <v>205</v>
      </c>
      <c r="H79" s="41">
        <f>0.87*0.57</f>
        <v>0.49589999999999995</v>
      </c>
      <c r="I79" s="42">
        <f t="shared" si="14"/>
        <v>0.9917999999999999</v>
      </c>
      <c r="J79" s="41"/>
      <c r="K79" s="52"/>
      <c r="X79" s="53">
        <v>69</v>
      </c>
      <c r="Y79" s="83" t="s">
        <v>347</v>
      </c>
      <c r="Z79" s="71">
        <v>43</v>
      </c>
      <c r="AA79" s="40" t="s">
        <v>208</v>
      </c>
      <c r="AB79" s="72">
        <v>1400</v>
      </c>
      <c r="AC79" s="72">
        <f t="shared" si="12"/>
        <v>60200</v>
      </c>
      <c r="AD79" s="72">
        <f t="shared" ref="AD79:AD105" si="15">AC79*0.19</f>
        <v>11438</v>
      </c>
      <c r="AE79" s="99">
        <f t="shared" si="13"/>
        <v>71638</v>
      </c>
    </row>
    <row r="80" spans="2:31" ht="15" customHeight="1" x14ac:dyDescent="0.25">
      <c r="B80" s="43">
        <v>70</v>
      </c>
      <c r="C80" s="166" t="s">
        <v>129</v>
      </c>
      <c r="D80" s="166"/>
      <c r="E80" s="40">
        <v>12</v>
      </c>
      <c r="F80" s="40" t="s">
        <v>130</v>
      </c>
      <c r="G80" s="30" t="s">
        <v>205</v>
      </c>
      <c r="H80" s="41">
        <f>0.48*0.58</f>
        <v>0.27839999999999998</v>
      </c>
      <c r="I80" s="42">
        <f t="shared" si="14"/>
        <v>3.3407999999999998</v>
      </c>
      <c r="J80" s="41"/>
      <c r="K80" s="52"/>
      <c r="X80" s="53">
        <v>70</v>
      </c>
      <c r="Y80" s="83" t="s">
        <v>348</v>
      </c>
      <c r="Z80" s="71">
        <v>2</v>
      </c>
      <c r="AA80" s="40" t="s">
        <v>208</v>
      </c>
      <c r="AB80" s="61">
        <v>6500</v>
      </c>
      <c r="AC80" s="61">
        <f t="shared" si="12"/>
        <v>13000</v>
      </c>
      <c r="AD80" s="61">
        <f t="shared" si="15"/>
        <v>2470</v>
      </c>
      <c r="AE80" s="98">
        <f t="shared" si="13"/>
        <v>15470</v>
      </c>
    </row>
    <row r="81" spans="2:31" ht="15" customHeight="1" x14ac:dyDescent="0.25">
      <c r="B81" s="43">
        <v>71</v>
      </c>
      <c r="C81" s="166" t="s">
        <v>131</v>
      </c>
      <c r="D81" s="166"/>
      <c r="E81" s="40">
        <v>2</v>
      </c>
      <c r="F81" s="40" t="s">
        <v>130</v>
      </c>
      <c r="G81" s="30" t="s">
        <v>205</v>
      </c>
      <c r="H81" s="41">
        <f>0.6*0.58</f>
        <v>0.34799999999999998</v>
      </c>
      <c r="I81" s="42">
        <f t="shared" si="14"/>
        <v>0.69599999999999995</v>
      </c>
      <c r="J81" s="41"/>
      <c r="K81" s="52"/>
      <c r="X81" s="53">
        <v>71</v>
      </c>
      <c r="Y81" s="83" t="s">
        <v>272</v>
      </c>
      <c r="Z81" s="71">
        <v>2</v>
      </c>
      <c r="AA81" s="40" t="s">
        <v>208</v>
      </c>
      <c r="AB81" s="72">
        <v>12000</v>
      </c>
      <c r="AC81" s="72">
        <f t="shared" si="12"/>
        <v>24000</v>
      </c>
      <c r="AD81" s="72">
        <f t="shared" si="15"/>
        <v>4560</v>
      </c>
      <c r="AE81" s="99">
        <f t="shared" si="13"/>
        <v>28560</v>
      </c>
    </row>
    <row r="82" spans="2:31" ht="15" customHeight="1" x14ac:dyDescent="0.25">
      <c r="B82" s="43">
        <v>72</v>
      </c>
      <c r="C82" s="166" t="s">
        <v>132</v>
      </c>
      <c r="D82" s="166"/>
      <c r="E82" s="40">
        <v>2</v>
      </c>
      <c r="F82" s="40" t="s">
        <v>130</v>
      </c>
      <c r="G82" s="30" t="s">
        <v>205</v>
      </c>
      <c r="H82" s="41">
        <f>0.89*0.58</f>
        <v>0.51619999999999999</v>
      </c>
      <c r="I82" s="42">
        <f t="shared" si="14"/>
        <v>1.0324</v>
      </c>
      <c r="J82" s="41"/>
      <c r="K82" s="52"/>
      <c r="X82" s="53">
        <v>72</v>
      </c>
      <c r="Y82" s="83" t="s">
        <v>273</v>
      </c>
      <c r="Z82" s="71">
        <v>2</v>
      </c>
      <c r="AA82" s="40" t="s">
        <v>208</v>
      </c>
      <c r="AB82" s="61">
        <v>52000</v>
      </c>
      <c r="AC82" s="61">
        <f t="shared" si="12"/>
        <v>104000</v>
      </c>
      <c r="AD82" s="61">
        <f t="shared" si="15"/>
        <v>19760</v>
      </c>
      <c r="AE82" s="98">
        <f t="shared" si="13"/>
        <v>123760</v>
      </c>
    </row>
    <row r="83" spans="2:31" ht="15" customHeight="1" x14ac:dyDescent="0.25">
      <c r="B83" s="50">
        <v>73</v>
      </c>
      <c r="C83" s="166" t="s">
        <v>133</v>
      </c>
      <c r="D83" s="166"/>
      <c r="E83" s="40">
        <v>2</v>
      </c>
      <c r="F83" s="40" t="s">
        <v>130</v>
      </c>
      <c r="G83" s="30" t="s">
        <v>205</v>
      </c>
      <c r="H83" s="41">
        <f>0.32*0.3</f>
        <v>9.6000000000000002E-2</v>
      </c>
      <c r="I83" s="42">
        <f t="shared" si="14"/>
        <v>0.192</v>
      </c>
      <c r="J83" s="41"/>
      <c r="K83" s="52"/>
      <c r="X83" s="53">
        <v>73</v>
      </c>
      <c r="Y83" s="83" t="s">
        <v>274</v>
      </c>
      <c r="Z83" s="71">
        <v>20</v>
      </c>
      <c r="AA83" s="40" t="s">
        <v>208</v>
      </c>
      <c r="AB83" s="72">
        <v>22638</v>
      </c>
      <c r="AC83" s="72">
        <f t="shared" si="12"/>
        <v>452760</v>
      </c>
      <c r="AD83" s="72">
        <f t="shared" si="15"/>
        <v>86024.4</v>
      </c>
      <c r="AE83" s="99">
        <f t="shared" si="13"/>
        <v>538784.4</v>
      </c>
    </row>
    <row r="84" spans="2:31" ht="15" customHeight="1" x14ac:dyDescent="0.25">
      <c r="B84" s="43">
        <v>74</v>
      </c>
      <c r="C84" s="166" t="s">
        <v>125</v>
      </c>
      <c r="D84" s="166"/>
      <c r="E84" s="40">
        <v>1</v>
      </c>
      <c r="F84" s="40" t="s">
        <v>130</v>
      </c>
      <c r="G84" s="30" t="s">
        <v>205</v>
      </c>
      <c r="H84" s="41">
        <f>0.28*0.37</f>
        <v>0.10360000000000001</v>
      </c>
      <c r="I84" s="42">
        <f t="shared" si="14"/>
        <v>0.10360000000000001</v>
      </c>
      <c r="J84" s="41"/>
      <c r="K84" s="52"/>
      <c r="X84" s="53">
        <v>74</v>
      </c>
      <c r="Y84" s="83" t="s">
        <v>353</v>
      </c>
      <c r="Z84" s="71">
        <v>31</v>
      </c>
      <c r="AA84" s="40" t="s">
        <v>208</v>
      </c>
      <c r="AB84" s="61">
        <v>312000</v>
      </c>
      <c r="AC84" s="61">
        <f t="shared" si="12"/>
        <v>9672000</v>
      </c>
      <c r="AD84" s="61">
        <f t="shared" si="15"/>
        <v>1837680</v>
      </c>
      <c r="AE84" s="98">
        <f t="shared" si="13"/>
        <v>11509680</v>
      </c>
    </row>
    <row r="85" spans="2:31" ht="15" customHeight="1" x14ac:dyDescent="0.25">
      <c r="B85" s="43">
        <v>75</v>
      </c>
      <c r="C85" s="166" t="s">
        <v>122</v>
      </c>
      <c r="D85" s="166"/>
      <c r="E85" s="40">
        <v>1</v>
      </c>
      <c r="F85" s="40" t="s">
        <v>130</v>
      </c>
      <c r="G85" s="30" t="s">
        <v>205</v>
      </c>
      <c r="H85" s="41">
        <f>0.57*0.27</f>
        <v>0.15390000000000001</v>
      </c>
      <c r="I85" s="42">
        <f t="shared" si="14"/>
        <v>0.15390000000000001</v>
      </c>
      <c r="J85" s="41"/>
      <c r="K85" s="52"/>
      <c r="X85" s="53">
        <v>75</v>
      </c>
      <c r="Y85" s="83" t="s">
        <v>358</v>
      </c>
      <c r="Z85" s="71">
        <v>3</v>
      </c>
      <c r="AA85" s="40" t="s">
        <v>208</v>
      </c>
      <c r="AB85" s="72">
        <v>734</v>
      </c>
      <c r="AC85" s="72">
        <f t="shared" si="12"/>
        <v>2202</v>
      </c>
      <c r="AD85" s="72">
        <f t="shared" si="15"/>
        <v>418.38</v>
      </c>
      <c r="AE85" s="99">
        <f t="shared" si="13"/>
        <v>2620.38</v>
      </c>
    </row>
    <row r="86" spans="2:31" ht="15" customHeight="1" x14ac:dyDescent="0.25">
      <c r="B86" s="43">
        <v>76</v>
      </c>
      <c r="C86" s="166" t="s">
        <v>134</v>
      </c>
      <c r="D86" s="166"/>
      <c r="E86" s="40">
        <v>14</v>
      </c>
      <c r="F86" s="40" t="s">
        <v>135</v>
      </c>
      <c r="G86" s="30" t="s">
        <v>205</v>
      </c>
      <c r="H86" s="41">
        <f>1.2*0.6</f>
        <v>0.72</v>
      </c>
      <c r="I86" s="42">
        <f t="shared" si="14"/>
        <v>10.08</v>
      </c>
      <c r="J86" s="41"/>
      <c r="K86" s="52"/>
      <c r="X86" s="53">
        <v>76</v>
      </c>
      <c r="Y86" s="83" t="s">
        <v>275</v>
      </c>
      <c r="Z86" s="71">
        <v>8</v>
      </c>
      <c r="AA86" s="40" t="s">
        <v>208</v>
      </c>
      <c r="AB86" s="61">
        <v>366</v>
      </c>
      <c r="AC86" s="61">
        <f t="shared" si="12"/>
        <v>2928</v>
      </c>
      <c r="AD86" s="61">
        <f t="shared" si="15"/>
        <v>556.32000000000005</v>
      </c>
      <c r="AE86" s="98">
        <f t="shared" si="13"/>
        <v>3484.32</v>
      </c>
    </row>
    <row r="87" spans="2:31" ht="15" customHeight="1" x14ac:dyDescent="0.25">
      <c r="B87" s="50">
        <v>77</v>
      </c>
      <c r="C87" s="166" t="s">
        <v>136</v>
      </c>
      <c r="D87" s="166"/>
      <c r="E87" s="40">
        <v>10</v>
      </c>
      <c r="F87" s="40" t="s">
        <v>135</v>
      </c>
      <c r="G87" s="30" t="s">
        <v>205</v>
      </c>
      <c r="H87" s="41">
        <f>1.2*0.54</f>
        <v>0.64800000000000002</v>
      </c>
      <c r="I87" s="42">
        <f t="shared" si="14"/>
        <v>6.48</v>
      </c>
      <c r="J87" s="41"/>
      <c r="K87" s="52"/>
      <c r="X87" s="53">
        <v>77</v>
      </c>
      <c r="Y87" s="83" t="s">
        <v>276</v>
      </c>
      <c r="Z87" s="71">
        <v>3</v>
      </c>
      <c r="AA87" s="40" t="s">
        <v>208</v>
      </c>
      <c r="AB87" s="72">
        <v>200</v>
      </c>
      <c r="AC87" s="72">
        <f t="shared" si="12"/>
        <v>600</v>
      </c>
      <c r="AD87" s="72">
        <f t="shared" si="15"/>
        <v>114</v>
      </c>
      <c r="AE87" s="99">
        <f t="shared" si="13"/>
        <v>714</v>
      </c>
    </row>
    <row r="88" spans="2:31" ht="15" customHeight="1" x14ac:dyDescent="0.25">
      <c r="B88" s="43">
        <v>78</v>
      </c>
      <c r="C88" s="166" t="s">
        <v>137</v>
      </c>
      <c r="D88" s="166"/>
      <c r="E88" s="40">
        <v>4</v>
      </c>
      <c r="F88" s="40" t="s">
        <v>135</v>
      </c>
      <c r="G88" s="30" t="s">
        <v>205</v>
      </c>
      <c r="H88" s="41">
        <f>1.2*0.89</f>
        <v>1.0680000000000001</v>
      </c>
      <c r="I88" s="42">
        <f t="shared" si="14"/>
        <v>4.2720000000000002</v>
      </c>
      <c r="J88" s="41"/>
      <c r="K88" s="52"/>
      <c r="X88" s="53">
        <v>78</v>
      </c>
      <c r="Y88" s="83" t="s">
        <v>277</v>
      </c>
      <c r="Z88" s="71">
        <v>48</v>
      </c>
      <c r="AA88" s="40" t="s">
        <v>208</v>
      </c>
      <c r="AB88" s="61">
        <v>3800</v>
      </c>
      <c r="AC88" s="61">
        <f t="shared" si="12"/>
        <v>182400</v>
      </c>
      <c r="AD88" s="61">
        <f t="shared" si="15"/>
        <v>34656</v>
      </c>
      <c r="AE88" s="98">
        <f t="shared" si="13"/>
        <v>217056</v>
      </c>
    </row>
    <row r="89" spans="2:31" ht="15" customHeight="1" x14ac:dyDescent="0.25">
      <c r="B89" s="43">
        <v>79</v>
      </c>
      <c r="C89" s="166" t="s">
        <v>138</v>
      </c>
      <c r="D89" s="166"/>
      <c r="E89" s="40">
        <v>64</v>
      </c>
      <c r="F89" s="40" t="s">
        <v>139</v>
      </c>
      <c r="G89" s="30" t="s">
        <v>205</v>
      </c>
      <c r="H89" s="41">
        <f>0.3*0.3</f>
        <v>0.09</v>
      </c>
      <c r="I89" s="42">
        <f>H89*E89</f>
        <v>5.76</v>
      </c>
      <c r="J89" s="41"/>
      <c r="K89" s="52"/>
      <c r="X89" s="53">
        <v>79</v>
      </c>
      <c r="Y89" s="83" t="s">
        <v>278</v>
      </c>
      <c r="Z89" s="71">
        <v>4</v>
      </c>
      <c r="AA89" s="40" t="s">
        <v>208</v>
      </c>
      <c r="AB89" s="72">
        <v>16207</v>
      </c>
      <c r="AC89" s="72">
        <f t="shared" si="12"/>
        <v>64828</v>
      </c>
      <c r="AD89" s="72">
        <f t="shared" si="15"/>
        <v>12317.32</v>
      </c>
      <c r="AE89" s="99">
        <f t="shared" si="13"/>
        <v>77145.320000000007</v>
      </c>
    </row>
    <row r="90" spans="2:31" ht="15" customHeight="1" x14ac:dyDescent="0.25">
      <c r="B90" s="43">
        <v>80</v>
      </c>
      <c r="C90" s="166" t="s">
        <v>140</v>
      </c>
      <c r="D90" s="166"/>
      <c r="E90" s="40">
        <v>15</v>
      </c>
      <c r="F90" s="40" t="s">
        <v>139</v>
      </c>
      <c r="G90" s="30" t="s">
        <v>205</v>
      </c>
      <c r="H90" s="41">
        <f>0.42*0.35</f>
        <v>0.14699999999999999</v>
      </c>
      <c r="I90" s="42">
        <f>H90*E90</f>
        <v>2.2050000000000001</v>
      </c>
      <c r="J90" s="41"/>
      <c r="K90" s="52"/>
      <c r="X90" s="53">
        <v>80</v>
      </c>
      <c r="Y90" s="83" t="s">
        <v>311</v>
      </c>
      <c r="Z90" s="71">
        <v>35</v>
      </c>
      <c r="AA90" s="40" t="s">
        <v>208</v>
      </c>
      <c r="AB90" s="61">
        <v>1500</v>
      </c>
      <c r="AC90" s="61">
        <f t="shared" si="12"/>
        <v>52500</v>
      </c>
      <c r="AD90" s="61">
        <f t="shared" si="15"/>
        <v>9975</v>
      </c>
      <c r="AE90" s="98">
        <f t="shared" si="13"/>
        <v>62475</v>
      </c>
    </row>
    <row r="91" spans="2:31" ht="15" customHeight="1" x14ac:dyDescent="0.25">
      <c r="B91" s="50">
        <v>81</v>
      </c>
      <c r="C91" s="166" t="s">
        <v>141</v>
      </c>
      <c r="D91" s="166"/>
      <c r="E91" s="40">
        <v>4</v>
      </c>
      <c r="F91" s="40" t="s">
        <v>139</v>
      </c>
      <c r="G91" s="30" t="s">
        <v>205</v>
      </c>
      <c r="H91" s="41">
        <f>0.45*0.6</f>
        <v>0.27</v>
      </c>
      <c r="I91" s="42">
        <f t="shared" ref="I91:I98" si="16">H91*E91</f>
        <v>1.08</v>
      </c>
      <c r="J91" s="41"/>
      <c r="K91" s="52"/>
      <c r="X91" s="53">
        <v>81</v>
      </c>
      <c r="Y91" s="83" t="s">
        <v>279</v>
      </c>
      <c r="Z91" s="71">
        <v>200</v>
      </c>
      <c r="AA91" s="40" t="s">
        <v>208</v>
      </c>
      <c r="AB91" s="61">
        <v>2332</v>
      </c>
      <c r="AC91" s="61">
        <f t="shared" si="12"/>
        <v>466400</v>
      </c>
      <c r="AD91" s="61">
        <f t="shared" si="15"/>
        <v>88616</v>
      </c>
      <c r="AE91" s="98">
        <f t="shared" si="13"/>
        <v>555016</v>
      </c>
    </row>
    <row r="92" spans="2:31" ht="15" customHeight="1" x14ac:dyDescent="0.25">
      <c r="B92" s="43">
        <v>82</v>
      </c>
      <c r="C92" s="166" t="s">
        <v>142</v>
      </c>
      <c r="D92" s="166"/>
      <c r="E92" s="40">
        <v>3</v>
      </c>
      <c r="F92" s="40" t="s">
        <v>139</v>
      </c>
      <c r="G92" s="30" t="s">
        <v>205</v>
      </c>
      <c r="H92" s="41">
        <f>0.8*0.8</f>
        <v>0.64000000000000012</v>
      </c>
      <c r="I92" s="42">
        <f t="shared" si="16"/>
        <v>1.9200000000000004</v>
      </c>
      <c r="J92" s="41"/>
      <c r="K92" s="52"/>
      <c r="X92" s="53">
        <v>82</v>
      </c>
      <c r="Y92" s="83" t="s">
        <v>280</v>
      </c>
      <c r="Z92" s="71">
        <v>1</v>
      </c>
      <c r="AA92" s="40" t="s">
        <v>208</v>
      </c>
      <c r="AB92" s="72">
        <v>2941.18</v>
      </c>
      <c r="AC92" s="72">
        <f t="shared" si="12"/>
        <v>2941.18</v>
      </c>
      <c r="AD92" s="72">
        <f t="shared" si="15"/>
        <v>558.82420000000002</v>
      </c>
      <c r="AE92" s="99">
        <f t="shared" si="13"/>
        <v>3500.0041999999999</v>
      </c>
    </row>
    <row r="93" spans="2:31" ht="15" customHeight="1" x14ac:dyDescent="0.25">
      <c r="B93" s="43">
        <v>83</v>
      </c>
      <c r="C93" s="166" t="s">
        <v>143</v>
      </c>
      <c r="D93" s="166"/>
      <c r="E93" s="40">
        <v>7</v>
      </c>
      <c r="F93" s="40" t="s">
        <v>139</v>
      </c>
      <c r="G93" s="30" t="s">
        <v>205</v>
      </c>
      <c r="H93" s="41">
        <f>0.37*0.5</f>
        <v>0.185</v>
      </c>
      <c r="I93" s="42">
        <f t="shared" si="16"/>
        <v>1.2949999999999999</v>
      </c>
      <c r="J93" s="41"/>
      <c r="K93" s="52"/>
      <c r="X93" s="53">
        <v>83</v>
      </c>
      <c r="Y93" s="83" t="s">
        <v>281</v>
      </c>
      <c r="Z93" s="71">
        <v>2</v>
      </c>
      <c r="AA93" s="40" t="s">
        <v>208</v>
      </c>
      <c r="AB93" s="61">
        <v>2857.14</v>
      </c>
      <c r="AC93" s="61">
        <f t="shared" si="12"/>
        <v>5714.28</v>
      </c>
      <c r="AD93" s="61">
        <f t="shared" si="15"/>
        <v>1085.7131999999999</v>
      </c>
      <c r="AE93" s="98">
        <f t="shared" si="13"/>
        <v>6799.9931999999999</v>
      </c>
    </row>
    <row r="94" spans="2:31" ht="15" customHeight="1" x14ac:dyDescent="0.25">
      <c r="B94" s="43">
        <v>84</v>
      </c>
      <c r="C94" s="166" t="s">
        <v>144</v>
      </c>
      <c r="D94" s="166"/>
      <c r="E94" s="40">
        <v>4</v>
      </c>
      <c r="F94" s="40" t="s">
        <v>139</v>
      </c>
      <c r="G94" s="30" t="s">
        <v>205</v>
      </c>
      <c r="H94" s="41">
        <f>1.05*0.22</f>
        <v>0.23100000000000001</v>
      </c>
      <c r="I94" s="42">
        <f t="shared" si="16"/>
        <v>0.92400000000000004</v>
      </c>
      <c r="J94" s="41"/>
      <c r="K94" s="52"/>
      <c r="X94" s="53">
        <v>84</v>
      </c>
      <c r="Y94" s="83" t="s">
        <v>282</v>
      </c>
      <c r="Z94" s="71">
        <v>15</v>
      </c>
      <c r="AA94" s="40" t="s">
        <v>208</v>
      </c>
      <c r="AB94" s="72">
        <v>12325</v>
      </c>
      <c r="AC94" s="72">
        <f t="shared" si="12"/>
        <v>184875</v>
      </c>
      <c r="AD94" s="72">
        <f t="shared" si="15"/>
        <v>35126.25</v>
      </c>
      <c r="AE94" s="99">
        <f t="shared" si="13"/>
        <v>220001.25</v>
      </c>
    </row>
    <row r="95" spans="2:31" ht="15" customHeight="1" x14ac:dyDescent="0.25">
      <c r="B95" s="50">
        <v>85</v>
      </c>
      <c r="C95" s="166" t="s">
        <v>145</v>
      </c>
      <c r="D95" s="166"/>
      <c r="E95" s="40">
        <v>8</v>
      </c>
      <c r="F95" s="40" t="s">
        <v>139</v>
      </c>
      <c r="G95" s="30" t="s">
        <v>205</v>
      </c>
      <c r="H95" s="41">
        <f>0.42*0.22</f>
        <v>9.2399999999999996E-2</v>
      </c>
      <c r="I95" s="42">
        <f t="shared" si="16"/>
        <v>0.73919999999999997</v>
      </c>
      <c r="J95" s="41"/>
      <c r="K95" s="52"/>
      <c r="X95" s="53">
        <v>85</v>
      </c>
      <c r="Y95" s="83" t="s">
        <v>283</v>
      </c>
      <c r="Z95" s="71">
        <v>1</v>
      </c>
      <c r="AA95" s="40" t="s">
        <v>208</v>
      </c>
      <c r="AB95" s="61">
        <v>5210.08</v>
      </c>
      <c r="AC95" s="61">
        <f t="shared" si="12"/>
        <v>5210.08</v>
      </c>
      <c r="AD95" s="61">
        <f t="shared" si="15"/>
        <v>989.91520000000003</v>
      </c>
      <c r="AE95" s="98">
        <f t="shared" si="13"/>
        <v>6199.9952000000003</v>
      </c>
    </row>
    <row r="96" spans="2:31" ht="15" customHeight="1" x14ac:dyDescent="0.25">
      <c r="B96" s="43">
        <v>86</v>
      </c>
      <c r="C96" s="169" t="s">
        <v>146</v>
      </c>
      <c r="D96" s="170"/>
      <c r="E96" s="40">
        <v>24</v>
      </c>
      <c r="F96" s="40" t="s">
        <v>147</v>
      </c>
      <c r="G96" s="30" t="s">
        <v>205</v>
      </c>
      <c r="H96" s="41">
        <f>1*0.2</f>
        <v>0.2</v>
      </c>
      <c r="I96" s="42">
        <f t="shared" si="16"/>
        <v>4.8000000000000007</v>
      </c>
      <c r="J96" s="41"/>
      <c r="K96" s="52"/>
      <c r="X96" s="53">
        <v>86</v>
      </c>
      <c r="Y96" s="83" t="s">
        <v>284</v>
      </c>
      <c r="Z96" s="71">
        <v>2</v>
      </c>
      <c r="AA96" s="40" t="s">
        <v>208</v>
      </c>
      <c r="AB96" s="72">
        <v>3193.28</v>
      </c>
      <c r="AC96" s="72">
        <f t="shared" si="12"/>
        <v>6386.56</v>
      </c>
      <c r="AD96" s="72">
        <f t="shared" si="15"/>
        <v>1213.4464</v>
      </c>
      <c r="AE96" s="99">
        <f t="shared" si="13"/>
        <v>7600.0064000000002</v>
      </c>
    </row>
    <row r="97" spans="2:31" ht="15" customHeight="1" x14ac:dyDescent="0.25">
      <c r="B97" s="43">
        <v>87</v>
      </c>
      <c r="C97" s="169" t="s">
        <v>148</v>
      </c>
      <c r="D97" s="170"/>
      <c r="E97" s="40">
        <v>12</v>
      </c>
      <c r="F97" s="40" t="s">
        <v>149</v>
      </c>
      <c r="G97" s="30" t="s">
        <v>205</v>
      </c>
      <c r="H97" s="41">
        <f>0.2*0.2</f>
        <v>4.0000000000000008E-2</v>
      </c>
      <c r="I97" s="42">
        <f t="shared" si="16"/>
        <v>0.48000000000000009</v>
      </c>
      <c r="J97" s="41"/>
      <c r="K97" s="52"/>
      <c r="X97" s="53">
        <v>87</v>
      </c>
      <c r="Y97" s="83" t="s">
        <v>359</v>
      </c>
      <c r="Z97" s="71">
        <v>1</v>
      </c>
      <c r="AA97" s="40" t="s">
        <v>208</v>
      </c>
      <c r="AB97" s="61">
        <v>1000</v>
      </c>
      <c r="AC97" s="61">
        <f t="shared" si="12"/>
        <v>1000</v>
      </c>
      <c r="AD97" s="61">
        <f t="shared" si="15"/>
        <v>190</v>
      </c>
      <c r="AE97" s="98">
        <f t="shared" si="13"/>
        <v>1190</v>
      </c>
    </row>
    <row r="98" spans="2:31" ht="15" customHeight="1" x14ac:dyDescent="0.25">
      <c r="B98" s="43">
        <v>88</v>
      </c>
      <c r="C98" s="169" t="s">
        <v>150</v>
      </c>
      <c r="D98" s="170"/>
      <c r="E98" s="40">
        <v>24</v>
      </c>
      <c r="F98" s="40" t="s">
        <v>149</v>
      </c>
      <c r="G98" s="30" t="s">
        <v>205</v>
      </c>
      <c r="H98" s="41">
        <f>0.16*0.1</f>
        <v>1.6E-2</v>
      </c>
      <c r="I98" s="42">
        <f t="shared" si="16"/>
        <v>0.38400000000000001</v>
      </c>
      <c r="J98" s="41"/>
      <c r="K98" s="52"/>
      <c r="X98" s="53">
        <v>88</v>
      </c>
      <c r="Y98" s="83" t="s">
        <v>351</v>
      </c>
      <c r="Z98" s="71">
        <v>1</v>
      </c>
      <c r="AA98" s="40" t="s">
        <v>208</v>
      </c>
      <c r="AB98" s="72">
        <v>5882.35</v>
      </c>
      <c r="AC98" s="72">
        <f t="shared" si="12"/>
        <v>5882.35</v>
      </c>
      <c r="AD98" s="72">
        <f t="shared" si="15"/>
        <v>1117.6465000000001</v>
      </c>
      <c r="AE98" s="99">
        <f t="shared" si="13"/>
        <v>6999.9965000000002</v>
      </c>
    </row>
    <row r="99" spans="2:31" ht="15" customHeight="1" x14ac:dyDescent="0.25">
      <c r="B99" s="50">
        <v>89</v>
      </c>
      <c r="C99" s="166" t="s">
        <v>151</v>
      </c>
      <c r="D99" s="166"/>
      <c r="E99" s="40">
        <v>5</v>
      </c>
      <c r="F99" s="40" t="s">
        <v>135</v>
      </c>
      <c r="G99" s="30" t="s">
        <v>205</v>
      </c>
      <c r="H99" s="41">
        <f>0.6*0.65</f>
        <v>0.39</v>
      </c>
      <c r="I99" s="42">
        <f>H99*E99</f>
        <v>1.9500000000000002</v>
      </c>
      <c r="J99" s="41"/>
      <c r="K99" s="52"/>
      <c r="M99" s="49"/>
      <c r="N99" s="49"/>
      <c r="O99" s="49"/>
      <c r="P99" s="49"/>
      <c r="Q99" s="49"/>
      <c r="R99" s="49"/>
      <c r="S99" s="49"/>
      <c r="T99" s="49"/>
      <c r="U99" s="49"/>
      <c r="X99" s="53">
        <v>89</v>
      </c>
      <c r="Y99" s="83" t="s">
        <v>285</v>
      </c>
      <c r="Z99" s="71">
        <v>2</v>
      </c>
      <c r="AA99" s="40" t="s">
        <v>208</v>
      </c>
      <c r="AB99" s="61">
        <v>2800</v>
      </c>
      <c r="AC99" s="61">
        <f t="shared" si="12"/>
        <v>5600</v>
      </c>
      <c r="AD99" s="61">
        <f t="shared" si="15"/>
        <v>1064</v>
      </c>
      <c r="AE99" s="98">
        <f t="shared" si="13"/>
        <v>6664</v>
      </c>
    </row>
    <row r="100" spans="2:31" ht="15" customHeight="1" x14ac:dyDescent="0.25">
      <c r="B100" s="43">
        <v>90</v>
      </c>
      <c r="C100" s="166" t="s">
        <v>152</v>
      </c>
      <c r="D100" s="166"/>
      <c r="E100" s="40">
        <v>2</v>
      </c>
      <c r="F100" s="40" t="s">
        <v>135</v>
      </c>
      <c r="G100" s="30" t="s">
        <v>205</v>
      </c>
      <c r="H100" s="41">
        <f>0.92*0.65</f>
        <v>0.59800000000000009</v>
      </c>
      <c r="I100" s="42">
        <f>H100*E100</f>
        <v>1.1960000000000002</v>
      </c>
      <c r="J100" s="41"/>
      <c r="K100" s="52"/>
      <c r="M100" s="49"/>
      <c r="N100" s="49"/>
      <c r="O100" s="49"/>
      <c r="P100" s="49"/>
      <c r="Q100" s="49"/>
      <c r="R100" s="49"/>
      <c r="S100" s="49"/>
      <c r="T100" s="49"/>
      <c r="U100" s="49"/>
      <c r="X100" s="53">
        <v>90</v>
      </c>
      <c r="Y100" s="83" t="s">
        <v>286</v>
      </c>
      <c r="Z100" s="71">
        <v>1</v>
      </c>
      <c r="AA100" s="40" t="s">
        <v>208</v>
      </c>
      <c r="AB100" s="72">
        <v>139500</v>
      </c>
      <c r="AC100" s="72">
        <f t="shared" si="12"/>
        <v>139500</v>
      </c>
      <c r="AD100" s="72">
        <f t="shared" si="15"/>
        <v>26505</v>
      </c>
      <c r="AE100" s="99">
        <f t="shared" si="13"/>
        <v>166005</v>
      </c>
    </row>
    <row r="101" spans="2:31" ht="15" customHeight="1" x14ac:dyDescent="0.25">
      <c r="B101" s="43">
        <v>91</v>
      </c>
      <c r="C101" s="169" t="s">
        <v>153</v>
      </c>
      <c r="D101" s="170"/>
      <c r="E101" s="40">
        <v>4</v>
      </c>
      <c r="F101" s="40" t="s">
        <v>149</v>
      </c>
      <c r="G101" s="30" t="s">
        <v>205</v>
      </c>
      <c r="H101" s="41">
        <f>0.4*0.4</f>
        <v>0.16000000000000003</v>
      </c>
      <c r="I101" s="42">
        <f>H101*E101</f>
        <v>0.64000000000000012</v>
      </c>
      <c r="J101" s="41"/>
      <c r="K101" s="52"/>
      <c r="M101" s="49"/>
      <c r="N101" s="49"/>
      <c r="O101" s="49"/>
      <c r="P101" s="49"/>
      <c r="Q101" s="49"/>
      <c r="R101" s="49"/>
      <c r="S101" s="49"/>
      <c r="T101" s="49"/>
      <c r="U101" s="49"/>
      <c r="X101" s="53">
        <v>91</v>
      </c>
      <c r="Y101" s="83" t="s">
        <v>287</v>
      </c>
      <c r="Z101" s="71">
        <v>1</v>
      </c>
      <c r="AA101" s="40" t="s">
        <v>208</v>
      </c>
      <c r="AB101" s="61">
        <v>63385</v>
      </c>
      <c r="AC101" s="61">
        <f t="shared" si="12"/>
        <v>63385</v>
      </c>
      <c r="AD101" s="61">
        <f t="shared" si="15"/>
        <v>12043.15</v>
      </c>
      <c r="AE101" s="98">
        <f t="shared" si="13"/>
        <v>75428.149999999994</v>
      </c>
    </row>
    <row r="102" spans="2:31" ht="15" customHeight="1" x14ac:dyDescent="0.25">
      <c r="B102" s="43">
        <v>92</v>
      </c>
      <c r="C102" s="169" t="s">
        <v>154</v>
      </c>
      <c r="D102" s="170"/>
      <c r="E102" s="40">
        <v>1</v>
      </c>
      <c r="F102" s="40" t="s">
        <v>147</v>
      </c>
      <c r="G102" s="30" t="s">
        <v>205</v>
      </c>
      <c r="H102" s="41">
        <f>13.4*1</f>
        <v>13.4</v>
      </c>
      <c r="I102" s="42">
        <f>H102*E102</f>
        <v>13.4</v>
      </c>
      <c r="J102" s="41"/>
      <c r="K102" s="52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X102" s="53">
        <v>92</v>
      </c>
      <c r="Y102" s="83" t="s">
        <v>288</v>
      </c>
      <c r="Z102" s="71">
        <v>15</v>
      </c>
      <c r="AA102" s="40" t="s">
        <v>208</v>
      </c>
      <c r="AB102" s="72">
        <v>17310</v>
      </c>
      <c r="AC102" s="72">
        <f t="shared" si="12"/>
        <v>259650</v>
      </c>
      <c r="AD102" s="72">
        <f t="shared" si="15"/>
        <v>49333.5</v>
      </c>
      <c r="AE102" s="99">
        <f t="shared" si="13"/>
        <v>308983.5</v>
      </c>
    </row>
    <row r="103" spans="2:31" ht="15" customHeight="1" x14ac:dyDescent="0.25">
      <c r="B103" s="50">
        <v>93</v>
      </c>
      <c r="C103" s="169" t="s">
        <v>155</v>
      </c>
      <c r="D103" s="170"/>
      <c r="E103" s="40">
        <v>44</v>
      </c>
      <c r="F103" s="40" t="s">
        <v>139</v>
      </c>
      <c r="G103" s="30" t="s">
        <v>205</v>
      </c>
      <c r="H103" s="41">
        <f>0.22*0.22</f>
        <v>4.8399999999999999E-2</v>
      </c>
      <c r="I103" s="42">
        <f t="shared" ref="I103:I105" si="17">H103*E103</f>
        <v>2.1295999999999999</v>
      </c>
      <c r="J103" s="41"/>
      <c r="K103" s="52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X103" s="53">
        <v>93</v>
      </c>
      <c r="Y103" s="83" t="s">
        <v>289</v>
      </c>
      <c r="Z103" s="71">
        <v>2</v>
      </c>
      <c r="AA103" s="40" t="s">
        <v>208</v>
      </c>
      <c r="AB103" s="61">
        <v>5642.18</v>
      </c>
      <c r="AC103" s="61">
        <f t="shared" si="12"/>
        <v>11284.36</v>
      </c>
      <c r="AD103" s="61">
        <f t="shared" si="15"/>
        <v>2144.0284000000001</v>
      </c>
      <c r="AE103" s="98">
        <f t="shared" si="13"/>
        <v>13428.3884</v>
      </c>
    </row>
    <row r="104" spans="2:31" ht="15" customHeight="1" x14ac:dyDescent="0.25">
      <c r="B104" s="43">
        <v>94</v>
      </c>
      <c r="C104" s="169" t="s">
        <v>156</v>
      </c>
      <c r="D104" s="170"/>
      <c r="E104" s="40">
        <v>3</v>
      </c>
      <c r="F104" s="40" t="s">
        <v>139</v>
      </c>
      <c r="G104" s="30" t="s">
        <v>205</v>
      </c>
      <c r="H104" s="41">
        <f>0.52*0.62</f>
        <v>0.32240000000000002</v>
      </c>
      <c r="I104" s="42">
        <f t="shared" si="17"/>
        <v>0.96720000000000006</v>
      </c>
      <c r="J104" s="41"/>
      <c r="K104" s="52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X104" s="53">
        <v>94</v>
      </c>
      <c r="Y104" s="83" t="s">
        <v>290</v>
      </c>
      <c r="Z104" s="71">
        <v>8</v>
      </c>
      <c r="AA104" s="40" t="s">
        <v>208</v>
      </c>
      <c r="AB104" s="72">
        <v>420.17</v>
      </c>
      <c r="AC104" s="72">
        <f t="shared" si="12"/>
        <v>3361.36</v>
      </c>
      <c r="AD104" s="72">
        <f t="shared" si="15"/>
        <v>638.65840000000003</v>
      </c>
      <c r="AE104" s="99">
        <f t="shared" si="13"/>
        <v>4000.0183999999999</v>
      </c>
    </row>
    <row r="105" spans="2:31" ht="15" customHeight="1" x14ac:dyDescent="0.25">
      <c r="B105" s="43">
        <v>95</v>
      </c>
      <c r="C105" s="169" t="s">
        <v>157</v>
      </c>
      <c r="D105" s="170"/>
      <c r="E105" s="40">
        <v>8</v>
      </c>
      <c r="F105" s="40" t="s">
        <v>139</v>
      </c>
      <c r="G105" s="30" t="s">
        <v>205</v>
      </c>
      <c r="H105" s="41">
        <f>6*1.8</f>
        <v>10.8</v>
      </c>
      <c r="I105" s="42">
        <f t="shared" si="17"/>
        <v>86.4</v>
      </c>
      <c r="J105" s="41"/>
      <c r="K105" s="52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X105" s="53">
        <v>95</v>
      </c>
      <c r="Y105" s="83" t="s">
        <v>291</v>
      </c>
      <c r="Z105" s="71">
        <v>4</v>
      </c>
      <c r="AA105" s="40" t="s">
        <v>208</v>
      </c>
      <c r="AB105" s="61">
        <v>672.27</v>
      </c>
      <c r="AC105" s="61">
        <f t="shared" si="12"/>
        <v>2689.08</v>
      </c>
      <c r="AD105" s="61">
        <f t="shared" si="15"/>
        <v>510.92520000000002</v>
      </c>
      <c r="AE105" s="98">
        <f t="shared" si="13"/>
        <v>3200.0052000000001</v>
      </c>
    </row>
    <row r="106" spans="2:31" ht="15" customHeight="1" x14ac:dyDescent="0.25">
      <c r="B106" s="43">
        <v>96</v>
      </c>
      <c r="C106" s="169" t="s">
        <v>158</v>
      </c>
      <c r="D106" s="170"/>
      <c r="E106" s="40">
        <v>3</v>
      </c>
      <c r="F106" s="40" t="s">
        <v>147</v>
      </c>
      <c r="G106" s="30" t="s">
        <v>205</v>
      </c>
      <c r="H106" s="41">
        <f>0.75*0.75</f>
        <v>0.5625</v>
      </c>
      <c r="I106" s="42">
        <f>H106*E106</f>
        <v>1.6875</v>
      </c>
      <c r="J106" s="41"/>
      <c r="K106" s="52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X106" s="53">
        <v>96</v>
      </c>
      <c r="Y106" s="107" t="s">
        <v>297</v>
      </c>
      <c r="Z106" s="60">
        <v>3</v>
      </c>
      <c r="AA106" s="40" t="s">
        <v>208</v>
      </c>
      <c r="AB106" s="61">
        <v>5210.08</v>
      </c>
      <c r="AC106" s="61">
        <f t="shared" ref="AC106:AC141" si="18">AB106*Z106</f>
        <v>15630.24</v>
      </c>
      <c r="AD106" s="61">
        <f t="shared" ref="AD106:AD141" si="19">AC106*0.19</f>
        <v>2969.7456000000002</v>
      </c>
      <c r="AE106" s="98">
        <f t="shared" ref="AE106:AE141" si="20">SUM(AC106:AD106)</f>
        <v>18599.9856</v>
      </c>
    </row>
    <row r="107" spans="2:31" ht="15" customHeight="1" x14ac:dyDescent="0.25">
      <c r="B107" s="50">
        <v>97</v>
      </c>
      <c r="C107" s="169" t="s">
        <v>159</v>
      </c>
      <c r="D107" s="170"/>
      <c r="E107" s="40">
        <v>32</v>
      </c>
      <c r="F107" s="40" t="s">
        <v>139</v>
      </c>
      <c r="G107" s="30" t="s">
        <v>205</v>
      </c>
      <c r="H107" s="41">
        <f>0.2*0.1</f>
        <v>2.0000000000000004E-2</v>
      </c>
      <c r="I107" s="42">
        <f t="shared" ref="I107:I116" si="21">H107*E107</f>
        <v>0.64000000000000012</v>
      </c>
      <c r="J107" s="41"/>
      <c r="K107" s="52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X107" s="53">
        <v>97</v>
      </c>
      <c r="Y107" s="108" t="s">
        <v>298</v>
      </c>
      <c r="Z107" s="60">
        <v>2</v>
      </c>
      <c r="AA107" s="40" t="s">
        <v>208</v>
      </c>
      <c r="AB107" s="61">
        <v>336.13</v>
      </c>
      <c r="AC107" s="61">
        <f t="shared" si="18"/>
        <v>672.26</v>
      </c>
      <c r="AD107" s="61">
        <f t="shared" si="19"/>
        <v>127.7294</v>
      </c>
      <c r="AE107" s="98">
        <f t="shared" si="20"/>
        <v>799.98939999999993</v>
      </c>
    </row>
    <row r="108" spans="2:31" ht="15" customHeight="1" x14ac:dyDescent="0.25">
      <c r="B108" s="43">
        <v>98</v>
      </c>
      <c r="C108" s="169" t="s">
        <v>160</v>
      </c>
      <c r="D108" s="170"/>
      <c r="E108" s="40">
        <v>11</v>
      </c>
      <c r="F108" s="40" t="s">
        <v>161</v>
      </c>
      <c r="G108" s="30" t="s">
        <v>205</v>
      </c>
      <c r="H108" s="41">
        <f>2*0.16</f>
        <v>0.32</v>
      </c>
      <c r="I108" s="42">
        <f t="shared" si="21"/>
        <v>3.52</v>
      </c>
      <c r="J108" s="41"/>
      <c r="K108" s="52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X108" s="53">
        <v>98</v>
      </c>
      <c r="Y108" s="83" t="s">
        <v>299</v>
      </c>
      <c r="Z108" s="60">
        <v>4</v>
      </c>
      <c r="AA108" s="40" t="s">
        <v>208</v>
      </c>
      <c r="AB108" s="61">
        <v>353</v>
      </c>
      <c r="AC108" s="61">
        <f t="shared" si="18"/>
        <v>1412</v>
      </c>
      <c r="AD108" s="61">
        <f t="shared" si="19"/>
        <v>268.28000000000003</v>
      </c>
      <c r="AE108" s="98">
        <f t="shared" si="20"/>
        <v>1680.28</v>
      </c>
    </row>
    <row r="109" spans="2:31" ht="15" customHeight="1" x14ac:dyDescent="0.25">
      <c r="B109" s="43">
        <v>99</v>
      </c>
      <c r="C109" s="169" t="s">
        <v>162</v>
      </c>
      <c r="D109" s="170"/>
      <c r="E109" s="40">
        <v>4</v>
      </c>
      <c r="F109" s="40" t="s">
        <v>161</v>
      </c>
      <c r="G109" s="30" t="s">
        <v>205</v>
      </c>
      <c r="H109" s="41">
        <f>0.4*0.2</f>
        <v>8.0000000000000016E-2</v>
      </c>
      <c r="I109" s="42">
        <f t="shared" si="21"/>
        <v>0.32000000000000006</v>
      </c>
      <c r="J109" s="41"/>
      <c r="K109" s="52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X109" s="53">
        <v>99</v>
      </c>
      <c r="Y109" s="83" t="s">
        <v>300</v>
      </c>
      <c r="Z109" s="60">
        <v>63</v>
      </c>
      <c r="AA109" s="40" t="s">
        <v>208</v>
      </c>
      <c r="AB109" s="61">
        <v>61</v>
      </c>
      <c r="AC109" s="61">
        <f t="shared" si="18"/>
        <v>3843</v>
      </c>
      <c r="AD109" s="61">
        <f t="shared" si="19"/>
        <v>730.17</v>
      </c>
      <c r="AE109" s="98">
        <f t="shared" si="20"/>
        <v>4573.17</v>
      </c>
    </row>
    <row r="110" spans="2:31" ht="15" customHeight="1" x14ac:dyDescent="0.25">
      <c r="B110" s="43">
        <v>100</v>
      </c>
      <c r="C110" s="169" t="s">
        <v>163</v>
      </c>
      <c r="D110" s="170"/>
      <c r="E110" s="40">
        <v>10</v>
      </c>
      <c r="F110" s="40" t="s">
        <v>161</v>
      </c>
      <c r="G110" s="30" t="s">
        <v>205</v>
      </c>
      <c r="H110" s="41">
        <f>0.18*0.1</f>
        <v>1.7999999999999999E-2</v>
      </c>
      <c r="I110" s="42">
        <f t="shared" si="21"/>
        <v>0.18</v>
      </c>
      <c r="J110" s="41"/>
      <c r="K110" s="52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X110" s="53">
        <v>100</v>
      </c>
      <c r="Y110" s="83" t="s">
        <v>301</v>
      </c>
      <c r="Z110" s="60">
        <v>85</v>
      </c>
      <c r="AA110" s="40" t="s">
        <v>208</v>
      </c>
      <c r="AB110" s="61">
        <v>84.03</v>
      </c>
      <c r="AC110" s="61">
        <f t="shared" si="18"/>
        <v>7142.55</v>
      </c>
      <c r="AD110" s="61">
        <f t="shared" si="19"/>
        <v>1357.0845000000002</v>
      </c>
      <c r="AE110" s="98">
        <f t="shared" si="20"/>
        <v>8499.6345000000001</v>
      </c>
    </row>
    <row r="111" spans="2:31" ht="15" customHeight="1" x14ac:dyDescent="0.25">
      <c r="B111" s="50">
        <v>101</v>
      </c>
      <c r="C111" s="169" t="s">
        <v>164</v>
      </c>
      <c r="D111" s="170"/>
      <c r="E111" s="40">
        <v>8</v>
      </c>
      <c r="F111" s="40" t="s">
        <v>161</v>
      </c>
      <c r="G111" s="30" t="s">
        <v>205</v>
      </c>
      <c r="H111" s="41">
        <f>0.2*0.7</f>
        <v>0.13999999999999999</v>
      </c>
      <c r="I111" s="42">
        <f t="shared" si="21"/>
        <v>1.1199999999999999</v>
      </c>
      <c r="J111" s="41"/>
      <c r="K111" s="52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X111" s="53">
        <v>101</v>
      </c>
      <c r="Y111" s="83" t="s">
        <v>302</v>
      </c>
      <c r="Z111" s="60">
        <v>8</v>
      </c>
      <c r="AA111" s="40" t="s">
        <v>208</v>
      </c>
      <c r="AB111" s="61">
        <v>336</v>
      </c>
      <c r="AC111" s="61">
        <f t="shared" si="18"/>
        <v>2688</v>
      </c>
      <c r="AD111" s="61">
        <f t="shared" si="19"/>
        <v>510.72</v>
      </c>
      <c r="AE111" s="98">
        <f t="shared" si="20"/>
        <v>3198.7200000000003</v>
      </c>
    </row>
    <row r="112" spans="2:31" ht="15" customHeight="1" x14ac:dyDescent="0.25">
      <c r="B112" s="43">
        <v>102</v>
      </c>
      <c r="C112" s="169" t="s">
        <v>165</v>
      </c>
      <c r="D112" s="170"/>
      <c r="E112" s="40">
        <v>8</v>
      </c>
      <c r="F112" s="40" t="s">
        <v>161</v>
      </c>
      <c r="G112" s="30" t="s">
        <v>205</v>
      </c>
      <c r="H112" s="41">
        <f>0.2*0.2</f>
        <v>4.0000000000000008E-2</v>
      </c>
      <c r="I112" s="42">
        <f t="shared" si="21"/>
        <v>0.32000000000000006</v>
      </c>
      <c r="J112" s="41"/>
      <c r="K112" s="52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X112" s="53">
        <v>102</v>
      </c>
      <c r="Y112" s="108" t="s">
        <v>303</v>
      </c>
      <c r="Z112" s="60">
        <v>40</v>
      </c>
      <c r="AA112" s="40" t="s">
        <v>208</v>
      </c>
      <c r="AB112" s="61">
        <v>230000</v>
      </c>
      <c r="AC112" s="61">
        <f t="shared" si="18"/>
        <v>9200000</v>
      </c>
      <c r="AD112" s="61">
        <f t="shared" si="19"/>
        <v>1748000</v>
      </c>
      <c r="AE112" s="98">
        <f t="shared" si="20"/>
        <v>10948000</v>
      </c>
    </row>
    <row r="113" spans="2:31" ht="15" customHeight="1" x14ac:dyDescent="0.25">
      <c r="B113" s="43">
        <v>103</v>
      </c>
      <c r="C113" s="169" t="s">
        <v>166</v>
      </c>
      <c r="D113" s="170"/>
      <c r="E113" s="40">
        <v>13</v>
      </c>
      <c r="F113" s="40" t="s">
        <v>161</v>
      </c>
      <c r="G113" s="30" t="s">
        <v>205</v>
      </c>
      <c r="H113" s="41">
        <f>3*1.2</f>
        <v>3.5999999999999996</v>
      </c>
      <c r="I113" s="42">
        <f t="shared" si="21"/>
        <v>46.8</v>
      </c>
      <c r="J113" s="41"/>
      <c r="K113" s="52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X113" s="53">
        <v>103</v>
      </c>
      <c r="Y113" s="83" t="s">
        <v>304</v>
      </c>
      <c r="Z113" s="79">
        <v>40</v>
      </c>
      <c r="AA113" s="40" t="s">
        <v>208</v>
      </c>
      <c r="AB113" s="61">
        <v>51000</v>
      </c>
      <c r="AC113" s="61">
        <f t="shared" si="18"/>
        <v>2040000</v>
      </c>
      <c r="AD113" s="61">
        <f t="shared" si="19"/>
        <v>387600</v>
      </c>
      <c r="AE113" s="98">
        <f t="shared" si="20"/>
        <v>2427600</v>
      </c>
    </row>
    <row r="114" spans="2:31" ht="15" customHeight="1" x14ac:dyDescent="0.25">
      <c r="B114" s="43">
        <v>104</v>
      </c>
      <c r="C114" s="169" t="s">
        <v>167</v>
      </c>
      <c r="D114" s="170"/>
      <c r="E114" s="40">
        <v>24</v>
      </c>
      <c r="F114" s="40" t="s">
        <v>161</v>
      </c>
      <c r="G114" s="30" t="s">
        <v>205</v>
      </c>
      <c r="H114" s="41">
        <f>3*0.38</f>
        <v>1.1400000000000001</v>
      </c>
      <c r="I114" s="42">
        <f t="shared" si="21"/>
        <v>27.360000000000003</v>
      </c>
      <c r="J114" s="41"/>
      <c r="K114" s="52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X114" s="53">
        <v>104</v>
      </c>
      <c r="Y114" s="83" t="s">
        <v>346</v>
      </c>
      <c r="Z114" s="79">
        <v>1</v>
      </c>
      <c r="AA114" s="40" t="s">
        <v>208</v>
      </c>
      <c r="AB114" s="61">
        <v>81000</v>
      </c>
      <c r="AC114" s="61">
        <f t="shared" si="18"/>
        <v>81000</v>
      </c>
      <c r="AD114" s="61">
        <f t="shared" si="19"/>
        <v>15390</v>
      </c>
      <c r="AE114" s="98">
        <f t="shared" si="20"/>
        <v>96390</v>
      </c>
    </row>
    <row r="115" spans="2:31" ht="15" customHeight="1" x14ac:dyDescent="0.25">
      <c r="B115" s="50">
        <v>105</v>
      </c>
      <c r="C115" s="171" t="s">
        <v>168</v>
      </c>
      <c r="D115" s="172"/>
      <c r="E115" s="40">
        <v>4</v>
      </c>
      <c r="F115" s="40" t="s">
        <v>161</v>
      </c>
      <c r="G115" s="30" t="s">
        <v>205</v>
      </c>
      <c r="H115" s="41">
        <f>9*0.38</f>
        <v>3.42</v>
      </c>
      <c r="I115" s="42">
        <f t="shared" si="21"/>
        <v>13.68</v>
      </c>
      <c r="J115" s="41"/>
      <c r="K115" s="52"/>
      <c r="L115" s="49"/>
      <c r="X115" s="53">
        <v>105</v>
      </c>
      <c r="Y115" s="83" t="s">
        <v>305</v>
      </c>
      <c r="Z115" s="79">
        <v>1</v>
      </c>
      <c r="AA115" s="40" t="s">
        <v>208</v>
      </c>
      <c r="AB115" s="61">
        <v>65000</v>
      </c>
      <c r="AC115" s="61">
        <f t="shared" si="18"/>
        <v>65000</v>
      </c>
      <c r="AD115" s="61">
        <f t="shared" si="19"/>
        <v>12350</v>
      </c>
      <c r="AE115" s="98">
        <f t="shared" si="20"/>
        <v>77350</v>
      </c>
    </row>
    <row r="116" spans="2:31" ht="15" customHeight="1" x14ac:dyDescent="0.25">
      <c r="B116" s="43">
        <v>106</v>
      </c>
      <c r="C116" s="169" t="s">
        <v>169</v>
      </c>
      <c r="D116" s="170"/>
      <c r="E116" s="40">
        <v>4</v>
      </c>
      <c r="F116" s="40" t="s">
        <v>161</v>
      </c>
      <c r="G116" s="30" t="s">
        <v>205</v>
      </c>
      <c r="H116" s="41">
        <f>1.35*0.38</f>
        <v>0.51300000000000001</v>
      </c>
      <c r="I116" s="42">
        <f t="shared" si="21"/>
        <v>2.052</v>
      </c>
      <c r="J116" s="41"/>
      <c r="K116" s="52"/>
      <c r="L116" s="49"/>
      <c r="X116" s="53">
        <v>106</v>
      </c>
      <c r="Y116" s="83" t="s">
        <v>350</v>
      </c>
      <c r="Z116" s="79">
        <v>2</v>
      </c>
      <c r="AA116" s="40" t="s">
        <v>208</v>
      </c>
      <c r="AB116" s="61">
        <v>7731.09</v>
      </c>
      <c r="AC116" s="61">
        <f t="shared" si="18"/>
        <v>15462.18</v>
      </c>
      <c r="AD116" s="61">
        <f t="shared" si="19"/>
        <v>2937.8142000000003</v>
      </c>
      <c r="AE116" s="98">
        <f t="shared" si="20"/>
        <v>18399.994200000001</v>
      </c>
    </row>
    <row r="117" spans="2:31" ht="15" customHeight="1" x14ac:dyDescent="0.25">
      <c r="B117" s="43">
        <v>107</v>
      </c>
      <c r="C117" s="166" t="s">
        <v>170</v>
      </c>
      <c r="D117" s="166"/>
      <c r="E117" s="40">
        <v>2</v>
      </c>
      <c r="F117" s="40" t="s">
        <v>147</v>
      </c>
      <c r="G117" s="30" t="s">
        <v>205</v>
      </c>
      <c r="H117" s="41">
        <f>3.8*1</f>
        <v>3.8</v>
      </c>
      <c r="I117" s="42">
        <f>H117*E117</f>
        <v>7.6</v>
      </c>
      <c r="J117" s="41"/>
      <c r="K117" s="52"/>
      <c r="L117" s="49"/>
      <c r="X117" s="53">
        <v>107</v>
      </c>
      <c r="Y117" s="83" t="s">
        <v>306</v>
      </c>
      <c r="Z117" s="79">
        <v>1</v>
      </c>
      <c r="AA117" s="40" t="s">
        <v>208</v>
      </c>
      <c r="AB117" s="61">
        <v>12800</v>
      </c>
      <c r="AC117" s="61">
        <f t="shared" si="18"/>
        <v>12800</v>
      </c>
      <c r="AD117" s="61">
        <f t="shared" si="19"/>
        <v>2432</v>
      </c>
      <c r="AE117" s="98">
        <f t="shared" si="20"/>
        <v>15232</v>
      </c>
    </row>
    <row r="118" spans="2:31" ht="15" customHeight="1" x14ac:dyDescent="0.25">
      <c r="B118" s="43">
        <v>108</v>
      </c>
      <c r="C118" s="166" t="s">
        <v>171</v>
      </c>
      <c r="D118" s="166"/>
      <c r="E118" s="40">
        <v>2</v>
      </c>
      <c r="F118" s="40" t="s">
        <v>147</v>
      </c>
      <c r="G118" s="30" t="s">
        <v>205</v>
      </c>
      <c r="H118" s="41">
        <f>3.5*1</f>
        <v>3.5</v>
      </c>
      <c r="I118" s="42">
        <f>H118*E118</f>
        <v>7</v>
      </c>
      <c r="J118" s="41"/>
      <c r="K118" s="52"/>
      <c r="X118" s="53">
        <v>108</v>
      </c>
      <c r="Y118" s="83" t="s">
        <v>307</v>
      </c>
      <c r="Z118" s="79">
        <v>20</v>
      </c>
      <c r="AA118" s="40" t="s">
        <v>208</v>
      </c>
      <c r="AB118" s="61">
        <v>1100</v>
      </c>
      <c r="AC118" s="61">
        <f t="shared" si="18"/>
        <v>22000</v>
      </c>
      <c r="AD118" s="61">
        <f t="shared" si="19"/>
        <v>4180</v>
      </c>
      <c r="AE118" s="98">
        <f t="shared" si="20"/>
        <v>26180</v>
      </c>
    </row>
    <row r="119" spans="2:31" ht="15" customHeight="1" x14ac:dyDescent="0.25">
      <c r="B119" s="50">
        <v>109</v>
      </c>
      <c r="C119" s="166" t="s">
        <v>172</v>
      </c>
      <c r="D119" s="166"/>
      <c r="E119" s="40">
        <v>1</v>
      </c>
      <c r="F119" s="40" t="s">
        <v>147</v>
      </c>
      <c r="G119" s="30" t="s">
        <v>205</v>
      </c>
      <c r="H119" s="41">
        <f>0.4*13.4</f>
        <v>5.36</v>
      </c>
      <c r="I119" s="42">
        <f t="shared" ref="I119:I133" si="22">H119*E119</f>
        <v>5.36</v>
      </c>
      <c r="J119" s="41"/>
      <c r="K119" s="52"/>
      <c r="X119" s="53">
        <v>109</v>
      </c>
      <c r="Y119" s="83" t="s">
        <v>352</v>
      </c>
      <c r="Z119" s="79">
        <v>1</v>
      </c>
      <c r="AA119" s="40" t="s">
        <v>208</v>
      </c>
      <c r="AB119" s="61">
        <v>4201.68</v>
      </c>
      <c r="AC119" s="61">
        <f t="shared" si="18"/>
        <v>4201.68</v>
      </c>
      <c r="AD119" s="61">
        <f t="shared" si="19"/>
        <v>798.31920000000002</v>
      </c>
      <c r="AE119" s="98">
        <f t="shared" si="20"/>
        <v>4999.9992000000002</v>
      </c>
    </row>
    <row r="120" spans="2:31" ht="15" customHeight="1" x14ac:dyDescent="0.25">
      <c r="B120" s="43">
        <v>110</v>
      </c>
      <c r="C120" s="166" t="s">
        <v>173</v>
      </c>
      <c r="D120" s="166"/>
      <c r="E120" s="40">
        <v>1</v>
      </c>
      <c r="F120" s="40" t="s">
        <v>147</v>
      </c>
      <c r="G120" s="30" t="s">
        <v>205</v>
      </c>
      <c r="H120" s="41">
        <f>0.4*12.4</f>
        <v>4.9600000000000009</v>
      </c>
      <c r="I120" s="42">
        <f t="shared" si="22"/>
        <v>4.9600000000000009</v>
      </c>
      <c r="J120" s="41"/>
      <c r="K120" s="52"/>
      <c r="X120" s="53">
        <v>110</v>
      </c>
      <c r="Y120" s="83" t="s">
        <v>308</v>
      </c>
      <c r="Z120" s="79">
        <v>1</v>
      </c>
      <c r="AA120" s="40" t="s">
        <v>208</v>
      </c>
      <c r="AB120" s="61">
        <f>1260.5*5</f>
        <v>6302.5</v>
      </c>
      <c r="AC120" s="61">
        <f t="shared" si="18"/>
        <v>6302.5</v>
      </c>
      <c r="AD120" s="61">
        <f t="shared" si="19"/>
        <v>1197.4749999999999</v>
      </c>
      <c r="AE120" s="98">
        <f t="shared" si="20"/>
        <v>7499.9750000000004</v>
      </c>
    </row>
    <row r="121" spans="2:31" ht="15" customHeight="1" x14ac:dyDescent="0.25">
      <c r="B121" s="43">
        <v>111</v>
      </c>
      <c r="C121" s="166" t="s">
        <v>174</v>
      </c>
      <c r="D121" s="166"/>
      <c r="E121" s="40">
        <v>3</v>
      </c>
      <c r="F121" s="40" t="s">
        <v>147</v>
      </c>
      <c r="G121" s="30" t="s">
        <v>205</v>
      </c>
      <c r="H121" s="41">
        <f>0.4*1</f>
        <v>0.4</v>
      </c>
      <c r="I121" s="42">
        <f t="shared" si="22"/>
        <v>1.2000000000000002</v>
      </c>
      <c r="J121" s="41"/>
      <c r="K121" s="52"/>
      <c r="X121" s="53">
        <v>111</v>
      </c>
      <c r="Y121" s="83" t="s">
        <v>309</v>
      </c>
      <c r="Z121" s="79">
        <v>10</v>
      </c>
      <c r="AA121" s="40" t="s">
        <v>208</v>
      </c>
      <c r="AB121" s="61">
        <v>17008</v>
      </c>
      <c r="AC121" s="61">
        <f t="shared" si="18"/>
        <v>170080</v>
      </c>
      <c r="AD121" s="61">
        <f t="shared" si="19"/>
        <v>32315.200000000001</v>
      </c>
      <c r="AE121" s="98">
        <f t="shared" si="20"/>
        <v>202395.2</v>
      </c>
    </row>
    <row r="122" spans="2:31" ht="15" customHeight="1" x14ac:dyDescent="0.25">
      <c r="B122" s="43">
        <v>112</v>
      </c>
      <c r="C122" s="166" t="s">
        <v>175</v>
      </c>
      <c r="D122" s="166"/>
      <c r="E122" s="40">
        <v>12</v>
      </c>
      <c r="F122" s="40" t="s">
        <v>149</v>
      </c>
      <c r="G122" s="30" t="s">
        <v>205</v>
      </c>
      <c r="H122" s="41">
        <f>0.13*0.15</f>
        <v>1.95E-2</v>
      </c>
      <c r="I122" s="42">
        <f t="shared" si="22"/>
        <v>0.23399999999999999</v>
      </c>
      <c r="J122" s="41"/>
      <c r="K122" s="52"/>
      <c r="X122" s="53">
        <v>112</v>
      </c>
      <c r="Y122" s="83" t="s">
        <v>310</v>
      </c>
      <c r="Z122" s="79">
        <v>1</v>
      </c>
      <c r="AA122" s="40" t="s">
        <v>208</v>
      </c>
      <c r="AB122" s="61">
        <v>288749</v>
      </c>
      <c r="AC122" s="61">
        <f t="shared" si="18"/>
        <v>288749</v>
      </c>
      <c r="AD122" s="61">
        <f t="shared" si="19"/>
        <v>54862.31</v>
      </c>
      <c r="AE122" s="98">
        <f t="shared" si="20"/>
        <v>343611.31</v>
      </c>
    </row>
    <row r="123" spans="2:31" ht="15" customHeight="1" x14ac:dyDescent="0.25">
      <c r="B123" s="50">
        <v>113</v>
      </c>
      <c r="C123" s="166" t="s">
        <v>176</v>
      </c>
      <c r="D123" s="166"/>
      <c r="E123" s="40">
        <v>24</v>
      </c>
      <c r="F123" s="40" t="s">
        <v>149</v>
      </c>
      <c r="G123" s="30" t="s">
        <v>205</v>
      </c>
      <c r="H123" s="41">
        <f>0.85*1</f>
        <v>0.85</v>
      </c>
      <c r="I123" s="42">
        <f t="shared" si="22"/>
        <v>20.399999999999999</v>
      </c>
      <c r="J123" s="41"/>
      <c r="K123" s="52"/>
      <c r="X123" s="53">
        <v>113</v>
      </c>
      <c r="Y123" s="83" t="s">
        <v>312</v>
      </c>
      <c r="Z123" s="79">
        <v>1</v>
      </c>
      <c r="AA123" s="40" t="s">
        <v>208</v>
      </c>
      <c r="AB123" s="61">
        <v>122000</v>
      </c>
      <c r="AC123" s="61">
        <f t="shared" si="18"/>
        <v>122000</v>
      </c>
      <c r="AD123" s="61">
        <f t="shared" si="19"/>
        <v>23180</v>
      </c>
      <c r="AE123" s="98">
        <f t="shared" si="20"/>
        <v>145180</v>
      </c>
    </row>
    <row r="124" spans="2:31" ht="15" customHeight="1" x14ac:dyDescent="0.25">
      <c r="B124" s="43">
        <v>114</v>
      </c>
      <c r="C124" s="166" t="s">
        <v>177</v>
      </c>
      <c r="D124" s="166"/>
      <c r="E124" s="40">
        <v>12</v>
      </c>
      <c r="F124" s="40" t="s">
        <v>149</v>
      </c>
      <c r="G124" s="30" t="s">
        <v>205</v>
      </c>
      <c r="H124" s="41">
        <f>0.85*0.55</f>
        <v>0.46750000000000003</v>
      </c>
      <c r="I124" s="42">
        <f t="shared" si="22"/>
        <v>5.61</v>
      </c>
      <c r="J124" s="41"/>
      <c r="K124" s="52"/>
      <c r="X124" s="53">
        <v>114</v>
      </c>
      <c r="Y124" s="83" t="s">
        <v>313</v>
      </c>
      <c r="Z124" s="79">
        <v>1</v>
      </c>
      <c r="AA124" s="40" t="s">
        <v>208</v>
      </c>
      <c r="AB124" s="61">
        <v>88000</v>
      </c>
      <c r="AC124" s="61">
        <f t="shared" si="18"/>
        <v>88000</v>
      </c>
      <c r="AD124" s="61">
        <f t="shared" si="19"/>
        <v>16720</v>
      </c>
      <c r="AE124" s="98">
        <f t="shared" si="20"/>
        <v>104720</v>
      </c>
    </row>
    <row r="125" spans="2:31" ht="15" customHeight="1" x14ac:dyDescent="0.25">
      <c r="B125" s="43">
        <v>115</v>
      </c>
      <c r="C125" s="166" t="s">
        <v>178</v>
      </c>
      <c r="D125" s="166"/>
      <c r="E125" s="40">
        <v>12</v>
      </c>
      <c r="F125" s="40" t="s">
        <v>149</v>
      </c>
      <c r="G125" s="30" t="s">
        <v>205</v>
      </c>
      <c r="H125" s="41">
        <f>0.37*1.09</f>
        <v>0.40330000000000005</v>
      </c>
      <c r="I125" s="42">
        <f t="shared" si="22"/>
        <v>4.8396000000000008</v>
      </c>
      <c r="J125" s="41"/>
      <c r="K125" s="52"/>
      <c r="X125" s="53">
        <v>115</v>
      </c>
      <c r="Y125" s="83" t="s">
        <v>314</v>
      </c>
      <c r="Z125" s="79">
        <v>2</v>
      </c>
      <c r="AA125" s="40" t="s">
        <v>208</v>
      </c>
      <c r="AB125" s="61">
        <v>52000</v>
      </c>
      <c r="AC125" s="61">
        <f t="shared" si="18"/>
        <v>104000</v>
      </c>
      <c r="AD125" s="61">
        <f t="shared" si="19"/>
        <v>19760</v>
      </c>
      <c r="AE125" s="98">
        <f t="shared" si="20"/>
        <v>123760</v>
      </c>
    </row>
    <row r="126" spans="2:31" ht="15" customHeight="1" x14ac:dyDescent="0.25">
      <c r="B126" s="43">
        <v>116</v>
      </c>
      <c r="C126" s="166" t="s">
        <v>179</v>
      </c>
      <c r="D126" s="166"/>
      <c r="E126" s="40">
        <v>24</v>
      </c>
      <c r="F126" s="40" t="s">
        <v>149</v>
      </c>
      <c r="G126" s="30" t="s">
        <v>205</v>
      </c>
      <c r="H126" s="41">
        <f>0.4*0.35</f>
        <v>0.13999999999999999</v>
      </c>
      <c r="I126" s="42">
        <f t="shared" si="22"/>
        <v>3.3599999999999994</v>
      </c>
      <c r="J126" s="41"/>
      <c r="K126" s="52"/>
      <c r="X126" s="53">
        <v>116</v>
      </c>
      <c r="Y126" s="83" t="s">
        <v>315</v>
      </c>
      <c r="Z126" s="79">
        <v>1</v>
      </c>
      <c r="AA126" s="40" t="s">
        <v>208</v>
      </c>
      <c r="AB126" s="61">
        <v>6722.69</v>
      </c>
      <c r="AC126" s="61">
        <f t="shared" si="18"/>
        <v>6722.69</v>
      </c>
      <c r="AD126" s="61">
        <f t="shared" si="19"/>
        <v>1277.3110999999999</v>
      </c>
      <c r="AE126" s="98">
        <f t="shared" si="20"/>
        <v>8000.0010999999995</v>
      </c>
    </row>
    <row r="127" spans="2:31" ht="15" customHeight="1" x14ac:dyDescent="0.25">
      <c r="B127" s="50">
        <v>117</v>
      </c>
      <c r="C127" s="166" t="s">
        <v>180</v>
      </c>
      <c r="D127" s="166"/>
      <c r="E127" s="40">
        <v>12</v>
      </c>
      <c r="F127" s="40" t="s">
        <v>149</v>
      </c>
      <c r="G127" s="30" t="s">
        <v>205</v>
      </c>
      <c r="H127" s="41">
        <f>0.85*0.72</f>
        <v>0.61199999999999999</v>
      </c>
      <c r="I127" s="42">
        <f t="shared" si="22"/>
        <v>7.3439999999999994</v>
      </c>
      <c r="J127" s="41"/>
      <c r="K127" s="52"/>
      <c r="X127" s="53">
        <v>117</v>
      </c>
      <c r="Y127" s="83" t="s">
        <v>316</v>
      </c>
      <c r="Z127" s="79">
        <v>1</v>
      </c>
      <c r="AA127" s="40" t="s">
        <v>208</v>
      </c>
      <c r="AB127" s="61">
        <v>428205</v>
      </c>
      <c r="AC127" s="61">
        <f t="shared" si="18"/>
        <v>428205</v>
      </c>
      <c r="AD127" s="61">
        <f t="shared" si="19"/>
        <v>81358.95</v>
      </c>
      <c r="AE127" s="98">
        <f t="shared" si="20"/>
        <v>509563.95</v>
      </c>
    </row>
    <row r="128" spans="2:31" ht="15" customHeight="1" x14ac:dyDescent="0.25">
      <c r="B128" s="43">
        <v>118</v>
      </c>
      <c r="C128" s="166" t="s">
        <v>181</v>
      </c>
      <c r="D128" s="166"/>
      <c r="E128" s="40">
        <v>40</v>
      </c>
      <c r="F128" s="40" t="s">
        <v>149</v>
      </c>
      <c r="G128" s="30" t="s">
        <v>205</v>
      </c>
      <c r="H128" s="41">
        <f>0.45*0.4</f>
        <v>0.18000000000000002</v>
      </c>
      <c r="I128" s="42">
        <f t="shared" si="22"/>
        <v>7.2000000000000011</v>
      </c>
      <c r="J128" s="41"/>
      <c r="K128" s="52"/>
      <c r="X128" s="53">
        <v>118</v>
      </c>
      <c r="Y128" s="83" t="s">
        <v>357</v>
      </c>
      <c r="Z128" s="79">
        <v>10</v>
      </c>
      <c r="AA128" s="40" t="s">
        <v>208</v>
      </c>
      <c r="AB128" s="61">
        <v>7983.19</v>
      </c>
      <c r="AC128" s="61">
        <f t="shared" si="18"/>
        <v>79831.899999999994</v>
      </c>
      <c r="AD128" s="61">
        <f t="shared" si="19"/>
        <v>15168.061</v>
      </c>
      <c r="AE128" s="98">
        <f t="shared" si="20"/>
        <v>94999.960999999996</v>
      </c>
    </row>
    <row r="129" spans="2:31" ht="15" customHeight="1" x14ac:dyDescent="0.25">
      <c r="B129" s="43">
        <v>119</v>
      </c>
      <c r="C129" s="166" t="s">
        <v>182</v>
      </c>
      <c r="D129" s="166"/>
      <c r="E129" s="40">
        <v>16</v>
      </c>
      <c r="F129" s="40" t="s">
        <v>183</v>
      </c>
      <c r="G129" s="30" t="s">
        <v>205</v>
      </c>
      <c r="H129" s="41">
        <f>6*1.8</f>
        <v>10.8</v>
      </c>
      <c r="I129" s="42">
        <f t="shared" si="22"/>
        <v>172.8</v>
      </c>
      <c r="J129" s="41"/>
      <c r="K129" s="52"/>
      <c r="X129" s="53">
        <v>119</v>
      </c>
      <c r="Y129" s="83" t="s">
        <v>317</v>
      </c>
      <c r="Z129" s="79">
        <v>2</v>
      </c>
      <c r="AA129" s="40" t="s">
        <v>208</v>
      </c>
      <c r="AB129" s="61">
        <v>4100</v>
      </c>
      <c r="AC129" s="61">
        <f t="shared" si="18"/>
        <v>8200</v>
      </c>
      <c r="AD129" s="61">
        <f t="shared" si="19"/>
        <v>1558</v>
      </c>
      <c r="AE129" s="98">
        <f t="shared" si="20"/>
        <v>9758</v>
      </c>
    </row>
    <row r="130" spans="2:31" ht="15" customHeight="1" x14ac:dyDescent="0.25">
      <c r="B130" s="43">
        <v>120</v>
      </c>
      <c r="C130" s="166" t="s">
        <v>184</v>
      </c>
      <c r="D130" s="166"/>
      <c r="E130" s="40">
        <v>4</v>
      </c>
      <c r="F130" s="40" t="s">
        <v>183</v>
      </c>
      <c r="G130" s="30" t="s">
        <v>205</v>
      </c>
      <c r="H130" s="41">
        <f>6*1.2</f>
        <v>7.1999999999999993</v>
      </c>
      <c r="I130" s="42">
        <f t="shared" si="22"/>
        <v>28.799999999999997</v>
      </c>
      <c r="J130" s="41"/>
      <c r="K130" s="52"/>
      <c r="X130" s="53">
        <v>120</v>
      </c>
      <c r="Y130" s="83" t="s">
        <v>318</v>
      </c>
      <c r="Z130" s="79">
        <v>200</v>
      </c>
      <c r="AA130" s="40" t="s">
        <v>208</v>
      </c>
      <c r="AB130" s="61">
        <v>450</v>
      </c>
      <c r="AC130" s="61">
        <f t="shared" si="18"/>
        <v>90000</v>
      </c>
      <c r="AD130" s="61">
        <f t="shared" si="19"/>
        <v>17100</v>
      </c>
      <c r="AE130" s="98">
        <f t="shared" si="20"/>
        <v>107100</v>
      </c>
    </row>
    <row r="131" spans="2:31" ht="15" customHeight="1" x14ac:dyDescent="0.25">
      <c r="B131" s="50">
        <v>121</v>
      </c>
      <c r="C131" s="166" t="s">
        <v>185</v>
      </c>
      <c r="D131" s="166"/>
      <c r="E131" s="40">
        <v>2</v>
      </c>
      <c r="F131" s="40" t="s">
        <v>183</v>
      </c>
      <c r="G131" s="30" t="s">
        <v>205</v>
      </c>
      <c r="H131" s="41">
        <f>6*1.62</f>
        <v>9.7200000000000006</v>
      </c>
      <c r="I131" s="42">
        <f t="shared" si="22"/>
        <v>19.440000000000001</v>
      </c>
      <c r="J131" s="41"/>
      <c r="K131" s="52"/>
      <c r="X131" s="53">
        <v>121</v>
      </c>
      <c r="Y131" s="87" t="s">
        <v>319</v>
      </c>
      <c r="Z131" s="79">
        <v>95</v>
      </c>
      <c r="AA131" s="40" t="s">
        <v>208</v>
      </c>
      <c r="AB131" s="61">
        <v>406</v>
      </c>
      <c r="AC131" s="61">
        <f t="shared" si="18"/>
        <v>38570</v>
      </c>
      <c r="AD131" s="61">
        <f t="shared" si="19"/>
        <v>7328.3</v>
      </c>
      <c r="AE131" s="98">
        <f t="shared" si="20"/>
        <v>45898.3</v>
      </c>
    </row>
    <row r="132" spans="2:31" ht="15" customHeight="1" x14ac:dyDescent="0.25">
      <c r="B132" s="43">
        <v>122</v>
      </c>
      <c r="C132" s="166" t="s">
        <v>186</v>
      </c>
      <c r="D132" s="166"/>
      <c r="E132" s="40">
        <v>2</v>
      </c>
      <c r="F132" s="40" t="s">
        <v>183</v>
      </c>
      <c r="G132" s="30" t="s">
        <v>205</v>
      </c>
      <c r="H132" s="41">
        <f>6*0.85</f>
        <v>5.0999999999999996</v>
      </c>
      <c r="I132" s="42">
        <f t="shared" si="22"/>
        <v>10.199999999999999</v>
      </c>
      <c r="J132" s="41"/>
      <c r="K132" s="52"/>
      <c r="X132" s="53">
        <v>122</v>
      </c>
      <c r="Y132" s="87" t="s">
        <v>320</v>
      </c>
      <c r="Z132" s="79">
        <v>5</v>
      </c>
      <c r="AA132" s="40" t="s">
        <v>208</v>
      </c>
      <c r="AB132" s="61">
        <v>217.65</v>
      </c>
      <c r="AC132" s="61">
        <f t="shared" si="18"/>
        <v>1088.25</v>
      </c>
      <c r="AD132" s="61">
        <f t="shared" si="19"/>
        <v>206.76750000000001</v>
      </c>
      <c r="AE132" s="98">
        <f t="shared" si="20"/>
        <v>1295.0174999999999</v>
      </c>
    </row>
    <row r="133" spans="2:31" ht="15" customHeight="1" x14ac:dyDescent="0.25">
      <c r="B133" s="43">
        <v>123</v>
      </c>
      <c r="C133" s="168" t="s">
        <v>187</v>
      </c>
      <c r="D133" s="168"/>
      <c r="E133" s="40">
        <v>12</v>
      </c>
      <c r="F133" s="40" t="s">
        <v>149</v>
      </c>
      <c r="G133" s="30" t="s">
        <v>205</v>
      </c>
      <c r="H133" s="41">
        <f>1.09*0.42</f>
        <v>0.45780000000000004</v>
      </c>
      <c r="I133" s="42">
        <f t="shared" si="22"/>
        <v>5.4936000000000007</v>
      </c>
      <c r="J133" s="41"/>
      <c r="K133" s="52"/>
      <c r="X133" s="53">
        <v>123</v>
      </c>
      <c r="Y133" s="87" t="s">
        <v>321</v>
      </c>
      <c r="Z133" s="79">
        <v>40</v>
      </c>
      <c r="AA133" s="40" t="s">
        <v>208</v>
      </c>
      <c r="AB133" s="61">
        <v>375</v>
      </c>
      <c r="AC133" s="61">
        <f t="shared" si="18"/>
        <v>15000</v>
      </c>
      <c r="AD133" s="61">
        <f t="shared" si="19"/>
        <v>2850</v>
      </c>
      <c r="AE133" s="98">
        <f t="shared" si="20"/>
        <v>17850</v>
      </c>
    </row>
    <row r="134" spans="2:31" ht="15" customHeight="1" x14ac:dyDescent="0.25">
      <c r="B134" s="43">
        <v>124</v>
      </c>
      <c r="C134" s="168" t="s">
        <v>188</v>
      </c>
      <c r="D134" s="168"/>
      <c r="E134" s="40">
        <v>48</v>
      </c>
      <c r="F134" s="40" t="s">
        <v>149</v>
      </c>
      <c r="G134" s="30" t="s">
        <v>205</v>
      </c>
      <c r="H134" s="41"/>
      <c r="I134" s="42"/>
      <c r="J134" s="41">
        <v>0.18</v>
      </c>
      <c r="K134" s="52">
        <f>E134*J134</f>
        <v>8.64</v>
      </c>
      <c r="X134" s="53">
        <v>124</v>
      </c>
      <c r="Y134" s="87" t="s">
        <v>322</v>
      </c>
      <c r="Z134" s="79">
        <v>4</v>
      </c>
      <c r="AA134" s="40" t="s">
        <v>208</v>
      </c>
      <c r="AB134" s="61">
        <v>2115</v>
      </c>
      <c r="AC134" s="61">
        <f t="shared" si="18"/>
        <v>8460</v>
      </c>
      <c r="AD134" s="61">
        <f t="shared" si="19"/>
        <v>1607.4</v>
      </c>
      <c r="AE134" s="98">
        <f t="shared" si="20"/>
        <v>10067.4</v>
      </c>
    </row>
    <row r="135" spans="2:31" ht="15" customHeight="1" x14ac:dyDescent="0.25">
      <c r="B135" s="50">
        <v>125</v>
      </c>
      <c r="C135" s="168" t="s">
        <v>189</v>
      </c>
      <c r="D135" s="168"/>
      <c r="E135" s="40">
        <v>48</v>
      </c>
      <c r="F135" s="40" t="s">
        <v>149</v>
      </c>
      <c r="G135" s="30" t="s">
        <v>205</v>
      </c>
      <c r="H135" s="41"/>
      <c r="I135" s="42"/>
      <c r="J135" s="41">
        <v>0.21</v>
      </c>
      <c r="K135" s="52">
        <f t="shared" ref="K135:K153" si="23">J135*E135</f>
        <v>10.08</v>
      </c>
      <c r="X135" s="53">
        <v>125</v>
      </c>
      <c r="Y135" s="83" t="s">
        <v>323</v>
      </c>
      <c r="Z135" s="79">
        <v>1</v>
      </c>
      <c r="AA135" s="40" t="s">
        <v>208</v>
      </c>
      <c r="AB135" s="61">
        <v>146000</v>
      </c>
      <c r="AC135" s="61">
        <f t="shared" si="18"/>
        <v>146000</v>
      </c>
      <c r="AD135" s="61">
        <f t="shared" si="19"/>
        <v>27740</v>
      </c>
      <c r="AE135" s="98">
        <f t="shared" si="20"/>
        <v>173740</v>
      </c>
    </row>
    <row r="136" spans="2:31" ht="15" customHeight="1" x14ac:dyDescent="0.25">
      <c r="B136" s="43">
        <v>126</v>
      </c>
      <c r="C136" s="168" t="s">
        <v>190</v>
      </c>
      <c r="D136" s="168"/>
      <c r="E136" s="40">
        <v>12</v>
      </c>
      <c r="F136" s="40" t="s">
        <v>149</v>
      </c>
      <c r="G136" s="30" t="s">
        <v>205</v>
      </c>
      <c r="H136" s="41"/>
      <c r="I136" s="42"/>
      <c r="J136" s="41">
        <v>1.2</v>
      </c>
      <c r="K136" s="52">
        <f t="shared" si="23"/>
        <v>14.399999999999999</v>
      </c>
      <c r="X136" s="53">
        <v>126</v>
      </c>
      <c r="Y136" s="82" t="s">
        <v>324</v>
      </c>
      <c r="Z136" s="79">
        <v>2</v>
      </c>
      <c r="AA136" s="40" t="s">
        <v>208</v>
      </c>
      <c r="AB136" s="61">
        <v>41600</v>
      </c>
      <c r="AC136" s="61">
        <f t="shared" si="18"/>
        <v>83200</v>
      </c>
      <c r="AD136" s="61">
        <f t="shared" si="19"/>
        <v>15808</v>
      </c>
      <c r="AE136" s="98">
        <f t="shared" si="20"/>
        <v>99008</v>
      </c>
    </row>
    <row r="137" spans="2:31" ht="15" customHeight="1" x14ac:dyDescent="0.25">
      <c r="B137" s="43">
        <v>127</v>
      </c>
      <c r="C137" s="168" t="s">
        <v>191</v>
      </c>
      <c r="D137" s="168"/>
      <c r="E137" s="40">
        <v>12</v>
      </c>
      <c r="F137" s="40" t="s">
        <v>149</v>
      </c>
      <c r="G137" s="30" t="s">
        <v>205</v>
      </c>
      <c r="H137" s="41"/>
      <c r="I137" s="42"/>
      <c r="J137" s="41">
        <v>1</v>
      </c>
      <c r="K137" s="52">
        <f t="shared" si="23"/>
        <v>12</v>
      </c>
      <c r="M137" s="49"/>
      <c r="N137" s="49"/>
      <c r="O137" s="49"/>
      <c r="P137" s="49"/>
      <c r="Q137" s="49"/>
      <c r="R137" s="49"/>
      <c r="S137" s="49"/>
      <c r="T137" s="49"/>
      <c r="U137" s="49"/>
      <c r="X137" s="53">
        <v>127</v>
      </c>
      <c r="Y137" s="84" t="s">
        <v>325</v>
      </c>
      <c r="Z137" s="79">
        <v>40</v>
      </c>
      <c r="AA137" s="40" t="s">
        <v>208</v>
      </c>
      <c r="AB137" s="61">
        <v>375</v>
      </c>
      <c r="AC137" s="61">
        <f t="shared" si="18"/>
        <v>15000</v>
      </c>
      <c r="AD137" s="61">
        <f t="shared" si="19"/>
        <v>2850</v>
      </c>
      <c r="AE137" s="98">
        <f t="shared" si="20"/>
        <v>17850</v>
      </c>
    </row>
    <row r="138" spans="2:31" ht="15" customHeight="1" x14ac:dyDescent="0.25">
      <c r="B138" s="43">
        <v>128</v>
      </c>
      <c r="C138" s="166" t="s">
        <v>192</v>
      </c>
      <c r="D138" s="166"/>
      <c r="E138" s="40">
        <v>12</v>
      </c>
      <c r="F138" s="40" t="s">
        <v>149</v>
      </c>
      <c r="G138" s="30" t="s">
        <v>205</v>
      </c>
      <c r="H138" s="41"/>
      <c r="I138" s="42"/>
      <c r="J138" s="41">
        <v>0.8</v>
      </c>
      <c r="K138" s="52">
        <f t="shared" si="23"/>
        <v>9.6000000000000014</v>
      </c>
      <c r="X138" s="53">
        <v>128</v>
      </c>
      <c r="Y138" s="83" t="s">
        <v>326</v>
      </c>
      <c r="Z138" s="79">
        <v>5</v>
      </c>
      <c r="AA138" s="40" t="s">
        <v>208</v>
      </c>
      <c r="AB138" s="61">
        <v>59</v>
      </c>
      <c r="AC138" s="61">
        <f t="shared" si="18"/>
        <v>295</v>
      </c>
      <c r="AD138" s="61">
        <f t="shared" si="19"/>
        <v>56.05</v>
      </c>
      <c r="AE138" s="98">
        <f t="shared" si="20"/>
        <v>351.05</v>
      </c>
    </row>
    <row r="139" spans="2:31" ht="15" customHeight="1" x14ac:dyDescent="0.25">
      <c r="B139" s="50">
        <v>129</v>
      </c>
      <c r="C139" s="166" t="s">
        <v>73</v>
      </c>
      <c r="D139" s="166"/>
      <c r="E139" s="40">
        <v>3</v>
      </c>
      <c r="F139" s="40" t="s">
        <v>149</v>
      </c>
      <c r="G139" s="30" t="s">
        <v>205</v>
      </c>
      <c r="H139" s="41"/>
      <c r="I139" s="42"/>
      <c r="J139" s="41">
        <v>6</v>
      </c>
      <c r="K139" s="52">
        <f t="shared" si="23"/>
        <v>18</v>
      </c>
      <c r="X139" s="53">
        <v>129</v>
      </c>
      <c r="Y139" s="84" t="s">
        <v>349</v>
      </c>
      <c r="Z139" s="79">
        <v>2</v>
      </c>
      <c r="AA139" s="40" t="s">
        <v>208</v>
      </c>
      <c r="AB139" s="61">
        <v>2857.14</v>
      </c>
      <c r="AC139" s="61">
        <f t="shared" si="18"/>
        <v>5714.28</v>
      </c>
      <c r="AD139" s="61">
        <f t="shared" si="19"/>
        <v>1085.7131999999999</v>
      </c>
      <c r="AE139" s="98">
        <f t="shared" si="20"/>
        <v>6799.9931999999999</v>
      </c>
    </row>
    <row r="140" spans="2:31" ht="15" customHeight="1" x14ac:dyDescent="0.25">
      <c r="B140" s="53">
        <v>130</v>
      </c>
      <c r="C140" s="166" t="s">
        <v>75</v>
      </c>
      <c r="D140" s="166"/>
      <c r="E140" s="40">
        <f>22*5.5</f>
        <v>121</v>
      </c>
      <c r="F140" s="40" t="s">
        <v>193</v>
      </c>
      <c r="G140" s="30" t="s">
        <v>205</v>
      </c>
      <c r="H140" s="41"/>
      <c r="I140" s="42"/>
      <c r="J140" s="41">
        <v>6</v>
      </c>
      <c r="K140" s="52">
        <f t="shared" si="23"/>
        <v>726</v>
      </c>
      <c r="L140" s="49"/>
      <c r="X140" s="53">
        <v>130</v>
      </c>
      <c r="Y140" s="83" t="s">
        <v>327</v>
      </c>
      <c r="Z140" s="79">
        <v>1</v>
      </c>
      <c r="AA140" s="40" t="s">
        <v>208</v>
      </c>
      <c r="AB140" s="61">
        <v>12000</v>
      </c>
      <c r="AC140" s="61">
        <f t="shared" si="18"/>
        <v>12000</v>
      </c>
      <c r="AD140" s="61">
        <f t="shared" si="19"/>
        <v>2280</v>
      </c>
      <c r="AE140" s="98">
        <f t="shared" si="20"/>
        <v>14280</v>
      </c>
    </row>
    <row r="141" spans="2:31" ht="15" customHeight="1" x14ac:dyDescent="0.25">
      <c r="B141" s="43">
        <v>131</v>
      </c>
      <c r="C141" s="166" t="s">
        <v>77</v>
      </c>
      <c r="D141" s="166"/>
      <c r="E141" s="40">
        <v>14</v>
      </c>
      <c r="F141" s="40" t="s">
        <v>193</v>
      </c>
      <c r="G141" s="30" t="s">
        <v>205</v>
      </c>
      <c r="H141" s="41"/>
      <c r="I141" s="42"/>
      <c r="J141" s="41">
        <v>6</v>
      </c>
      <c r="K141" s="52">
        <f t="shared" si="23"/>
        <v>84</v>
      </c>
      <c r="X141" s="53">
        <v>131</v>
      </c>
      <c r="Y141" s="83" t="s">
        <v>328</v>
      </c>
      <c r="Z141" s="79">
        <v>1</v>
      </c>
      <c r="AA141" s="40" t="s">
        <v>208</v>
      </c>
      <c r="AB141" s="61">
        <v>9300</v>
      </c>
      <c r="AC141" s="61">
        <f t="shared" si="18"/>
        <v>9300</v>
      </c>
      <c r="AD141" s="61">
        <f t="shared" si="19"/>
        <v>1767</v>
      </c>
      <c r="AE141" s="98">
        <f t="shared" si="20"/>
        <v>11067</v>
      </c>
    </row>
    <row r="142" spans="2:31" ht="15" customHeight="1" x14ac:dyDescent="0.25">
      <c r="B142" s="43">
        <v>132</v>
      </c>
      <c r="C142" s="166" t="s">
        <v>79</v>
      </c>
      <c r="D142" s="166"/>
      <c r="E142" s="40">
        <v>9</v>
      </c>
      <c r="F142" s="40" t="s">
        <v>193</v>
      </c>
      <c r="G142" s="30" t="s">
        <v>205</v>
      </c>
      <c r="H142" s="41"/>
      <c r="I142" s="42"/>
      <c r="J142" s="41">
        <v>6</v>
      </c>
      <c r="K142" s="52">
        <f t="shared" si="23"/>
        <v>54</v>
      </c>
      <c r="X142" s="53">
        <v>132</v>
      </c>
      <c r="Y142" s="108" t="s">
        <v>329</v>
      </c>
      <c r="Z142" s="79">
        <v>1</v>
      </c>
      <c r="AA142" s="40" t="s">
        <v>208</v>
      </c>
      <c r="AB142" s="61">
        <v>28560</v>
      </c>
      <c r="AC142" s="61">
        <f t="shared" ref="AC142:AC147" si="24">AB142*Z142</f>
        <v>28560</v>
      </c>
      <c r="AD142" s="61">
        <f t="shared" ref="AD142:AD147" si="25">AC142*0.19</f>
        <v>5426.4</v>
      </c>
      <c r="AE142" s="98">
        <f t="shared" ref="AE142:AE147" si="26">SUM(AC142:AD142)</f>
        <v>33986.400000000001</v>
      </c>
    </row>
    <row r="143" spans="2:31" ht="15" customHeight="1" x14ac:dyDescent="0.25">
      <c r="B143" s="50">
        <v>133</v>
      </c>
      <c r="C143" s="166" t="s">
        <v>81</v>
      </c>
      <c r="D143" s="166"/>
      <c r="E143" s="40">
        <v>36</v>
      </c>
      <c r="F143" s="40" t="s">
        <v>194</v>
      </c>
      <c r="G143" s="30" t="s">
        <v>205</v>
      </c>
      <c r="H143" s="41"/>
      <c r="I143" s="42"/>
      <c r="J143" s="41">
        <v>6</v>
      </c>
      <c r="K143" s="52">
        <f t="shared" si="23"/>
        <v>216</v>
      </c>
      <c r="X143" s="53">
        <v>133</v>
      </c>
      <c r="Y143" s="83" t="s">
        <v>330</v>
      </c>
      <c r="Z143" s="79">
        <v>3</v>
      </c>
      <c r="AA143" s="40" t="s">
        <v>208</v>
      </c>
      <c r="AB143" s="61">
        <v>46219</v>
      </c>
      <c r="AC143" s="61">
        <f t="shared" si="24"/>
        <v>138657</v>
      </c>
      <c r="AD143" s="61">
        <f t="shared" si="25"/>
        <v>26344.83</v>
      </c>
      <c r="AE143" s="98">
        <f t="shared" si="26"/>
        <v>165001.83000000002</v>
      </c>
    </row>
    <row r="144" spans="2:31" ht="15" customHeight="1" x14ac:dyDescent="0.25">
      <c r="B144" s="43">
        <v>134</v>
      </c>
      <c r="C144" s="166" t="s">
        <v>195</v>
      </c>
      <c r="D144" s="166"/>
      <c r="E144" s="40">
        <v>10</v>
      </c>
      <c r="F144" s="40" t="s">
        <v>193</v>
      </c>
      <c r="G144" s="30" t="s">
        <v>205</v>
      </c>
      <c r="H144" s="41"/>
      <c r="I144" s="42"/>
      <c r="J144" s="41">
        <v>6</v>
      </c>
      <c r="K144" s="52">
        <f t="shared" si="23"/>
        <v>60</v>
      </c>
      <c r="X144" s="53">
        <v>134</v>
      </c>
      <c r="Y144" s="83" t="s">
        <v>331</v>
      </c>
      <c r="Z144" s="79">
        <v>1</v>
      </c>
      <c r="AA144" s="40" t="s">
        <v>208</v>
      </c>
      <c r="AB144" s="104">
        <v>209999.97249999997</v>
      </c>
      <c r="AC144" s="61">
        <f t="shared" si="24"/>
        <v>209999.97249999997</v>
      </c>
      <c r="AD144" s="61">
        <f t="shared" si="25"/>
        <v>39899.994774999999</v>
      </c>
      <c r="AE144" s="98">
        <f t="shared" si="26"/>
        <v>249899.96727499997</v>
      </c>
    </row>
    <row r="145" spans="2:31" ht="15" customHeight="1" x14ac:dyDescent="0.25">
      <c r="B145" s="43">
        <v>135</v>
      </c>
      <c r="C145" s="166" t="s">
        <v>196</v>
      </c>
      <c r="D145" s="166"/>
      <c r="E145" s="40">
        <v>22</v>
      </c>
      <c r="F145" s="40" t="s">
        <v>193</v>
      </c>
      <c r="G145" s="30" t="s">
        <v>205</v>
      </c>
      <c r="H145" s="41"/>
      <c r="I145" s="42"/>
      <c r="J145" s="41">
        <v>0.8</v>
      </c>
      <c r="K145" s="52">
        <f t="shared" si="23"/>
        <v>17.600000000000001</v>
      </c>
      <c r="X145" s="53">
        <v>135</v>
      </c>
      <c r="Y145" s="83" t="s">
        <v>332</v>
      </c>
      <c r="Z145" s="79">
        <v>2</v>
      </c>
      <c r="AA145" s="40" t="s">
        <v>208</v>
      </c>
      <c r="AB145" s="61">
        <v>20283</v>
      </c>
      <c r="AC145" s="61">
        <f t="shared" si="24"/>
        <v>40566</v>
      </c>
      <c r="AD145" s="61">
        <f t="shared" si="25"/>
        <v>7707.54</v>
      </c>
      <c r="AE145" s="98">
        <f t="shared" si="26"/>
        <v>48273.54</v>
      </c>
    </row>
    <row r="146" spans="2:31" ht="15" customHeight="1" x14ac:dyDescent="0.25">
      <c r="B146" s="43">
        <v>136</v>
      </c>
      <c r="C146" s="166" t="s">
        <v>197</v>
      </c>
      <c r="D146" s="166"/>
      <c r="E146" s="40">
        <v>22</v>
      </c>
      <c r="F146" s="40" t="s">
        <v>193</v>
      </c>
      <c r="G146" s="30" t="s">
        <v>205</v>
      </c>
      <c r="H146" s="41"/>
      <c r="I146" s="42"/>
      <c r="J146" s="41">
        <v>0.26</v>
      </c>
      <c r="K146" s="52">
        <f t="shared" si="23"/>
        <v>5.7200000000000006</v>
      </c>
      <c r="X146" s="53">
        <v>136</v>
      </c>
      <c r="Y146" s="83" t="s">
        <v>356</v>
      </c>
      <c r="Z146" s="79">
        <v>1</v>
      </c>
      <c r="AA146" s="40" t="s">
        <v>208</v>
      </c>
      <c r="AB146" s="61">
        <v>1680.67</v>
      </c>
      <c r="AC146" s="61">
        <f t="shared" si="24"/>
        <v>1680.67</v>
      </c>
      <c r="AD146" s="61">
        <f t="shared" si="25"/>
        <v>319.32730000000004</v>
      </c>
      <c r="AE146" s="98">
        <f t="shared" si="26"/>
        <v>1999.9973</v>
      </c>
    </row>
    <row r="147" spans="2:31" ht="15" customHeight="1" x14ac:dyDescent="0.25">
      <c r="B147" s="50">
        <v>137</v>
      </c>
      <c r="C147" s="166" t="s">
        <v>198</v>
      </c>
      <c r="D147" s="166"/>
      <c r="E147" s="40">
        <v>32</v>
      </c>
      <c r="F147" s="40" t="s">
        <v>199</v>
      </c>
      <c r="G147" s="30" t="s">
        <v>205</v>
      </c>
      <c r="H147" s="41"/>
      <c r="I147" s="42"/>
      <c r="J147" s="41">
        <v>0.92</v>
      </c>
      <c r="K147" s="52">
        <f t="shared" si="23"/>
        <v>29.44</v>
      </c>
      <c r="X147" s="53">
        <v>137</v>
      </c>
      <c r="Y147" s="83" t="s">
        <v>333</v>
      </c>
      <c r="Z147" s="79">
        <v>5</v>
      </c>
      <c r="AA147" s="40" t="s">
        <v>208</v>
      </c>
      <c r="AB147" s="61">
        <v>88250</v>
      </c>
      <c r="AC147" s="61">
        <f t="shared" si="24"/>
        <v>441250</v>
      </c>
      <c r="AD147" s="61">
        <f t="shared" si="25"/>
        <v>83837.5</v>
      </c>
      <c r="AE147" s="98">
        <f t="shared" si="26"/>
        <v>525087.5</v>
      </c>
    </row>
    <row r="148" spans="2:31" ht="15" customHeight="1" x14ac:dyDescent="0.25">
      <c r="B148" s="43">
        <v>138</v>
      </c>
      <c r="C148" s="166" t="s">
        <v>200</v>
      </c>
      <c r="D148" s="166"/>
      <c r="E148" s="40">
        <v>16</v>
      </c>
      <c r="F148" s="40" t="s">
        <v>199</v>
      </c>
      <c r="G148" s="30" t="s">
        <v>205</v>
      </c>
      <c r="H148" s="41"/>
      <c r="I148" s="42"/>
      <c r="J148" s="41">
        <v>0.75</v>
      </c>
      <c r="K148" s="52">
        <f t="shared" si="23"/>
        <v>12</v>
      </c>
      <c r="X148" s="53">
        <v>138</v>
      </c>
      <c r="Y148" s="83" t="s">
        <v>334</v>
      </c>
      <c r="Z148" s="79">
        <v>1</v>
      </c>
      <c r="AA148" s="40" t="s">
        <v>208</v>
      </c>
      <c r="AB148" s="61">
        <v>7479</v>
      </c>
      <c r="AC148" s="61">
        <f t="shared" ref="AC148:AC155" si="27">AB148*Z148</f>
        <v>7479</v>
      </c>
      <c r="AD148" s="61">
        <f t="shared" ref="AD148:AD155" si="28">AC148*0.19</f>
        <v>1421.01</v>
      </c>
      <c r="AE148" s="98">
        <f t="shared" ref="AE148:AE155" si="29">SUM(AC148:AD148)</f>
        <v>8900.01</v>
      </c>
    </row>
    <row r="149" spans="2:31" ht="15" customHeight="1" x14ac:dyDescent="0.25">
      <c r="B149" s="43">
        <v>139</v>
      </c>
      <c r="C149" s="166" t="s">
        <v>85</v>
      </c>
      <c r="D149" s="166"/>
      <c r="E149" s="40">
        <v>8</v>
      </c>
      <c r="F149" s="40" t="s">
        <v>199</v>
      </c>
      <c r="G149" s="30" t="s">
        <v>205</v>
      </c>
      <c r="H149" s="41"/>
      <c r="I149" s="42"/>
      <c r="J149" s="41">
        <v>6</v>
      </c>
      <c r="K149" s="52">
        <f t="shared" si="23"/>
        <v>48</v>
      </c>
      <c r="X149" s="53">
        <v>139</v>
      </c>
      <c r="Y149" s="87" t="s">
        <v>335</v>
      </c>
      <c r="Z149" s="79">
        <v>8</v>
      </c>
      <c r="AA149" s="40" t="s">
        <v>208</v>
      </c>
      <c r="AB149" s="61">
        <v>10924</v>
      </c>
      <c r="AC149" s="61">
        <f t="shared" si="27"/>
        <v>87392</v>
      </c>
      <c r="AD149" s="61">
        <f t="shared" si="28"/>
        <v>16604.48</v>
      </c>
      <c r="AE149" s="98">
        <f t="shared" si="29"/>
        <v>103996.48</v>
      </c>
    </row>
    <row r="150" spans="2:31" ht="15" customHeight="1" x14ac:dyDescent="0.25">
      <c r="B150" s="43">
        <v>140</v>
      </c>
      <c r="C150" s="166" t="s">
        <v>201</v>
      </c>
      <c r="D150" s="166"/>
      <c r="E150" s="40">
        <v>8</v>
      </c>
      <c r="F150" s="40" t="s">
        <v>199</v>
      </c>
      <c r="G150" s="30" t="s">
        <v>205</v>
      </c>
      <c r="H150" s="41"/>
      <c r="I150" s="42"/>
      <c r="J150" s="41">
        <v>0.82</v>
      </c>
      <c r="K150" s="52">
        <f t="shared" si="23"/>
        <v>6.56</v>
      </c>
      <c r="X150" s="53">
        <v>140</v>
      </c>
      <c r="Y150" s="83" t="s">
        <v>336</v>
      </c>
      <c r="Z150" s="79">
        <v>1</v>
      </c>
      <c r="AA150" s="40" t="s">
        <v>208</v>
      </c>
      <c r="AB150" s="61">
        <v>37000</v>
      </c>
      <c r="AC150" s="61">
        <f t="shared" si="27"/>
        <v>37000</v>
      </c>
      <c r="AD150" s="61">
        <f t="shared" si="28"/>
        <v>7030</v>
      </c>
      <c r="AE150" s="98">
        <f t="shared" si="29"/>
        <v>44030</v>
      </c>
    </row>
    <row r="151" spans="2:31" ht="15" customHeight="1" x14ac:dyDescent="0.25">
      <c r="B151" s="50">
        <v>141</v>
      </c>
      <c r="C151" s="166" t="s">
        <v>202</v>
      </c>
      <c r="D151" s="166"/>
      <c r="E151" s="40">
        <v>16</v>
      </c>
      <c r="F151" s="40" t="s">
        <v>199</v>
      </c>
      <c r="G151" s="30" t="s">
        <v>205</v>
      </c>
      <c r="H151" s="41"/>
      <c r="I151" s="42"/>
      <c r="J151" s="41">
        <v>0.75</v>
      </c>
      <c r="K151" s="52">
        <f t="shared" si="23"/>
        <v>12</v>
      </c>
      <c r="X151" s="53">
        <v>141</v>
      </c>
      <c r="Y151" s="83" t="s">
        <v>337</v>
      </c>
      <c r="Z151" s="79">
        <v>30</v>
      </c>
      <c r="AA151" s="40" t="s">
        <v>208</v>
      </c>
      <c r="AB151" s="61">
        <v>9350</v>
      </c>
      <c r="AC151" s="61">
        <f t="shared" si="27"/>
        <v>280500</v>
      </c>
      <c r="AD151" s="61">
        <f t="shared" si="28"/>
        <v>53295</v>
      </c>
      <c r="AE151" s="98">
        <f t="shared" si="29"/>
        <v>333795</v>
      </c>
    </row>
    <row r="152" spans="2:31" ht="15" customHeight="1" x14ac:dyDescent="0.25">
      <c r="B152" s="43">
        <v>142</v>
      </c>
      <c r="C152" s="166" t="s">
        <v>203</v>
      </c>
      <c r="D152" s="166"/>
      <c r="E152" s="40">
        <v>20</v>
      </c>
      <c r="F152" s="40" t="s">
        <v>199</v>
      </c>
      <c r="G152" s="30" t="s">
        <v>205</v>
      </c>
      <c r="H152" s="41"/>
      <c r="I152" s="42"/>
      <c r="J152" s="41">
        <v>1.35</v>
      </c>
      <c r="K152" s="52">
        <f t="shared" si="23"/>
        <v>27</v>
      </c>
      <c r="X152" s="53">
        <v>142</v>
      </c>
      <c r="Y152" s="83" t="s">
        <v>338</v>
      </c>
      <c r="Z152" s="79">
        <v>3</v>
      </c>
      <c r="AA152" s="40" t="s">
        <v>208</v>
      </c>
      <c r="AB152" s="61">
        <v>15966.39</v>
      </c>
      <c r="AC152" s="61">
        <f t="shared" si="27"/>
        <v>47899.17</v>
      </c>
      <c r="AD152" s="61">
        <f t="shared" si="28"/>
        <v>9100.8423000000003</v>
      </c>
      <c r="AE152" s="98">
        <f t="shared" si="29"/>
        <v>57000.012300000002</v>
      </c>
    </row>
    <row r="153" spans="2:31" ht="15" customHeight="1" thickBot="1" x14ac:dyDescent="0.3">
      <c r="B153" s="48">
        <v>143</v>
      </c>
      <c r="C153" s="167" t="s">
        <v>85</v>
      </c>
      <c r="D153" s="167"/>
      <c r="E153" s="54">
        <v>8</v>
      </c>
      <c r="F153" s="54" t="s">
        <v>204</v>
      </c>
      <c r="G153" s="55" t="s">
        <v>205</v>
      </c>
      <c r="H153" s="56"/>
      <c r="I153" s="57"/>
      <c r="J153" s="56">
        <v>6</v>
      </c>
      <c r="K153" s="58">
        <f t="shared" si="23"/>
        <v>48</v>
      </c>
      <c r="X153" s="53">
        <v>143</v>
      </c>
      <c r="Y153" s="85" t="s">
        <v>343</v>
      </c>
      <c r="Z153" s="86">
        <v>1</v>
      </c>
      <c r="AA153" s="40" t="s">
        <v>208</v>
      </c>
      <c r="AB153" s="61">
        <v>2100840</v>
      </c>
      <c r="AC153" s="61">
        <f t="shared" si="27"/>
        <v>2100840</v>
      </c>
      <c r="AD153" s="61">
        <f t="shared" si="28"/>
        <v>399159.6</v>
      </c>
      <c r="AE153" s="98">
        <f t="shared" si="29"/>
        <v>2499999.6</v>
      </c>
    </row>
    <row r="154" spans="2:31" x14ac:dyDescent="0.25">
      <c r="X154" s="53">
        <v>144</v>
      </c>
      <c r="Y154" s="3" t="s">
        <v>344</v>
      </c>
      <c r="Z154" s="86">
        <v>3</v>
      </c>
      <c r="AA154" s="40" t="s">
        <v>208</v>
      </c>
      <c r="AB154" s="61">
        <v>1188</v>
      </c>
      <c r="AC154" s="61">
        <f t="shared" si="27"/>
        <v>3564</v>
      </c>
      <c r="AD154" s="61">
        <f t="shared" si="28"/>
        <v>677.16</v>
      </c>
      <c r="AE154" s="98">
        <f t="shared" si="29"/>
        <v>4241.16</v>
      </c>
    </row>
    <row r="155" spans="2:31" ht="15.75" thickBot="1" x14ac:dyDescent="0.3">
      <c r="X155" s="53">
        <v>145</v>
      </c>
      <c r="Y155" s="100" t="s">
        <v>345</v>
      </c>
      <c r="Z155" s="101">
        <v>1</v>
      </c>
      <c r="AA155" s="54" t="s">
        <v>208</v>
      </c>
      <c r="AB155" s="102">
        <v>142500</v>
      </c>
      <c r="AC155" s="102">
        <f t="shared" si="27"/>
        <v>142500</v>
      </c>
      <c r="AD155" s="102">
        <f t="shared" si="28"/>
        <v>27075</v>
      </c>
      <c r="AE155" s="103">
        <f t="shared" si="29"/>
        <v>169575</v>
      </c>
    </row>
    <row r="156" spans="2:31" ht="15.75" thickBot="1" x14ac:dyDescent="0.3">
      <c r="Y156"/>
      <c r="Z156"/>
      <c r="AB156" s="91">
        <f>SUM(AB11:AB155)</f>
        <v>10150030.592499999</v>
      </c>
      <c r="AC156" s="91">
        <f>SUM(AC11:AC155)</f>
        <v>89512773.712500021</v>
      </c>
      <c r="AD156" s="91">
        <f>SUM(AD11:AD155)</f>
        <v>17007427.005375002</v>
      </c>
      <c r="AE156" s="91">
        <f>SUM(AE11:AE155)</f>
        <v>106520200.71787499</v>
      </c>
    </row>
    <row r="157" spans="2:31" x14ac:dyDescent="0.25">
      <c r="Y157"/>
      <c r="Z157"/>
    </row>
    <row r="158" spans="2:31" x14ac:dyDescent="0.25">
      <c r="Y158"/>
      <c r="Z158"/>
    </row>
    <row r="159" spans="2:31" x14ac:dyDescent="0.25">
      <c r="Y159"/>
      <c r="Z159"/>
    </row>
    <row r="160" spans="2:31" x14ac:dyDescent="0.25">
      <c r="Y160"/>
      <c r="Z160"/>
      <c r="AB160" s="105"/>
      <c r="AC160" s="105"/>
    </row>
    <row r="161" spans="25:26" x14ac:dyDescent="0.25">
      <c r="Y161"/>
      <c r="Z161"/>
    </row>
    <row r="162" spans="25:26" x14ac:dyDescent="0.25">
      <c r="Y162"/>
      <c r="Z162"/>
    </row>
    <row r="163" spans="25:26" x14ac:dyDescent="0.25">
      <c r="Y163"/>
      <c r="Z163"/>
    </row>
    <row r="164" spans="25:26" x14ac:dyDescent="0.25">
      <c r="Y164"/>
      <c r="Z164"/>
    </row>
    <row r="165" spans="25:26" x14ac:dyDescent="0.25">
      <c r="Y165"/>
      <c r="Z165"/>
    </row>
    <row r="166" spans="25:26" x14ac:dyDescent="0.25">
      <c r="Y166"/>
      <c r="Z166"/>
    </row>
    <row r="167" spans="25:26" x14ac:dyDescent="0.25">
      <c r="Y167"/>
      <c r="Z167"/>
    </row>
    <row r="168" spans="25:26" x14ac:dyDescent="0.25">
      <c r="Y168"/>
      <c r="Z168"/>
    </row>
    <row r="169" spans="25:26" x14ac:dyDescent="0.25">
      <c r="Y169"/>
      <c r="Z169"/>
    </row>
    <row r="170" spans="25:26" x14ac:dyDescent="0.25">
      <c r="Y170"/>
      <c r="Z170"/>
    </row>
    <row r="171" spans="25:26" x14ac:dyDescent="0.25">
      <c r="Y171"/>
      <c r="Z171"/>
    </row>
    <row r="172" spans="25:26" x14ac:dyDescent="0.25">
      <c r="Y172"/>
      <c r="Z172"/>
    </row>
    <row r="173" spans="25:26" x14ac:dyDescent="0.25">
      <c r="Y173"/>
      <c r="Z173"/>
    </row>
    <row r="174" spans="25:26" x14ac:dyDescent="0.25">
      <c r="Y174"/>
      <c r="Z174"/>
    </row>
    <row r="175" spans="25:26" x14ac:dyDescent="0.25">
      <c r="Y175"/>
      <c r="Z175"/>
    </row>
    <row r="176" spans="25:26" x14ac:dyDescent="0.25">
      <c r="Y176"/>
      <c r="Z176"/>
    </row>
    <row r="177" spans="25:26" x14ac:dyDescent="0.25">
      <c r="Y177"/>
      <c r="Z177"/>
    </row>
  </sheetData>
  <autoFilter ref="AE1:AE181" xr:uid="{00000000-0001-0000-0100-000000000000}"/>
  <mergeCells count="183">
    <mergeCell ref="M9:U9"/>
    <mergeCell ref="B9:K9"/>
    <mergeCell ref="C2:E6"/>
    <mergeCell ref="F3:J3"/>
    <mergeCell ref="F4:J4"/>
    <mergeCell ref="F5:J5"/>
    <mergeCell ref="F2:J2"/>
    <mergeCell ref="F6:J6"/>
    <mergeCell ref="C13:D13"/>
    <mergeCell ref="N13:O13"/>
    <mergeCell ref="C14:D14"/>
    <mergeCell ref="N14:O14"/>
    <mergeCell ref="C15:D15"/>
    <mergeCell ref="N15:O15"/>
    <mergeCell ref="C10:D10"/>
    <mergeCell ref="N10:O10"/>
    <mergeCell ref="C11:D11"/>
    <mergeCell ref="N11:O11"/>
    <mergeCell ref="C12:D12"/>
    <mergeCell ref="N12:O12"/>
    <mergeCell ref="C19:D19"/>
    <mergeCell ref="N19:O19"/>
    <mergeCell ref="C20:D20"/>
    <mergeCell ref="N20:O20"/>
    <mergeCell ref="C21:D21"/>
    <mergeCell ref="N21:O21"/>
    <mergeCell ref="C16:D16"/>
    <mergeCell ref="N16:O16"/>
    <mergeCell ref="C17:D17"/>
    <mergeCell ref="N17:O17"/>
    <mergeCell ref="C18:D18"/>
    <mergeCell ref="N18:O18"/>
    <mergeCell ref="C25:D25"/>
    <mergeCell ref="N25:O25"/>
    <mergeCell ref="C26:D26"/>
    <mergeCell ref="N26:O26"/>
    <mergeCell ref="C27:D27"/>
    <mergeCell ref="N27:O27"/>
    <mergeCell ref="C22:D22"/>
    <mergeCell ref="N22:O22"/>
    <mergeCell ref="C23:D23"/>
    <mergeCell ref="N23:O23"/>
    <mergeCell ref="C24:D24"/>
    <mergeCell ref="N24:O24"/>
    <mergeCell ref="C31:D31"/>
    <mergeCell ref="N31:O31"/>
    <mergeCell ref="C32:D32"/>
    <mergeCell ref="N32:O32"/>
    <mergeCell ref="C33:D33"/>
    <mergeCell ref="N33:O33"/>
    <mergeCell ref="C28:D28"/>
    <mergeCell ref="N28:O28"/>
    <mergeCell ref="C29:D29"/>
    <mergeCell ref="N29:O29"/>
    <mergeCell ref="C30:D30"/>
    <mergeCell ref="N30:O30"/>
    <mergeCell ref="C37:D37"/>
    <mergeCell ref="N37:O37"/>
    <mergeCell ref="C38:D38"/>
    <mergeCell ref="C39:D39"/>
    <mergeCell ref="C34:D34"/>
    <mergeCell ref="N34:O34"/>
    <mergeCell ref="C35:D35"/>
    <mergeCell ref="N35:O35"/>
    <mergeCell ref="C36:D36"/>
    <mergeCell ref="N36:O36"/>
    <mergeCell ref="N38:O38"/>
    <mergeCell ref="M39:Q39"/>
    <mergeCell ref="C44:D44"/>
    <mergeCell ref="C45:D45"/>
    <mergeCell ref="C46:D46"/>
    <mergeCell ref="C47:D47"/>
    <mergeCell ref="C48:D48"/>
    <mergeCell ref="C40:D40"/>
    <mergeCell ref="C41:D41"/>
    <mergeCell ref="C42:D42"/>
    <mergeCell ref="C43:D43"/>
    <mergeCell ref="C54:D54"/>
    <mergeCell ref="C55:D55"/>
    <mergeCell ref="C56:D56"/>
    <mergeCell ref="C57:D57"/>
    <mergeCell ref="C58:D58"/>
    <mergeCell ref="C49:D49"/>
    <mergeCell ref="C50:D50"/>
    <mergeCell ref="C51:D51"/>
    <mergeCell ref="C52:D52"/>
    <mergeCell ref="C53:D53"/>
    <mergeCell ref="C64:D64"/>
    <mergeCell ref="C65:D65"/>
    <mergeCell ref="C66:D66"/>
    <mergeCell ref="C67:D67"/>
    <mergeCell ref="C68:D68"/>
    <mergeCell ref="C59:D59"/>
    <mergeCell ref="C60:D60"/>
    <mergeCell ref="C61:D61"/>
    <mergeCell ref="C62:D62"/>
    <mergeCell ref="C63:D63"/>
    <mergeCell ref="C74:D74"/>
    <mergeCell ref="C75:D75"/>
    <mergeCell ref="C76:D76"/>
    <mergeCell ref="C77:D77"/>
    <mergeCell ref="C78:D78"/>
    <mergeCell ref="C69:D69"/>
    <mergeCell ref="C70:D70"/>
    <mergeCell ref="C71:D71"/>
    <mergeCell ref="C72:D72"/>
    <mergeCell ref="C73:D73"/>
    <mergeCell ref="C84:D84"/>
    <mergeCell ref="C85:D85"/>
    <mergeCell ref="C86:D86"/>
    <mergeCell ref="C87:D87"/>
    <mergeCell ref="C88:D88"/>
    <mergeCell ref="C79:D79"/>
    <mergeCell ref="C80:D80"/>
    <mergeCell ref="C81:D81"/>
    <mergeCell ref="C82:D82"/>
    <mergeCell ref="C83:D83"/>
    <mergeCell ref="C94:D94"/>
    <mergeCell ref="C95:D95"/>
    <mergeCell ref="C96:D96"/>
    <mergeCell ref="C97:D97"/>
    <mergeCell ref="C98:D98"/>
    <mergeCell ref="C89:D89"/>
    <mergeCell ref="C90:D90"/>
    <mergeCell ref="C91:D91"/>
    <mergeCell ref="C92:D92"/>
    <mergeCell ref="C93:D93"/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  <mergeCell ref="C114:D114"/>
    <mergeCell ref="C115:D115"/>
    <mergeCell ref="C116:D116"/>
    <mergeCell ref="C117:D117"/>
    <mergeCell ref="C118:D118"/>
    <mergeCell ref="C109:D109"/>
    <mergeCell ref="C110:D110"/>
    <mergeCell ref="C111:D111"/>
    <mergeCell ref="C112:D112"/>
    <mergeCell ref="C113:D113"/>
    <mergeCell ref="C132:D132"/>
    <mergeCell ref="C133:D133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122:D122"/>
    <mergeCell ref="C123:D123"/>
    <mergeCell ref="X9:AE9"/>
    <mergeCell ref="C149:D149"/>
    <mergeCell ref="C150:D150"/>
    <mergeCell ref="C151:D151"/>
    <mergeCell ref="C152:D152"/>
    <mergeCell ref="C153:D153"/>
    <mergeCell ref="C144:D144"/>
    <mergeCell ref="C145:D145"/>
    <mergeCell ref="C146:D146"/>
    <mergeCell ref="C147:D147"/>
    <mergeCell ref="C148:D148"/>
    <mergeCell ref="C139:D139"/>
    <mergeCell ref="C140:D140"/>
    <mergeCell ref="C141:D141"/>
    <mergeCell ref="C142:D142"/>
    <mergeCell ref="C143:D143"/>
    <mergeCell ref="C134:D134"/>
    <mergeCell ref="C135:D135"/>
    <mergeCell ref="C136:D136"/>
    <mergeCell ref="C137:D137"/>
    <mergeCell ref="C138:D138"/>
    <mergeCell ref="C129:D129"/>
    <mergeCell ref="C130:D130"/>
    <mergeCell ref="C131:D131"/>
  </mergeCells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Materiales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2021-10-12T17:43:32Z</cp:lastPrinted>
  <dcterms:created xsi:type="dcterms:W3CDTF">2021-10-05T16:31:25Z</dcterms:created>
  <dcterms:modified xsi:type="dcterms:W3CDTF">2022-02-15T14:45:54Z</dcterms:modified>
</cp:coreProperties>
</file>