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1720" windowHeight="9735" firstSheet="5" activeTab="6"/>
  </bookViews>
  <sheets>
    <sheet name="Precio Kilo Pitahaya" sheetId="15" r:id="rId1"/>
    <sheet name="Costos" sheetId="4" r:id="rId2"/>
    <sheet name="Punto de Equilibrio" sheetId="5" r:id="rId3"/>
    <sheet name="Proyección de ventas" sheetId="3" r:id="rId4"/>
    <sheet name="Balance General" sheetId="11" r:id="rId5"/>
    <sheet name="Estado de Resultados" sheetId="10" r:id="rId6"/>
    <sheet name="Estado de Flujo de Caja" sheetId="12" r:id="rId7"/>
    <sheet name="Depreciación" sheetId="13" r:id="rId8"/>
    <sheet name="Financiación" sheetId="2" r:id="rId9"/>
    <sheet name="Inversion Inicial " sheetId="1" r:id="rId10"/>
    <sheet name="Indicadores Financieros" sheetId="14" r:id="rId11"/>
  </sheets>
  <calcPr calcId="152511"/>
</workbook>
</file>

<file path=xl/calcChain.xml><?xml version="1.0" encoding="utf-8"?>
<calcChain xmlns="http://schemas.openxmlformats.org/spreadsheetml/2006/main">
  <c r="D21" i="14" l="1"/>
  <c r="D20" i="14"/>
  <c r="I25" i="14"/>
  <c r="I26" i="14" s="1"/>
  <c r="H25" i="14"/>
  <c r="H26" i="14" s="1"/>
  <c r="C14" i="14"/>
  <c r="C8" i="14"/>
  <c r="D19" i="14"/>
  <c r="D13" i="14"/>
  <c r="E13" i="14"/>
  <c r="F13" i="14"/>
  <c r="G13" i="14"/>
  <c r="H13" i="14"/>
  <c r="N128" i="12" l="1"/>
  <c r="M128" i="12"/>
  <c r="L128" i="12"/>
  <c r="K128" i="12"/>
  <c r="J128" i="12"/>
  <c r="I128" i="12"/>
  <c r="H128" i="12"/>
  <c r="G128" i="12"/>
  <c r="F128" i="12"/>
  <c r="E128" i="12"/>
  <c r="D128" i="12"/>
  <c r="C128" i="12"/>
  <c r="O127" i="12"/>
  <c r="O126" i="12"/>
  <c r="N101" i="12"/>
  <c r="M101" i="12"/>
  <c r="L101" i="12"/>
  <c r="K101" i="12"/>
  <c r="J101" i="12"/>
  <c r="I101" i="12"/>
  <c r="H101" i="12"/>
  <c r="G101" i="12"/>
  <c r="F101" i="12"/>
  <c r="E101" i="12"/>
  <c r="D101" i="12"/>
  <c r="C101" i="12"/>
  <c r="O100" i="12"/>
  <c r="O99" i="12"/>
  <c r="N74" i="12"/>
  <c r="M74" i="12"/>
  <c r="L74" i="12"/>
  <c r="K74" i="12"/>
  <c r="J74" i="12"/>
  <c r="I74" i="12"/>
  <c r="H74" i="12"/>
  <c r="G74" i="12"/>
  <c r="F74" i="12"/>
  <c r="E74" i="12"/>
  <c r="D74" i="12"/>
  <c r="C74" i="12"/>
  <c r="O73" i="12"/>
  <c r="O72" i="12"/>
  <c r="O51" i="12"/>
  <c r="F65" i="12" s="1"/>
  <c r="O65" i="12" s="1"/>
  <c r="N47" i="12"/>
  <c r="M47" i="12"/>
  <c r="L47" i="12"/>
  <c r="K47" i="12"/>
  <c r="J47" i="12"/>
  <c r="I47" i="12"/>
  <c r="H47" i="12"/>
  <c r="G47" i="12"/>
  <c r="F47" i="12"/>
  <c r="E47" i="12"/>
  <c r="D47" i="12"/>
  <c r="C47" i="12"/>
  <c r="O46" i="12"/>
  <c r="O45" i="12"/>
  <c r="O38" i="12"/>
  <c r="O4" i="12"/>
  <c r="D6" i="11"/>
  <c r="O24" i="12"/>
  <c r="O18" i="12"/>
  <c r="D20" i="12"/>
  <c r="E20" i="12"/>
  <c r="F20" i="12"/>
  <c r="G20" i="12"/>
  <c r="H20" i="12"/>
  <c r="I20" i="12"/>
  <c r="J20" i="12"/>
  <c r="K20" i="12"/>
  <c r="L20" i="12"/>
  <c r="M20" i="12"/>
  <c r="N20" i="12"/>
  <c r="C20" i="12"/>
  <c r="O47" i="12" l="1"/>
  <c r="O128" i="12"/>
  <c r="O74" i="12"/>
  <c r="O101" i="12"/>
  <c r="O8" i="4"/>
  <c r="C2" i="1"/>
  <c r="D23" i="11"/>
  <c r="E23" i="11"/>
  <c r="F23" i="11"/>
  <c r="C23" i="11"/>
  <c r="D14" i="12" l="1"/>
  <c r="E14" i="12"/>
  <c r="F14" i="12"/>
  <c r="G14" i="12"/>
  <c r="H14" i="12"/>
  <c r="I14" i="12"/>
  <c r="J14" i="12"/>
  <c r="K14" i="12"/>
  <c r="L14" i="12"/>
  <c r="M14" i="12"/>
  <c r="N14" i="12"/>
  <c r="C14" i="12"/>
  <c r="D12" i="12"/>
  <c r="E12" i="12"/>
  <c r="F12" i="12"/>
  <c r="G12" i="12"/>
  <c r="H12" i="12"/>
  <c r="I12" i="12"/>
  <c r="J12" i="12"/>
  <c r="K12" i="12"/>
  <c r="L12" i="12"/>
  <c r="M12" i="12"/>
  <c r="N12" i="12"/>
  <c r="D13" i="12"/>
  <c r="E13" i="12"/>
  <c r="F13" i="12"/>
  <c r="G13" i="12"/>
  <c r="H13" i="12"/>
  <c r="I13" i="12"/>
  <c r="J13" i="12"/>
  <c r="K13" i="12"/>
  <c r="L13" i="12"/>
  <c r="M13" i="12"/>
  <c r="N13" i="12"/>
  <c r="C13" i="12"/>
  <c r="C12" i="12"/>
  <c r="D10" i="12"/>
  <c r="E10" i="12"/>
  <c r="F10" i="12"/>
  <c r="G10" i="12"/>
  <c r="H10" i="12"/>
  <c r="I10" i="12"/>
  <c r="J10" i="12"/>
  <c r="K10" i="12"/>
  <c r="L10" i="12"/>
  <c r="M10" i="12"/>
  <c r="N10" i="12"/>
  <c r="C10" i="12"/>
  <c r="D33" i="4"/>
  <c r="O10" i="12" l="1"/>
  <c r="O12" i="12"/>
  <c r="O14" i="12"/>
  <c r="O19" i="12"/>
  <c r="O20" i="12" s="1"/>
  <c r="O13" i="12"/>
  <c r="G13" i="3"/>
  <c r="G14" i="3" s="1"/>
  <c r="G15" i="3" l="1"/>
  <c r="C17" i="11"/>
  <c r="C18" i="11" s="1"/>
  <c r="G16" i="3" l="1"/>
  <c r="G17" i="3" s="1"/>
  <c r="C24" i="11"/>
  <c r="E6" i="13" l="1"/>
  <c r="E7" i="13"/>
  <c r="E8" i="13"/>
  <c r="E9" i="13"/>
  <c r="E10" i="13"/>
  <c r="E11" i="13"/>
  <c r="C11" i="13"/>
  <c r="C10" i="13"/>
  <c r="C6" i="13"/>
  <c r="C5" i="13"/>
  <c r="C33" i="1"/>
  <c r="C9" i="13" s="1"/>
  <c r="C30" i="1"/>
  <c r="C7" i="13" s="1"/>
  <c r="C31" i="1"/>
  <c r="C8" i="13" s="1"/>
  <c r="E5" i="13"/>
  <c r="F10" i="13" l="1"/>
  <c r="G10" i="13" s="1"/>
  <c r="H10" i="13" s="1"/>
  <c r="I10" i="13" s="1"/>
  <c r="J10" i="13" s="1"/>
  <c r="K10" i="13" s="1"/>
  <c r="F11" i="13"/>
  <c r="G11" i="13" s="1"/>
  <c r="H11" i="13" s="1"/>
  <c r="I11" i="13" s="1"/>
  <c r="J11" i="13" s="1"/>
  <c r="K11" i="13" s="1"/>
  <c r="F5" i="13"/>
  <c r="F18" i="13" s="1"/>
  <c r="F6" i="13"/>
  <c r="G6" i="13" s="1"/>
  <c r="H6" i="13" s="1"/>
  <c r="I6" i="13" s="1"/>
  <c r="J6" i="13" s="1"/>
  <c r="K6" i="13" s="1"/>
  <c r="F7" i="13"/>
  <c r="G7" i="13" s="1"/>
  <c r="F8" i="13"/>
  <c r="G8" i="13" s="1"/>
  <c r="H8" i="13" s="1"/>
  <c r="I8" i="13" s="1"/>
  <c r="J8" i="13" s="1"/>
  <c r="K8" i="13" s="1"/>
  <c r="F9" i="13"/>
  <c r="G9" i="13" s="1"/>
  <c r="H9" i="13" s="1"/>
  <c r="I9" i="13" s="1"/>
  <c r="J9" i="13" s="1"/>
  <c r="K9" i="13" s="1"/>
  <c r="H7" i="13" l="1"/>
  <c r="G5" i="13"/>
  <c r="F12" i="13"/>
  <c r="H12" i="11" l="1"/>
  <c r="E12" i="11"/>
  <c r="G12" i="11"/>
  <c r="F12" i="11"/>
  <c r="D12" i="11"/>
  <c r="I7" i="13"/>
  <c r="H5" i="13"/>
  <c r="D9" i="10"/>
  <c r="C9" i="10"/>
  <c r="G9" i="10"/>
  <c r="F9" i="10"/>
  <c r="E9" i="10"/>
  <c r="K131" i="12" l="1"/>
  <c r="G131" i="12"/>
  <c r="C131" i="12"/>
  <c r="N104" i="12"/>
  <c r="J104" i="12"/>
  <c r="F104" i="12"/>
  <c r="M77" i="12"/>
  <c r="I77" i="12"/>
  <c r="E77" i="12"/>
  <c r="L50" i="12"/>
  <c r="H50" i="12"/>
  <c r="D50" i="12"/>
  <c r="E50" i="12"/>
  <c r="N131" i="12"/>
  <c r="J131" i="12"/>
  <c r="F131" i="12"/>
  <c r="M104" i="12"/>
  <c r="I104" i="12"/>
  <c r="E104" i="12"/>
  <c r="L77" i="12"/>
  <c r="H77" i="12"/>
  <c r="D77" i="12"/>
  <c r="K50" i="12"/>
  <c r="G50" i="12"/>
  <c r="C50" i="12"/>
  <c r="F77" i="12"/>
  <c r="M50" i="12"/>
  <c r="I50" i="12"/>
  <c r="M131" i="12"/>
  <c r="I131" i="12"/>
  <c r="E131" i="12"/>
  <c r="L104" i="12"/>
  <c r="H104" i="12"/>
  <c r="D104" i="12"/>
  <c r="K77" i="12"/>
  <c r="G77" i="12"/>
  <c r="C77" i="12"/>
  <c r="N50" i="12"/>
  <c r="J50" i="12"/>
  <c r="F50" i="12"/>
  <c r="L131" i="12"/>
  <c r="H131" i="12"/>
  <c r="D131" i="12"/>
  <c r="K104" i="12"/>
  <c r="G104" i="12"/>
  <c r="C104" i="12"/>
  <c r="N77" i="12"/>
  <c r="J77" i="12"/>
  <c r="D23" i="12"/>
  <c r="F23" i="12"/>
  <c r="H23" i="12"/>
  <c r="J23" i="12"/>
  <c r="L23" i="12"/>
  <c r="N23" i="12"/>
  <c r="E23" i="12"/>
  <c r="G23" i="12"/>
  <c r="I23" i="12"/>
  <c r="K23" i="12"/>
  <c r="M23" i="12"/>
  <c r="C23" i="12"/>
  <c r="I5" i="13"/>
  <c r="J7" i="13"/>
  <c r="D20" i="4"/>
  <c r="D16" i="4"/>
  <c r="D9" i="4"/>
  <c r="O131" i="12" l="1"/>
  <c r="O104" i="12"/>
  <c r="O77" i="12"/>
  <c r="O50" i="12"/>
  <c r="O23" i="12"/>
  <c r="K7" i="13"/>
  <c r="J5" i="13"/>
  <c r="D21" i="4"/>
  <c r="D22" i="4" s="1"/>
  <c r="D8" i="15" s="1"/>
  <c r="D9" i="15" s="1"/>
  <c r="D10" i="15" s="1"/>
  <c r="C22" i="3"/>
  <c r="D22" i="3" s="1"/>
  <c r="F13" i="3"/>
  <c r="F14" i="3" s="1"/>
  <c r="K7" i="2"/>
  <c r="D60" i="1"/>
  <c r="D55" i="1"/>
  <c r="D43" i="1"/>
  <c r="D40" i="1"/>
  <c r="D36" i="1"/>
  <c r="D24" i="1"/>
  <c r="C60" i="1"/>
  <c r="C55" i="1"/>
  <c r="C43" i="1"/>
  <c r="C40" i="1"/>
  <c r="C36" i="1"/>
  <c r="C24" i="1"/>
  <c r="N41" i="12" l="1"/>
  <c r="G41" i="12"/>
  <c r="K41" i="12"/>
  <c r="D40" i="12"/>
  <c r="H40" i="12"/>
  <c r="L40" i="12"/>
  <c r="D39" i="12"/>
  <c r="H39" i="12"/>
  <c r="L39" i="12"/>
  <c r="D37" i="12"/>
  <c r="H37" i="12"/>
  <c r="L37" i="12"/>
  <c r="D41" i="12"/>
  <c r="H41" i="12"/>
  <c r="L41" i="12"/>
  <c r="E40" i="12"/>
  <c r="E67" i="12" s="1"/>
  <c r="I40" i="12"/>
  <c r="M40" i="12"/>
  <c r="E39" i="12"/>
  <c r="I39" i="12"/>
  <c r="I66" i="12" s="1"/>
  <c r="M39" i="12"/>
  <c r="E37" i="12"/>
  <c r="I37" i="12"/>
  <c r="M37" i="12"/>
  <c r="M64" i="12" s="1"/>
  <c r="E41" i="12"/>
  <c r="I41" i="12"/>
  <c r="M41" i="12"/>
  <c r="F40" i="12"/>
  <c r="F67" i="12" s="1"/>
  <c r="J40" i="12"/>
  <c r="N40" i="12"/>
  <c r="F39" i="12"/>
  <c r="J39" i="12"/>
  <c r="J66" i="12" s="1"/>
  <c r="J93" i="12" s="1"/>
  <c r="N39" i="12"/>
  <c r="F37" i="12"/>
  <c r="J37" i="12"/>
  <c r="N37" i="12"/>
  <c r="N64" i="12" s="1"/>
  <c r="N91" i="12" s="1"/>
  <c r="F41" i="12"/>
  <c r="J41" i="12"/>
  <c r="C41" i="12"/>
  <c r="G40" i="12"/>
  <c r="G67" i="12" s="1"/>
  <c r="G94" i="12" s="1"/>
  <c r="K40" i="12"/>
  <c r="C40" i="12"/>
  <c r="G39" i="12"/>
  <c r="K39" i="12"/>
  <c r="K66" i="12" s="1"/>
  <c r="K93" i="12" s="1"/>
  <c r="C39" i="12"/>
  <c r="G37" i="12"/>
  <c r="K37" i="12"/>
  <c r="C37" i="12"/>
  <c r="F10" i="11"/>
  <c r="C10" i="11"/>
  <c r="G10" i="11"/>
  <c r="D10" i="11"/>
  <c r="D13" i="11" s="1"/>
  <c r="E10" i="11"/>
  <c r="H10" i="11"/>
  <c r="G11" i="11"/>
  <c r="E11" i="11"/>
  <c r="D11" i="11"/>
  <c r="C11" i="11"/>
  <c r="H11" i="11"/>
  <c r="F11" i="11"/>
  <c r="C13" i="11"/>
  <c r="K5" i="13"/>
  <c r="G13" i="11"/>
  <c r="E22" i="3"/>
  <c r="F22" i="3" s="1"/>
  <c r="G22" i="3" s="1"/>
  <c r="F15" i="3"/>
  <c r="F16" i="3" s="1"/>
  <c r="C6" i="10"/>
  <c r="C5" i="3"/>
  <c r="C64" i="12" l="1"/>
  <c r="O37" i="12"/>
  <c r="M91" i="12"/>
  <c r="M118" i="12" s="1"/>
  <c r="E94" i="12"/>
  <c r="H66" i="12"/>
  <c r="H93" i="12" s="1"/>
  <c r="K64" i="12"/>
  <c r="K91" i="12" s="1"/>
  <c r="G66" i="12"/>
  <c r="G93" i="12" s="1"/>
  <c r="G120" i="12" s="1"/>
  <c r="C68" i="12"/>
  <c r="O41" i="12"/>
  <c r="J64" i="12"/>
  <c r="J91" i="12" s="1"/>
  <c r="F66" i="12"/>
  <c r="F93" i="12" s="1"/>
  <c r="F120" i="12" s="1"/>
  <c r="M68" i="12"/>
  <c r="M95" i="12" s="1"/>
  <c r="I64" i="12"/>
  <c r="I91" i="12" s="1"/>
  <c r="E66" i="12"/>
  <c r="E93" i="12" s="1"/>
  <c r="L68" i="12"/>
  <c r="L95" i="12" s="1"/>
  <c r="L122" i="12" s="1"/>
  <c r="H64" i="12"/>
  <c r="H91" i="12" s="1"/>
  <c r="D66" i="12"/>
  <c r="D93" i="12" s="1"/>
  <c r="K68" i="12"/>
  <c r="K95" i="12" s="1"/>
  <c r="K120" i="12"/>
  <c r="F94" i="12"/>
  <c r="I93" i="12"/>
  <c r="L64" i="12"/>
  <c r="L91" i="12" s="1"/>
  <c r="L118" i="12" s="1"/>
  <c r="D67" i="12"/>
  <c r="D94" i="12" s="1"/>
  <c r="H13" i="11"/>
  <c r="G64" i="12"/>
  <c r="G91" i="12" s="1"/>
  <c r="C67" i="12"/>
  <c r="O40" i="12"/>
  <c r="J68" i="12"/>
  <c r="J95" i="12" s="1"/>
  <c r="F64" i="12"/>
  <c r="F91" i="12" s="1"/>
  <c r="N67" i="12"/>
  <c r="N94" i="12" s="1"/>
  <c r="N121" i="12" s="1"/>
  <c r="I68" i="12"/>
  <c r="I95" i="12" s="1"/>
  <c r="E64" i="12"/>
  <c r="E91" i="12" s="1"/>
  <c r="M67" i="12"/>
  <c r="M94" i="12" s="1"/>
  <c r="H68" i="12"/>
  <c r="H95" i="12" s="1"/>
  <c r="H122" i="12" s="1"/>
  <c r="D64" i="12"/>
  <c r="D91" i="12" s="1"/>
  <c r="L67" i="12"/>
  <c r="L94" i="12" s="1"/>
  <c r="G68" i="12"/>
  <c r="G95" i="12" s="1"/>
  <c r="G121" i="12"/>
  <c r="E13" i="11"/>
  <c r="F13" i="11"/>
  <c r="C66" i="12"/>
  <c r="O39" i="12"/>
  <c r="K67" i="12"/>
  <c r="K94" i="12" s="1"/>
  <c r="F68" i="12"/>
  <c r="F95" i="12" s="1"/>
  <c r="N66" i="12"/>
  <c r="N93" i="12" s="1"/>
  <c r="J67" i="12"/>
  <c r="J94" i="12" s="1"/>
  <c r="J121" i="12" s="1"/>
  <c r="E68" i="12"/>
  <c r="E95" i="12" s="1"/>
  <c r="M66" i="12"/>
  <c r="M93" i="12" s="1"/>
  <c r="I67" i="12"/>
  <c r="I94" i="12" s="1"/>
  <c r="D68" i="12"/>
  <c r="D95" i="12" s="1"/>
  <c r="D122" i="12" s="1"/>
  <c r="L66" i="12"/>
  <c r="L93" i="12" s="1"/>
  <c r="H67" i="12"/>
  <c r="H94" i="12" s="1"/>
  <c r="N68" i="12"/>
  <c r="N95" i="12" s="1"/>
  <c r="D6" i="10"/>
  <c r="D9" i="12"/>
  <c r="F9" i="12"/>
  <c r="H9" i="12"/>
  <c r="J9" i="12"/>
  <c r="L9" i="12"/>
  <c r="N9" i="12"/>
  <c r="E9" i="12"/>
  <c r="G9" i="12"/>
  <c r="I9" i="12"/>
  <c r="K9" i="12"/>
  <c r="M9" i="12"/>
  <c r="C9" i="12"/>
  <c r="F17" i="3"/>
  <c r="N118" i="12" s="1"/>
  <c r="C7" i="3"/>
  <c r="C5" i="5"/>
  <c r="H4" i="5" s="1"/>
  <c r="U6" i="1"/>
  <c r="U7" i="1"/>
  <c r="U5" i="1"/>
  <c r="S9" i="1"/>
  <c r="Q6" i="1"/>
  <c r="Q7" i="1"/>
  <c r="Q5" i="1"/>
  <c r="E6" i="10" l="1"/>
  <c r="D36" i="12"/>
  <c r="D42" i="12" s="1"/>
  <c r="H36" i="12"/>
  <c r="H42" i="12" s="1"/>
  <c r="L36" i="12"/>
  <c r="L42" i="12" s="1"/>
  <c r="E36" i="12"/>
  <c r="E42" i="12" s="1"/>
  <c r="I36" i="12"/>
  <c r="I42" i="12" s="1"/>
  <c r="M36" i="12"/>
  <c r="M42" i="12" s="1"/>
  <c r="F36" i="12"/>
  <c r="F42" i="12" s="1"/>
  <c r="J36" i="12"/>
  <c r="J42" i="12" s="1"/>
  <c r="N36" i="12"/>
  <c r="N42" i="12" s="1"/>
  <c r="G36" i="12"/>
  <c r="G42" i="12" s="1"/>
  <c r="K36" i="12"/>
  <c r="K42" i="12" s="1"/>
  <c r="C36" i="12"/>
  <c r="N122" i="12"/>
  <c r="I121" i="12"/>
  <c r="N120" i="12"/>
  <c r="C93" i="12"/>
  <c r="O66" i="12"/>
  <c r="G122" i="12"/>
  <c r="M121" i="12"/>
  <c r="F118" i="12"/>
  <c r="G118" i="12"/>
  <c r="I120" i="12"/>
  <c r="K122" i="12"/>
  <c r="E120" i="12"/>
  <c r="J118" i="12"/>
  <c r="K118" i="12"/>
  <c r="J120" i="12"/>
  <c r="H121" i="12"/>
  <c r="M120" i="12"/>
  <c r="F122" i="12"/>
  <c r="L121" i="12"/>
  <c r="E118" i="12"/>
  <c r="J122" i="12"/>
  <c r="F121" i="12"/>
  <c r="D120" i="12"/>
  <c r="I118" i="12"/>
  <c r="H120" i="12"/>
  <c r="C94" i="12"/>
  <c r="O67" i="12"/>
  <c r="L120" i="12"/>
  <c r="E122" i="12"/>
  <c r="K121" i="12"/>
  <c r="D118" i="12"/>
  <c r="I122" i="12"/>
  <c r="D121" i="12"/>
  <c r="H118" i="12"/>
  <c r="M122" i="12"/>
  <c r="C95" i="12"/>
  <c r="O68" i="12"/>
  <c r="E121" i="12"/>
  <c r="C91" i="12"/>
  <c r="O64" i="12"/>
  <c r="O9" i="12"/>
  <c r="C4" i="5"/>
  <c r="C8" i="10"/>
  <c r="D8" i="10" s="1"/>
  <c r="E8" i="10" s="1"/>
  <c r="F8" i="10" s="1"/>
  <c r="G8" i="10" s="1"/>
  <c r="C11" i="3"/>
  <c r="C9" i="3"/>
  <c r="C6" i="5"/>
  <c r="B3" i="3" s="1"/>
  <c r="C21" i="3" s="1"/>
  <c r="C121" i="12" l="1"/>
  <c r="O121" i="12" s="1"/>
  <c r="O94" i="12"/>
  <c r="C122" i="12"/>
  <c r="O122" i="12" s="1"/>
  <c r="O95" i="12"/>
  <c r="C120" i="12"/>
  <c r="O120" i="12" s="1"/>
  <c r="O93" i="12"/>
  <c r="C118" i="12"/>
  <c r="O118" i="12" s="1"/>
  <c r="O91" i="12"/>
  <c r="C42" i="12"/>
  <c r="O36" i="12"/>
  <c r="O42" i="12" s="1"/>
  <c r="F6" i="10"/>
  <c r="D63" i="12"/>
  <c r="D69" i="12" s="1"/>
  <c r="H63" i="12"/>
  <c r="H69" i="12" s="1"/>
  <c r="L63" i="12"/>
  <c r="L69" i="12" s="1"/>
  <c r="E63" i="12"/>
  <c r="E69" i="12" s="1"/>
  <c r="I63" i="12"/>
  <c r="I69" i="12" s="1"/>
  <c r="M63" i="12"/>
  <c r="M69" i="12" s="1"/>
  <c r="F63" i="12"/>
  <c r="F69" i="12" s="1"/>
  <c r="J63" i="12"/>
  <c r="J69" i="12" s="1"/>
  <c r="N63" i="12"/>
  <c r="N69" i="12" s="1"/>
  <c r="G63" i="12"/>
  <c r="G69" i="12" s="1"/>
  <c r="K63" i="12"/>
  <c r="K69" i="12" s="1"/>
  <c r="C63" i="12"/>
  <c r="F3" i="5"/>
  <c r="F8" i="5"/>
  <c r="D23" i="14" s="1"/>
  <c r="D21" i="3"/>
  <c r="D23" i="3" s="1"/>
  <c r="C23" i="3"/>
  <c r="F4" i="5"/>
  <c r="C69" i="12" l="1"/>
  <c r="O63" i="12"/>
  <c r="O69" i="12" s="1"/>
  <c r="E90" i="12"/>
  <c r="E96" i="12" s="1"/>
  <c r="I90" i="12"/>
  <c r="I96" i="12" s="1"/>
  <c r="M90" i="12"/>
  <c r="M96" i="12" s="1"/>
  <c r="F90" i="12"/>
  <c r="J90" i="12"/>
  <c r="J96" i="12" s="1"/>
  <c r="N90" i="12"/>
  <c r="N96" i="12" s="1"/>
  <c r="G90" i="12"/>
  <c r="G96" i="12" s="1"/>
  <c r="K90" i="12"/>
  <c r="K96" i="12" s="1"/>
  <c r="C90" i="12"/>
  <c r="D90" i="12"/>
  <c r="D96" i="12" s="1"/>
  <c r="H90" i="12"/>
  <c r="H96" i="12" s="1"/>
  <c r="L90" i="12"/>
  <c r="L96" i="12" s="1"/>
  <c r="G6" i="10"/>
  <c r="C5" i="10"/>
  <c r="D6" i="12"/>
  <c r="F6" i="12"/>
  <c r="H6" i="12"/>
  <c r="J6" i="12"/>
  <c r="L6" i="12"/>
  <c r="N6" i="12"/>
  <c r="E6" i="12"/>
  <c r="G6" i="12"/>
  <c r="I6" i="12"/>
  <c r="K6" i="12"/>
  <c r="M6" i="12"/>
  <c r="E21" i="3"/>
  <c r="D5" i="10"/>
  <c r="J12" i="2"/>
  <c r="K11" i="2"/>
  <c r="H12" i="2" s="1"/>
  <c r="J13" i="2" l="1"/>
  <c r="J14" i="2" s="1"/>
  <c r="I12" i="2"/>
  <c r="F117" i="12"/>
  <c r="F123" i="12" s="1"/>
  <c r="J117" i="12"/>
  <c r="J123" i="12" s="1"/>
  <c r="N117" i="12"/>
  <c r="G117" i="12"/>
  <c r="G123" i="12" s="1"/>
  <c r="K117" i="12"/>
  <c r="K123" i="12" s="1"/>
  <c r="C117" i="12"/>
  <c r="D117" i="12"/>
  <c r="D123" i="12" s="1"/>
  <c r="H117" i="12"/>
  <c r="H123" i="12" s="1"/>
  <c r="L117" i="12"/>
  <c r="L123" i="12" s="1"/>
  <c r="E117" i="12"/>
  <c r="E123" i="12" s="1"/>
  <c r="I117" i="12"/>
  <c r="I123" i="12" s="1"/>
  <c r="M117" i="12"/>
  <c r="M123" i="12" s="1"/>
  <c r="D7" i="10"/>
  <c r="D10" i="10" s="1"/>
  <c r="D33" i="12"/>
  <c r="H33" i="12"/>
  <c r="L33" i="12"/>
  <c r="E33" i="12"/>
  <c r="I33" i="12"/>
  <c r="M33" i="12"/>
  <c r="F33" i="12"/>
  <c r="J33" i="12"/>
  <c r="N33" i="12"/>
  <c r="G33" i="12"/>
  <c r="K33" i="12"/>
  <c r="C33" i="12"/>
  <c r="O90" i="12"/>
  <c r="C96" i="12"/>
  <c r="C7" i="10"/>
  <c r="C10" i="10" s="1"/>
  <c r="C6" i="12"/>
  <c r="F21" i="3"/>
  <c r="E23" i="3"/>
  <c r="E5" i="10" s="1"/>
  <c r="G12" i="2"/>
  <c r="J15" i="2"/>
  <c r="C26" i="1"/>
  <c r="D27" i="1" s="1"/>
  <c r="E7" i="10" l="1"/>
  <c r="E10" i="10" s="1"/>
  <c r="D60" i="12"/>
  <c r="H60" i="12"/>
  <c r="L60" i="12"/>
  <c r="E60" i="12"/>
  <c r="I60" i="12"/>
  <c r="M60" i="12"/>
  <c r="F60" i="12"/>
  <c r="J60" i="12"/>
  <c r="N60" i="12"/>
  <c r="G60" i="12"/>
  <c r="K60" i="12"/>
  <c r="C60" i="12"/>
  <c r="O117" i="12"/>
  <c r="C123" i="12"/>
  <c r="O33" i="12"/>
  <c r="O53" i="12" s="1"/>
  <c r="C7" i="12"/>
  <c r="O6" i="12"/>
  <c r="D61" i="1"/>
  <c r="C8" i="11"/>
  <c r="C14" i="11" s="1"/>
  <c r="E12" i="10"/>
  <c r="E13" i="10" s="1"/>
  <c r="G21" i="3"/>
  <c r="G23" i="3" s="1"/>
  <c r="G5" i="10" s="1"/>
  <c r="F23" i="3"/>
  <c r="F5" i="10" s="1"/>
  <c r="K12" i="2"/>
  <c r="G13" i="2" s="1"/>
  <c r="J16" i="2"/>
  <c r="F7" i="10" l="1"/>
  <c r="F10" i="10" s="1"/>
  <c r="E87" i="12"/>
  <c r="I87" i="12"/>
  <c r="M87" i="12"/>
  <c r="F87" i="12"/>
  <c r="J87" i="12"/>
  <c r="N87" i="12"/>
  <c r="G87" i="12"/>
  <c r="K87" i="12"/>
  <c r="C87" i="12"/>
  <c r="D87" i="12"/>
  <c r="H87" i="12"/>
  <c r="L87" i="12"/>
  <c r="C12" i="14"/>
  <c r="C13" i="14" s="1"/>
  <c r="D64" i="1"/>
  <c r="O60" i="12"/>
  <c r="G7" i="10"/>
  <c r="G10" i="10" s="1"/>
  <c r="F114" i="12"/>
  <c r="J114" i="12"/>
  <c r="N114" i="12"/>
  <c r="G114" i="12"/>
  <c r="K114" i="12"/>
  <c r="C114" i="12"/>
  <c r="D114" i="12"/>
  <c r="H114" i="12"/>
  <c r="L114" i="12"/>
  <c r="E114" i="12"/>
  <c r="I114" i="12"/>
  <c r="M114" i="12"/>
  <c r="F16" i="11"/>
  <c r="F18" i="11" s="1"/>
  <c r="F24" i="11" s="1"/>
  <c r="N78" i="12"/>
  <c r="O78" i="12" s="1"/>
  <c r="F92" i="12" s="1"/>
  <c r="O7" i="12"/>
  <c r="O26" i="12"/>
  <c r="C5" i="2"/>
  <c r="C6" i="14"/>
  <c r="C7" i="14" s="1"/>
  <c r="D15" i="12"/>
  <c r="F15" i="12"/>
  <c r="H15" i="12"/>
  <c r="J15" i="12"/>
  <c r="L15" i="12"/>
  <c r="N15" i="12"/>
  <c r="E15" i="12"/>
  <c r="G15" i="12"/>
  <c r="I15" i="12"/>
  <c r="K15" i="12"/>
  <c r="M15" i="12"/>
  <c r="E14" i="10"/>
  <c r="F12" i="14" s="1"/>
  <c r="I21" i="14" s="1"/>
  <c r="F12" i="10"/>
  <c r="F13" i="10" s="1"/>
  <c r="G12" i="10"/>
  <c r="G13" i="10" s="1"/>
  <c r="C3" i="2"/>
  <c r="D4" i="2"/>
  <c r="H13" i="2"/>
  <c r="J17" i="2"/>
  <c r="O80" i="12" l="1"/>
  <c r="C26" i="11"/>
  <c r="C28" i="11" s="1"/>
  <c r="H26" i="11"/>
  <c r="E26" i="11"/>
  <c r="F26" i="11"/>
  <c r="G26" i="11"/>
  <c r="D26" i="11"/>
  <c r="O92" i="12"/>
  <c r="O96" i="12" s="1"/>
  <c r="F96" i="12"/>
  <c r="O114" i="12"/>
  <c r="N132" i="12"/>
  <c r="O132" i="12" s="1"/>
  <c r="H16" i="11"/>
  <c r="H18" i="11" s="1"/>
  <c r="H24" i="11" s="1"/>
  <c r="O87" i="12"/>
  <c r="N105" i="12"/>
  <c r="O105" i="12" s="1"/>
  <c r="N119" i="12" s="1"/>
  <c r="G16" i="11"/>
  <c r="G18" i="11" s="1"/>
  <c r="G24" i="11" s="1"/>
  <c r="I13" i="2"/>
  <c r="C15" i="12"/>
  <c r="C16" i="12" s="1"/>
  <c r="C21" i="12" s="1"/>
  <c r="C25" i="12" s="1"/>
  <c r="O11" i="12"/>
  <c r="O15" i="12" s="1"/>
  <c r="O16" i="12" s="1"/>
  <c r="O21" i="12" s="1"/>
  <c r="H21" i="14"/>
  <c r="I18" i="14"/>
  <c r="H18" i="14"/>
  <c r="D3" i="2"/>
  <c r="C29" i="11"/>
  <c r="G14" i="10"/>
  <c r="H12" i="14" s="1"/>
  <c r="I23" i="14" s="1"/>
  <c r="F14" i="10"/>
  <c r="G12" i="14" s="1"/>
  <c r="I22" i="14" s="1"/>
  <c r="J18" i="2"/>
  <c r="O119" i="12" l="1"/>
  <c r="O123" i="12" s="1"/>
  <c r="N123" i="12"/>
  <c r="O134" i="12"/>
  <c r="O107" i="12"/>
  <c r="D5" i="11"/>
  <c r="D8" i="11" s="1"/>
  <c r="D14" i="11" s="1"/>
  <c r="C31" i="12"/>
  <c r="O25" i="12"/>
  <c r="K13" i="2"/>
  <c r="H23" i="14"/>
  <c r="H22" i="14"/>
  <c r="D6" i="14"/>
  <c r="D7" i="14" s="1"/>
  <c r="D4" i="12"/>
  <c r="D7" i="12" s="1"/>
  <c r="J19" i="2"/>
  <c r="O31" i="12" l="1"/>
  <c r="O34" i="12" s="1"/>
  <c r="O43" i="12" s="1"/>
  <c r="O48" i="12" s="1"/>
  <c r="C34" i="12"/>
  <c r="C43" i="12" s="1"/>
  <c r="C48" i="12" s="1"/>
  <c r="C52" i="12" s="1"/>
  <c r="D31" i="12" s="1"/>
  <c r="D34" i="12" s="1"/>
  <c r="D43" i="12" s="1"/>
  <c r="D48" i="12" s="1"/>
  <c r="D52" i="12" s="1"/>
  <c r="E31" i="12" s="1"/>
  <c r="E34" i="12" s="1"/>
  <c r="E43" i="12" s="1"/>
  <c r="E48" i="12" s="1"/>
  <c r="E52" i="12" s="1"/>
  <c r="F31" i="12" s="1"/>
  <c r="F34" i="12" s="1"/>
  <c r="F43" i="12" s="1"/>
  <c r="F48" i="12" s="1"/>
  <c r="F52" i="12" s="1"/>
  <c r="G31" i="12" s="1"/>
  <c r="G34" i="12" s="1"/>
  <c r="G43" i="12" s="1"/>
  <c r="G48" i="12" s="1"/>
  <c r="G52" i="12" s="1"/>
  <c r="H31" i="12" s="1"/>
  <c r="H34" i="12" s="1"/>
  <c r="H43" i="12" s="1"/>
  <c r="H48" i="12" s="1"/>
  <c r="H52" i="12" s="1"/>
  <c r="I31" i="12" s="1"/>
  <c r="I34" i="12" s="1"/>
  <c r="I43" i="12" s="1"/>
  <c r="I48" i="12" s="1"/>
  <c r="I52" i="12" s="1"/>
  <c r="J31" i="12" s="1"/>
  <c r="J34" i="12" s="1"/>
  <c r="J43" i="12" s="1"/>
  <c r="J48" i="12" s="1"/>
  <c r="J52" i="12" s="1"/>
  <c r="K31" i="12" s="1"/>
  <c r="K34" i="12" s="1"/>
  <c r="K43" i="12" s="1"/>
  <c r="K48" i="12" s="1"/>
  <c r="K52" i="12" s="1"/>
  <c r="L31" i="12" s="1"/>
  <c r="L34" i="12" s="1"/>
  <c r="L43" i="12" s="1"/>
  <c r="L48" i="12" s="1"/>
  <c r="L52" i="12" s="1"/>
  <c r="M31" i="12" s="1"/>
  <c r="M34" i="12" s="1"/>
  <c r="M43" i="12" s="1"/>
  <c r="M48" i="12" s="1"/>
  <c r="M52" i="12" s="1"/>
  <c r="N31" i="12" s="1"/>
  <c r="N34" i="12" s="1"/>
  <c r="N43" i="12" s="1"/>
  <c r="N48" i="12" s="1"/>
  <c r="N52" i="12" s="1"/>
  <c r="H14" i="2"/>
  <c r="G14" i="2"/>
  <c r="D16" i="12"/>
  <c r="D21" i="12" s="1"/>
  <c r="D25" i="12" s="1"/>
  <c r="E4" i="12" s="1"/>
  <c r="E7" i="12" s="1"/>
  <c r="E16" i="12" s="1"/>
  <c r="E21" i="12" s="1"/>
  <c r="E25" i="12" s="1"/>
  <c r="J20" i="2"/>
  <c r="I14" i="2" l="1"/>
  <c r="K14" i="2" s="1"/>
  <c r="C58" i="12"/>
  <c r="O52" i="12"/>
  <c r="E5" i="11"/>
  <c r="E8" i="11" s="1"/>
  <c r="E14" i="11" s="1"/>
  <c r="E6" i="14"/>
  <c r="E7" i="14" s="1"/>
  <c r="F4" i="12"/>
  <c r="F7" i="12" s="1"/>
  <c r="F6" i="14"/>
  <c r="F7" i="14" s="1"/>
  <c r="J21" i="2"/>
  <c r="C61" i="12" l="1"/>
  <c r="C70" i="12" s="1"/>
  <c r="C75" i="12" s="1"/>
  <c r="C79" i="12" s="1"/>
  <c r="D58" i="12" s="1"/>
  <c r="D61" i="12" s="1"/>
  <c r="D70" i="12" s="1"/>
  <c r="D75" i="12" s="1"/>
  <c r="D79" i="12" s="1"/>
  <c r="E58" i="12" s="1"/>
  <c r="E61" i="12" s="1"/>
  <c r="E70" i="12" s="1"/>
  <c r="E75" i="12" s="1"/>
  <c r="E79" i="12" s="1"/>
  <c r="F58" i="12" s="1"/>
  <c r="F61" i="12" s="1"/>
  <c r="F70" i="12" s="1"/>
  <c r="F75" i="12" s="1"/>
  <c r="F79" i="12" s="1"/>
  <c r="G58" i="12" s="1"/>
  <c r="G61" i="12" s="1"/>
  <c r="G70" i="12" s="1"/>
  <c r="G75" i="12" s="1"/>
  <c r="G79" i="12" s="1"/>
  <c r="H58" i="12" s="1"/>
  <c r="H61" i="12" s="1"/>
  <c r="H70" i="12" s="1"/>
  <c r="H75" i="12" s="1"/>
  <c r="H79" i="12" s="1"/>
  <c r="I58" i="12" s="1"/>
  <c r="I61" i="12" s="1"/>
  <c r="I70" i="12" s="1"/>
  <c r="I75" i="12" s="1"/>
  <c r="I79" i="12" s="1"/>
  <c r="J58" i="12" s="1"/>
  <c r="J61" i="12" s="1"/>
  <c r="J70" i="12" s="1"/>
  <c r="J75" i="12" s="1"/>
  <c r="J79" i="12" s="1"/>
  <c r="K58" i="12" s="1"/>
  <c r="K61" i="12" s="1"/>
  <c r="K70" i="12" s="1"/>
  <c r="K75" i="12" s="1"/>
  <c r="K79" i="12" s="1"/>
  <c r="L58" i="12" s="1"/>
  <c r="L61" i="12" s="1"/>
  <c r="L70" i="12" s="1"/>
  <c r="L75" i="12" s="1"/>
  <c r="L79" i="12" s="1"/>
  <c r="M58" i="12" s="1"/>
  <c r="M61" i="12" s="1"/>
  <c r="M70" i="12" s="1"/>
  <c r="M75" i="12" s="1"/>
  <c r="M79" i="12" s="1"/>
  <c r="N58" i="12" s="1"/>
  <c r="N61" i="12" s="1"/>
  <c r="N70" i="12" s="1"/>
  <c r="N75" i="12" s="1"/>
  <c r="N79" i="12" s="1"/>
  <c r="O58" i="12"/>
  <c r="O61" i="12" s="1"/>
  <c r="O70" i="12" s="1"/>
  <c r="O75" i="12" s="1"/>
  <c r="H15" i="2"/>
  <c r="I15" i="2" s="1"/>
  <c r="G15" i="2"/>
  <c r="F16" i="12"/>
  <c r="F21" i="12" s="1"/>
  <c r="F25" i="12" s="1"/>
  <c r="G4" i="12" s="1"/>
  <c r="G7" i="12" s="1"/>
  <c r="G16" i="12" s="1"/>
  <c r="G21" i="12" s="1"/>
  <c r="G25" i="12" s="1"/>
  <c r="J22" i="2"/>
  <c r="C85" i="12" l="1"/>
  <c r="F5" i="11"/>
  <c r="F8" i="11" s="1"/>
  <c r="F14" i="11" s="1"/>
  <c r="O79" i="12"/>
  <c r="G6" i="14"/>
  <c r="G7" i="14" s="1"/>
  <c r="K15" i="2"/>
  <c r="H4" i="12"/>
  <c r="H7" i="12" s="1"/>
  <c r="H6" i="14"/>
  <c r="H7" i="14" s="1"/>
  <c r="J23" i="2"/>
  <c r="O85" i="12" l="1"/>
  <c r="O88" i="12" s="1"/>
  <c r="O97" i="12" s="1"/>
  <c r="C88" i="12"/>
  <c r="C97" i="12" s="1"/>
  <c r="C102" i="12" s="1"/>
  <c r="C106" i="12" s="1"/>
  <c r="D85" i="12" s="1"/>
  <c r="D88" i="12" s="1"/>
  <c r="D97" i="12" s="1"/>
  <c r="D102" i="12" s="1"/>
  <c r="D106" i="12" s="1"/>
  <c r="E85" i="12" s="1"/>
  <c r="E88" i="12" s="1"/>
  <c r="E97" i="12" s="1"/>
  <c r="E102" i="12" s="1"/>
  <c r="E106" i="12" s="1"/>
  <c r="F85" i="12" s="1"/>
  <c r="F88" i="12" s="1"/>
  <c r="F97" i="12" s="1"/>
  <c r="F102" i="12" s="1"/>
  <c r="F106" i="12" s="1"/>
  <c r="G85" i="12" s="1"/>
  <c r="G88" i="12" s="1"/>
  <c r="G97" i="12" s="1"/>
  <c r="G102" i="12" s="1"/>
  <c r="G106" i="12" s="1"/>
  <c r="H85" i="12" s="1"/>
  <c r="H88" i="12" s="1"/>
  <c r="H97" i="12" s="1"/>
  <c r="H102" i="12" s="1"/>
  <c r="H106" i="12" s="1"/>
  <c r="I85" i="12" s="1"/>
  <c r="I88" i="12" s="1"/>
  <c r="I97" i="12" s="1"/>
  <c r="I102" i="12" s="1"/>
  <c r="I106" i="12" s="1"/>
  <c r="J85" i="12" s="1"/>
  <c r="J88" i="12" s="1"/>
  <c r="J97" i="12" s="1"/>
  <c r="J102" i="12" s="1"/>
  <c r="J106" i="12" s="1"/>
  <c r="K85" i="12" s="1"/>
  <c r="K88" i="12" s="1"/>
  <c r="K97" i="12" s="1"/>
  <c r="K102" i="12" s="1"/>
  <c r="K106" i="12" s="1"/>
  <c r="L85" i="12" s="1"/>
  <c r="L88" i="12" s="1"/>
  <c r="L97" i="12" s="1"/>
  <c r="L102" i="12" s="1"/>
  <c r="L106" i="12" s="1"/>
  <c r="M85" i="12" s="1"/>
  <c r="M88" i="12" s="1"/>
  <c r="M97" i="12" s="1"/>
  <c r="M102" i="12" s="1"/>
  <c r="M106" i="12" s="1"/>
  <c r="N85" i="12" s="1"/>
  <c r="N88" i="12" s="1"/>
  <c r="N97" i="12" s="1"/>
  <c r="N102" i="12" s="1"/>
  <c r="N106" i="12" s="1"/>
  <c r="H16" i="2"/>
  <c r="I16" i="2" s="1"/>
  <c r="G16" i="2"/>
  <c r="H16" i="12"/>
  <c r="H21" i="12" s="1"/>
  <c r="H25" i="12" s="1"/>
  <c r="I4" i="12" s="1"/>
  <c r="I7" i="12" s="1"/>
  <c r="I16" i="12" s="1"/>
  <c r="J24" i="2"/>
  <c r="O102" i="12" l="1"/>
  <c r="G5" i="11"/>
  <c r="G8" i="11" s="1"/>
  <c r="G14" i="11" s="1"/>
  <c r="I6" i="14"/>
  <c r="I7" i="14" s="1"/>
  <c r="K16" i="2"/>
  <c r="I21" i="12"/>
  <c r="I25" i="12" s="1"/>
  <c r="J25" i="2"/>
  <c r="O106" i="12" l="1"/>
  <c r="C112" i="12"/>
  <c r="H17" i="2"/>
  <c r="I17" i="2" s="1"/>
  <c r="G17" i="2"/>
  <c r="J4" i="12"/>
  <c r="J7" i="12" s="1"/>
  <c r="J6" i="14"/>
  <c r="J7" i="14" s="1"/>
  <c r="J26" i="2"/>
  <c r="O112" i="12" l="1"/>
  <c r="O115" i="12" s="1"/>
  <c r="O124" i="12" s="1"/>
  <c r="O129" i="12" s="1"/>
  <c r="C115" i="12"/>
  <c r="C124" i="12" s="1"/>
  <c r="C129" i="12" s="1"/>
  <c r="C133" i="12" s="1"/>
  <c r="D112" i="12" s="1"/>
  <c r="D115" i="12" s="1"/>
  <c r="D124" i="12" s="1"/>
  <c r="D129" i="12" s="1"/>
  <c r="D133" i="12" s="1"/>
  <c r="E112" i="12" s="1"/>
  <c r="E115" i="12" s="1"/>
  <c r="E124" i="12" s="1"/>
  <c r="E129" i="12" s="1"/>
  <c r="E133" i="12" s="1"/>
  <c r="F112" i="12" s="1"/>
  <c r="F115" i="12" s="1"/>
  <c r="F124" i="12" s="1"/>
  <c r="F129" i="12" s="1"/>
  <c r="F133" i="12" s="1"/>
  <c r="G112" i="12" s="1"/>
  <c r="G115" i="12" s="1"/>
  <c r="G124" i="12" s="1"/>
  <c r="G129" i="12" s="1"/>
  <c r="G133" i="12" s="1"/>
  <c r="H112" i="12" s="1"/>
  <c r="H115" i="12" s="1"/>
  <c r="H124" i="12" s="1"/>
  <c r="H129" i="12" s="1"/>
  <c r="H133" i="12" s="1"/>
  <c r="I112" i="12" s="1"/>
  <c r="I115" i="12" s="1"/>
  <c r="I124" i="12" s="1"/>
  <c r="I129" i="12" s="1"/>
  <c r="I133" i="12" s="1"/>
  <c r="J112" i="12" s="1"/>
  <c r="J115" i="12" s="1"/>
  <c r="J124" i="12" s="1"/>
  <c r="J129" i="12" s="1"/>
  <c r="J133" i="12" s="1"/>
  <c r="K112" i="12" s="1"/>
  <c r="K115" i="12" s="1"/>
  <c r="K124" i="12" s="1"/>
  <c r="K129" i="12" s="1"/>
  <c r="K133" i="12" s="1"/>
  <c r="L112" i="12" s="1"/>
  <c r="L115" i="12" s="1"/>
  <c r="L124" i="12" s="1"/>
  <c r="L129" i="12" s="1"/>
  <c r="L133" i="12" s="1"/>
  <c r="M112" i="12" s="1"/>
  <c r="M115" i="12" s="1"/>
  <c r="M124" i="12" s="1"/>
  <c r="M129" i="12" s="1"/>
  <c r="M133" i="12" s="1"/>
  <c r="N112" i="12" s="1"/>
  <c r="N115" i="12" s="1"/>
  <c r="N124" i="12" s="1"/>
  <c r="N129" i="12" s="1"/>
  <c r="N133" i="12" s="1"/>
  <c r="K17" i="2"/>
  <c r="J16" i="12"/>
  <c r="J21" i="12" s="1"/>
  <c r="J25" i="12" s="1"/>
  <c r="J27" i="2"/>
  <c r="O133" i="12" l="1"/>
  <c r="H5" i="11"/>
  <c r="H8" i="11" s="1"/>
  <c r="H14" i="11" s="1"/>
  <c r="H18" i="2"/>
  <c r="I18" i="2" s="1"/>
  <c r="G18" i="2"/>
  <c r="K4" i="12"/>
  <c r="K6" i="14"/>
  <c r="K7" i="14" s="1"/>
  <c r="K7" i="12"/>
  <c r="K16" i="12" s="1"/>
  <c r="J28" i="2"/>
  <c r="K18" i="2" l="1"/>
  <c r="K21" i="12"/>
  <c r="K25" i="12" s="1"/>
  <c r="J29" i="2"/>
  <c r="H19" i="2" l="1"/>
  <c r="I19" i="2" s="1"/>
  <c r="G19" i="2"/>
  <c r="L4" i="12"/>
  <c r="L7" i="12" s="1"/>
  <c r="L16" i="12" s="1"/>
  <c r="L6" i="14"/>
  <c r="L7" i="14" s="1"/>
  <c r="J30" i="2"/>
  <c r="K19" i="2" l="1"/>
  <c r="L21" i="12"/>
  <c r="L25" i="12" s="1"/>
  <c r="J31" i="2"/>
  <c r="H20" i="2" l="1"/>
  <c r="I20" i="2" s="1"/>
  <c r="G20" i="2"/>
  <c r="M4" i="12"/>
  <c r="M6" i="14"/>
  <c r="M7" i="14" s="1"/>
  <c r="M7" i="12"/>
  <c r="M16" i="12" s="1"/>
  <c r="J32" i="2"/>
  <c r="K20" i="2" l="1"/>
  <c r="M21" i="12"/>
  <c r="M25" i="12" s="1"/>
  <c r="J33" i="2"/>
  <c r="H21" i="2" l="1"/>
  <c r="I21" i="2" s="1"/>
  <c r="G21" i="2"/>
  <c r="N4" i="12"/>
  <c r="N7" i="12" s="1"/>
  <c r="N6" i="14"/>
  <c r="N7" i="14" s="1"/>
  <c r="J34" i="2"/>
  <c r="K21" i="2" l="1"/>
  <c r="N16" i="12"/>
  <c r="E20" i="14"/>
  <c r="N21" i="12"/>
  <c r="N25" i="12" s="1"/>
  <c r="O6" i="14" s="1"/>
  <c r="J35" i="2"/>
  <c r="D22" i="14" l="1"/>
  <c r="O7" i="14"/>
  <c r="G22" i="2"/>
  <c r="H22" i="2"/>
  <c r="I22" i="2" l="1"/>
  <c r="K22" i="2" s="1"/>
  <c r="E19" i="14"/>
  <c r="G23" i="2" l="1"/>
  <c r="H23" i="2"/>
  <c r="I23" i="2" l="1"/>
  <c r="D17" i="11" s="1"/>
  <c r="C11" i="10"/>
  <c r="C12" i="10" s="1"/>
  <c r="K23" i="2"/>
  <c r="H24" i="2" s="1"/>
  <c r="I24" i="2" l="1"/>
  <c r="G24" i="2"/>
  <c r="C13" i="10"/>
  <c r="D16" i="11" s="1"/>
  <c r="D18" i="11" s="1"/>
  <c r="D24" i="11" s="1"/>
  <c r="K24" i="2"/>
  <c r="C14" i="10" l="1"/>
  <c r="G25" i="2"/>
  <c r="H25" i="2"/>
  <c r="I25" i="2" l="1"/>
  <c r="K25" i="2"/>
  <c r="G26" i="2" s="1"/>
  <c r="D27" i="11"/>
  <c r="D12" i="14"/>
  <c r="I19" i="14" s="1"/>
  <c r="H19" i="14" l="1"/>
  <c r="D28" i="11"/>
  <c r="D29" i="11" s="1"/>
  <c r="H26" i="2"/>
  <c r="I26" i="2" l="1"/>
  <c r="K26" i="2" s="1"/>
  <c r="H27" i="2"/>
  <c r="I27" i="2" s="1"/>
  <c r="G27" i="2"/>
  <c r="K27" i="2" l="1"/>
  <c r="H28" i="2" l="1"/>
  <c r="G28" i="2"/>
  <c r="I28" i="2" l="1"/>
  <c r="K28" i="2"/>
  <c r="G29" i="2" l="1"/>
  <c r="H29" i="2"/>
  <c r="I29" i="2" s="1"/>
  <c r="K29" i="2" l="1"/>
  <c r="G30" i="2" l="1"/>
  <c r="H30" i="2"/>
  <c r="I30" i="2" s="1"/>
  <c r="K30" i="2" l="1"/>
  <c r="G31" i="2"/>
  <c r="H31" i="2"/>
  <c r="I31" i="2" s="1"/>
  <c r="K31" i="2" l="1"/>
  <c r="G32" i="2" l="1"/>
  <c r="H32" i="2"/>
  <c r="I32" i="2" s="1"/>
  <c r="K32" i="2" l="1"/>
  <c r="H33" i="2" l="1"/>
  <c r="I33" i="2" s="1"/>
  <c r="G33" i="2"/>
  <c r="K33" i="2" l="1"/>
  <c r="H34" i="2" l="1"/>
  <c r="I34" i="2" s="1"/>
  <c r="G34" i="2"/>
  <c r="K34" i="2" l="1"/>
  <c r="G35" i="2" l="1"/>
  <c r="H35" i="2"/>
  <c r="I35" i="2" l="1"/>
  <c r="E17" i="11" s="1"/>
  <c r="D11" i="10"/>
  <c r="D12" i="10" s="1"/>
  <c r="K35" i="2"/>
  <c r="D13" i="10" l="1"/>
  <c r="E16" i="11" s="1"/>
  <c r="E18" i="11" s="1"/>
  <c r="E24" i="11" s="1"/>
  <c r="D14" i="10" l="1"/>
  <c r="E12" i="14" l="1"/>
  <c r="I20" i="14" s="1"/>
  <c r="E27" i="11"/>
  <c r="F27" i="11" l="1"/>
  <c r="E28" i="11"/>
  <c r="E29" i="11" s="1"/>
  <c r="H20" i="14"/>
  <c r="H27" i="14" l="1"/>
  <c r="H24" i="14"/>
  <c r="I27" i="14"/>
  <c r="I24" i="14"/>
  <c r="G27" i="11"/>
  <c r="F28" i="11"/>
  <c r="F29" i="11" s="1"/>
  <c r="H27" i="11" l="1"/>
  <c r="H28" i="11" s="1"/>
  <c r="H29" i="11" s="1"/>
  <c r="G28" i="11"/>
  <c r="G29" i="11" s="1"/>
</calcChain>
</file>

<file path=xl/comments1.xml><?xml version="1.0" encoding="utf-8"?>
<comments xmlns="http://schemas.openxmlformats.org/spreadsheetml/2006/main">
  <authors>
    <author>Jairo</author>
  </authors>
  <commentList>
    <comment ref="F13" authorId="0">
      <text>
        <r>
          <rPr>
            <b/>
            <sz val="9"/>
            <color indexed="81"/>
            <rFont val="Tahoma"/>
            <family val="2"/>
          </rPr>
          <t>Jairo:</t>
        </r>
        <r>
          <rPr>
            <sz val="9"/>
            <color indexed="81"/>
            <rFont val="Tahoma"/>
            <family val="2"/>
          </rPr>
          <t xml:space="preserve">
http://www.dinero.com/economia/articulo/la-inflacion-alta-ultimos-anos/217685
Promedio: Últimos 10 años de inflación en Colombia</t>
        </r>
      </text>
    </comment>
    <comment ref="G13" authorId="0">
      <text>
        <r>
          <rPr>
            <b/>
            <sz val="9"/>
            <color indexed="81"/>
            <rFont val="Tahoma"/>
            <family val="2"/>
          </rPr>
          <t>Jairo:</t>
        </r>
        <r>
          <rPr>
            <sz val="9"/>
            <color indexed="81"/>
            <rFont val="Tahoma"/>
            <family val="2"/>
          </rPr>
          <t xml:space="preserve">
http://www.elcolombiano.com/negocios/economia/pib-colombia-primer-trimestre-2016-AA4299406</t>
        </r>
      </text>
    </comment>
  </commentList>
</comments>
</file>

<file path=xl/comments2.xml><?xml version="1.0" encoding="utf-8"?>
<comments xmlns="http://schemas.openxmlformats.org/spreadsheetml/2006/main">
  <authors>
    <author>UsuarioUsta</author>
  </authors>
  <commentList>
    <comment ref="B8" authorId="0">
      <text>
        <r>
          <rPr>
            <sz val="9"/>
            <color indexed="81"/>
            <rFont val="Tahoma"/>
            <family val="2"/>
          </rPr>
          <t xml:space="preserve">
file:///D:/Downloads/Tarifas%20de%20los%20Registros%20P%C3%BAblicos%202016.pdf</t>
        </r>
      </text>
    </comment>
  </commentList>
</comments>
</file>

<file path=xl/sharedStrings.xml><?xml version="1.0" encoding="utf-8"?>
<sst xmlns="http://schemas.openxmlformats.org/spreadsheetml/2006/main" count="507" uniqueCount="307">
  <si>
    <t xml:space="preserve">Inversion Inicial </t>
  </si>
  <si>
    <t>RUT</t>
  </si>
  <si>
    <t>Documento declaracion de exportación</t>
  </si>
  <si>
    <t>Fotocopia de Resolución de Facturación  Vigente</t>
  </si>
  <si>
    <t>Certificación Bancaria donde  describan el Número y  tipo  de Cuenta   que tienen con su Banco Comercial.</t>
  </si>
  <si>
    <t xml:space="preserve"> Original de  02  referencias  comerciales vigente</t>
  </si>
  <si>
    <t xml:space="preserve"> Fotocopia del RUT</t>
  </si>
  <si>
    <t xml:space="preserve">Precio </t>
  </si>
  <si>
    <t>Cantidad</t>
  </si>
  <si>
    <t>Costos Variables</t>
  </si>
  <si>
    <t>Unidad de Medida</t>
  </si>
  <si>
    <t>kg</t>
  </si>
  <si>
    <t>Embalaje Terciario</t>
  </si>
  <si>
    <t>Embalaje Primario</t>
  </si>
  <si>
    <t>Observaciones</t>
  </si>
  <si>
    <t>Transporte Pitahaya a Bogotá en caja</t>
  </si>
  <si>
    <t>Costo Total Kilo de Pitahaya</t>
  </si>
  <si>
    <t>Luz</t>
  </si>
  <si>
    <t>Internet y Télefono ETB</t>
  </si>
  <si>
    <t xml:space="preserve">Agua </t>
  </si>
  <si>
    <t>Gasolina Pick Up</t>
  </si>
  <si>
    <t xml:space="preserve">Arriendo Oficina </t>
  </si>
  <si>
    <t>Por medio de la empresa de logistica CARGEX.</t>
  </si>
  <si>
    <t>El transporte de 20 kg de Pitahaya por parte del envio del proveedor hasta corabastos equivalen a un valor de  COP$3.000.</t>
  </si>
  <si>
    <t>Mes</t>
  </si>
  <si>
    <t>Unidad De Medida</t>
  </si>
  <si>
    <t>Total Costos Fijos</t>
  </si>
  <si>
    <t>Costos Fijos</t>
  </si>
  <si>
    <t xml:space="preserve">Primer envio (120 kilos) </t>
  </si>
  <si>
    <t>Escritorio</t>
  </si>
  <si>
    <t>Silla</t>
  </si>
  <si>
    <t>Computador</t>
  </si>
  <si>
    <t>Telefono</t>
  </si>
  <si>
    <t>Refrigerador</t>
  </si>
  <si>
    <t>Equipo de Oficina</t>
  </si>
  <si>
    <t>Muebles y Enseres</t>
  </si>
  <si>
    <t>Equipos</t>
  </si>
  <si>
    <t>Impresora</t>
  </si>
  <si>
    <t xml:space="preserve">Maquinaria y Equipo </t>
  </si>
  <si>
    <t>Camioneta</t>
  </si>
  <si>
    <t>Adecuación e instalación</t>
  </si>
  <si>
    <t>Reparaciones locativas</t>
  </si>
  <si>
    <t>Fotocopias porque no tiene costo</t>
  </si>
  <si>
    <t xml:space="preserve">Fotocopias porque no tiene costo </t>
  </si>
  <si>
    <t>Fotocopia</t>
  </si>
  <si>
    <t>Fotocopia </t>
  </si>
  <si>
    <t xml:space="preserve">Fotocopia </t>
  </si>
  <si>
    <t>Total Inversion Inicial</t>
  </si>
  <si>
    <t>TABLA DE AMORTIZACION</t>
  </si>
  <si>
    <t>Tabla de amortización para 24 periodos, con tasa de interés 1.5998% mensual del banco Davivienda  con un prestamo de $ 25.000.000 de pesos, con cuota fija a través del tiempo.</t>
  </si>
  <si>
    <t>tasa de interés mensual</t>
  </si>
  <si>
    <t xml:space="preserve">monto </t>
  </si>
  <si>
    <t>N =</t>
  </si>
  <si>
    <t>interés</t>
  </si>
  <si>
    <t>amort</t>
  </si>
  <si>
    <t>final</t>
  </si>
  <si>
    <t>Periodos</t>
  </si>
  <si>
    <t>Inicial</t>
  </si>
  <si>
    <t>Cuota Mensual</t>
  </si>
  <si>
    <t>https://www.superfinanciera.gov.co/jsp/loader.jsf?lServicio=Publicaciones&amp;lTipo=publicaciones&amp;lFuncion=loadContenidoPublicacion&amp;id=61298</t>
  </si>
  <si>
    <t>Certificado de origen</t>
  </si>
  <si>
    <t>Una caja de carton soporta 10 kg y equivalen a un valor de COP$ 4.000</t>
  </si>
  <si>
    <t>Esta incluido el diseño de la caja y etiqueta, cotizado con proveedor.</t>
  </si>
  <si>
    <t>Costos por fletes (All in)</t>
  </si>
  <si>
    <t>Costos por fletes (Due Agent)</t>
  </si>
  <si>
    <t>Costos por fletes (Due Carrier)</t>
  </si>
  <si>
    <t>Costos de aduana</t>
  </si>
  <si>
    <t>Costos fitosanitarias</t>
  </si>
  <si>
    <t xml:space="preserve">Costo envío Transporte internacional aéreo </t>
  </si>
  <si>
    <t>Proveedor A</t>
  </si>
  <si>
    <t>Proveedor B</t>
  </si>
  <si>
    <t>Proveedor C</t>
  </si>
  <si>
    <t>Cosecha</t>
  </si>
  <si>
    <t>Estacionalidad</t>
  </si>
  <si>
    <t>Esperamos tener un aproximado del 20% de margen de utilidad con respecto al costo que nos genera el kilo de Pitahaya que es de COP $24.343</t>
  </si>
  <si>
    <t>Punto medio</t>
  </si>
  <si>
    <t>Costos</t>
  </si>
  <si>
    <t>Valor</t>
  </si>
  <si>
    <t>Estrato tres</t>
  </si>
  <si>
    <t>Recarga mensual</t>
  </si>
  <si>
    <t>Financiamiento</t>
  </si>
  <si>
    <t>Porcentaje</t>
  </si>
  <si>
    <t>Capital Propio</t>
  </si>
  <si>
    <t>Banco</t>
  </si>
  <si>
    <t xml:space="preserve">Total </t>
  </si>
  <si>
    <t>Monto  (COP$)</t>
  </si>
  <si>
    <t>Referencia Tasa de Interes</t>
  </si>
  <si>
    <t>DETERMINACION DEL PUNTO DE EQUILIBRIO</t>
  </si>
  <si>
    <t>PE =</t>
  </si>
  <si>
    <t>Costo variable Unitario</t>
  </si>
  <si>
    <t>PV (Se espera un margen de utilidad del 20%)</t>
  </si>
  <si>
    <t>Kilogramos/Mes</t>
  </si>
  <si>
    <t>Kg</t>
  </si>
  <si>
    <t>Precio de venta</t>
  </si>
  <si>
    <t>Costo de Ventas</t>
  </si>
  <si>
    <t>Estado de Resultados ( Fotocopia  )</t>
  </si>
  <si>
    <t>Utiles y papeleria</t>
  </si>
  <si>
    <t>Tinta impresora</t>
  </si>
  <si>
    <t>Agenda</t>
  </si>
  <si>
    <t>Lapices y esferos</t>
  </si>
  <si>
    <t>Block de Hojas</t>
  </si>
  <si>
    <t xml:space="preserve">Borradores </t>
  </si>
  <si>
    <t>Reglas</t>
  </si>
  <si>
    <t>Colbón, pegastic, etc.</t>
  </si>
  <si>
    <t>Pegantes</t>
  </si>
  <si>
    <t>Correctores</t>
  </si>
  <si>
    <t xml:space="preserve">Dominio correo </t>
  </si>
  <si>
    <t>Dominio Pagina web</t>
  </si>
  <si>
    <t xml:space="preserve">Brochures </t>
  </si>
  <si>
    <t>El requerimiento minimo de envío que solicita la empresa de logistica Cargex es de 120 KG.</t>
  </si>
  <si>
    <t>Gastos Promocionales</t>
  </si>
  <si>
    <t>Cada juego de Brochure tiene un costo de COP$4.000</t>
  </si>
  <si>
    <t>Total Muebles y Enseres</t>
  </si>
  <si>
    <t>Total Maquinaria y equipo</t>
  </si>
  <si>
    <t>Total de Adecuacion e instalación</t>
  </si>
  <si>
    <t>Total Utiles y papeleria</t>
  </si>
  <si>
    <t xml:space="preserve">Gasto constitución de la empresa </t>
  </si>
  <si>
    <t>Total Gasto de Constitución</t>
  </si>
  <si>
    <t>Total Gastos Promocionales</t>
  </si>
  <si>
    <t>Registro Cámara de Comercio</t>
  </si>
  <si>
    <t xml:space="preserve">Total envío </t>
  </si>
  <si>
    <t>Envio Pitahaya</t>
  </si>
  <si>
    <t xml:space="preserve">Costo Compra Kilo de Pitahaya  de exportacion </t>
  </si>
  <si>
    <t>Si la empresa se constitutera como una empresa manufacturera dentro del costo de ventas seria necesario elaborar un concepto mas detallado con respecto a las empresas comerciales.</t>
  </si>
  <si>
    <t>Sueldo Empleado 1</t>
  </si>
  <si>
    <t>Sueldo Empleado 2</t>
  </si>
  <si>
    <t>En el caso de las empresas comercializadoras  asi como lo describe  Héctor Ortiz, el costo de ventas corresponde al valor de compra asiganado a las mercancias que se están vendiendo, recuerde que el costo de ventas no es el mismo que el valor de las compras, porque si quedan invenarios finales estos no hacen parte del costo de ventas del periodo. En cambio, si entran al costo de venta de los inventiarios iniciales provenientes del periodo anterior, los cuales seguramente serán los primeros en venderse en el periodo actual. Ortiz, H (2014). Finanzas Basicas para no financieros(pp 56-57), Bogotá D.C. ,Colombia:Cengage Learning Editores.</t>
  </si>
  <si>
    <t>Año</t>
  </si>
  <si>
    <t>Tasa de Inflación</t>
  </si>
  <si>
    <t>Tasa Variación PIB</t>
  </si>
  <si>
    <t>Precio de Venta</t>
  </si>
  <si>
    <t>Ingresos</t>
  </si>
  <si>
    <t>Precio de Venta año 2017</t>
  </si>
  <si>
    <t>Cantidad mensual año 2017</t>
  </si>
  <si>
    <t>Cantidad mensual año 2018</t>
  </si>
  <si>
    <t>Cantidad mensual año 2019</t>
  </si>
  <si>
    <t>Cantidad mensual año 2020</t>
  </si>
  <si>
    <t>Cantidad mensual año 2021</t>
  </si>
  <si>
    <t>Ventas</t>
  </si>
  <si>
    <t>Utilidad Bruta</t>
  </si>
  <si>
    <t>Costo total Compra MP</t>
  </si>
  <si>
    <t>Costo MP</t>
  </si>
  <si>
    <t>Costo total Exportación de Pitahaya</t>
  </si>
  <si>
    <t>Costo Embalaje</t>
  </si>
  <si>
    <t>Costo Total de embalaje</t>
  </si>
  <si>
    <t>Gastos de Depreciacion</t>
  </si>
  <si>
    <t>Depreciación</t>
  </si>
  <si>
    <t>Monto</t>
  </si>
  <si>
    <t>Vida Útil (Años)</t>
  </si>
  <si>
    <t>Depreciación %</t>
  </si>
  <si>
    <t>Depreciación ( S/.)</t>
  </si>
  <si>
    <t>Total Depreciación x Año</t>
  </si>
  <si>
    <t>Dos escritorios</t>
  </si>
  <si>
    <t>Dos sillas</t>
  </si>
  <si>
    <t>Dos Computadores de mesa</t>
  </si>
  <si>
    <t>Un teléfono</t>
  </si>
  <si>
    <t>Una Impresora</t>
  </si>
  <si>
    <t>Escritorios</t>
  </si>
  <si>
    <t>Sillas</t>
  </si>
  <si>
    <t>Teléfono</t>
  </si>
  <si>
    <t>Impresora Laser</t>
  </si>
  <si>
    <t>Gastos de intereses</t>
  </si>
  <si>
    <t>Utilidad Operativa (EBIT)</t>
  </si>
  <si>
    <t xml:space="preserve">Impuestos </t>
  </si>
  <si>
    <t>Utilidades neta</t>
  </si>
  <si>
    <t>Utilidades antes de impuestos</t>
  </si>
  <si>
    <t>Costo de Ventas Mensual Año 2017</t>
  </si>
  <si>
    <t>Estado de Resultados</t>
  </si>
  <si>
    <t xml:space="preserve">BALANCE GENERAL </t>
  </si>
  <si>
    <t>Muebles y enseres</t>
  </si>
  <si>
    <t>depreciación acumulada</t>
  </si>
  <si>
    <t xml:space="preserve">Total Activo </t>
  </si>
  <si>
    <t>Pasivo a Corto Plazo</t>
  </si>
  <si>
    <t>Obligaciones financieras a corto plazo</t>
  </si>
  <si>
    <t>Total Pasivo Corriente</t>
  </si>
  <si>
    <t>Pasivo a Largo Plazo</t>
  </si>
  <si>
    <t>Obligaciones financieras a largo plazo</t>
  </si>
  <si>
    <t>Prestamos a Socios</t>
  </si>
  <si>
    <t>Otros Pasivos a Largo Plazo</t>
  </si>
  <si>
    <t>Total Pasivo a Largo Plazo</t>
  </si>
  <si>
    <t xml:space="preserve">Total Pasivo </t>
  </si>
  <si>
    <t>Patrimonio</t>
  </si>
  <si>
    <t>Total Patrimonio</t>
  </si>
  <si>
    <t>Total Pasivo y Patrimonio</t>
  </si>
  <si>
    <t>Activo corriente</t>
  </si>
  <si>
    <t>Total activo corriente</t>
  </si>
  <si>
    <t>Activo fijo</t>
  </si>
  <si>
    <t>Total activo fijo neto</t>
  </si>
  <si>
    <t xml:space="preserve"> Depreciación Anual de Activos</t>
  </si>
  <si>
    <t>Fuente: Ortiz, H (2014). Finanzas Basicas para no financieros(pp 44), Bogotá D.C. ,Colombia:Cengage Learning Editores.</t>
  </si>
  <si>
    <t>Incluye prestaciones Sociales</t>
  </si>
  <si>
    <t>Disponible</t>
  </si>
  <si>
    <t>Inversiones</t>
  </si>
  <si>
    <t>Inventario</t>
  </si>
  <si>
    <t>Maquinaria y equipo</t>
  </si>
  <si>
    <t>Capital</t>
  </si>
  <si>
    <t>por 1200 kilos tiene un costo de USD$180</t>
  </si>
  <si>
    <t>Por 1200 kilos tiene un costo de USD$4920</t>
  </si>
  <si>
    <t>por 1200 kilos tiene un costo de  USD$150</t>
  </si>
  <si>
    <t>Por 1200 kilos tiene un costo de USD$300</t>
  </si>
  <si>
    <t>Por 1200 kilos tiene un costo de USD $240</t>
  </si>
  <si>
    <t>Realizan un descuento en el costo de los fletes a partir del envío de 2000 Kg</t>
  </si>
  <si>
    <t>Valor Promedio  Dólar</t>
  </si>
  <si>
    <t>Carpetas</t>
  </si>
  <si>
    <t>Grapadora</t>
  </si>
  <si>
    <t>-</t>
  </si>
  <si>
    <t>Gasto</t>
  </si>
  <si>
    <t>Gasto Total</t>
  </si>
  <si>
    <t>Ventas en efectivo</t>
  </si>
  <si>
    <t>Total ingresos</t>
  </si>
  <si>
    <t>Egresos</t>
  </si>
  <si>
    <t>Pago de impuestos</t>
  </si>
  <si>
    <t>Pago de arriendo</t>
  </si>
  <si>
    <t>Total egresos</t>
  </si>
  <si>
    <t>Total Financiamiento</t>
  </si>
  <si>
    <t>Flujo de caja financiero</t>
  </si>
  <si>
    <t>Saldo inicial</t>
  </si>
  <si>
    <t>Costos de mercancia</t>
  </si>
  <si>
    <t>Pago de Salarios</t>
  </si>
  <si>
    <t>Pago Combustible Camioneta</t>
  </si>
  <si>
    <t>Pago de servicios públicos</t>
  </si>
  <si>
    <t>Flujo de Caja económico</t>
  </si>
  <si>
    <t>Gasto de depreciación</t>
  </si>
  <si>
    <t>Saldo</t>
  </si>
  <si>
    <t>VALOR PRESENTE NETO (VPN)</t>
  </si>
  <si>
    <t>RELACIÓN BENEFICIO COSTO</t>
  </si>
  <si>
    <t>COSTO ANUAL UNIFORME EQUIVALENTE</t>
  </si>
  <si>
    <t>TASA VERDADERA DE RETORNO (TVR)</t>
  </si>
  <si>
    <t>PUNTO DE EQUILIBRIO</t>
  </si>
  <si>
    <t>https://exceltotal.com/flujo-de-caja-en-excel/</t>
  </si>
  <si>
    <t>Saldos Flujo de Efectivo</t>
  </si>
  <si>
    <t xml:space="preserve"> Mandato General Autenticado en Notaria  </t>
  </si>
  <si>
    <t xml:space="preserve"> Contratos de Suministro con su Respectivo Numero Consecutivo   </t>
  </si>
  <si>
    <t>    Fotocopia  CC  del Representante legal de la Empresa ampliada  al  150 %</t>
  </si>
  <si>
    <t> Fotocopia Resolución del ICA</t>
  </si>
  <si>
    <t>  Fotocopias del  Registro de Exportador del  Predio  ante el ICA</t>
  </si>
  <si>
    <t>  Carta Instrucciones   indicando   si utilizan  Sistemas especiales   /  Reposición  o   en su defecto  documento  Directo </t>
  </si>
  <si>
    <t> Balance General   ( Fotocopia ) </t>
  </si>
  <si>
    <t>  Formato  visita   al exportador</t>
  </si>
  <si>
    <t xml:space="preserve">--------&gt; </t>
  </si>
  <si>
    <t xml:space="preserve">Precio Estacionalidad </t>
  </si>
  <si>
    <t>Precio Cosecha</t>
  </si>
  <si>
    <t>Proveedor</t>
  </si>
  <si>
    <t xml:space="preserve">Acuerdo del Precio </t>
  </si>
  <si>
    <t>Precio Kilo Pitahaya</t>
  </si>
  <si>
    <t>COP $</t>
  </si>
  <si>
    <t>USD $</t>
  </si>
  <si>
    <t>MANAT $</t>
  </si>
  <si>
    <t>Valor Dólar Promedio</t>
  </si>
  <si>
    <t>Valor Manat con respecto al dólar</t>
  </si>
  <si>
    <t>Inversion Inicial</t>
  </si>
  <si>
    <t>Escenario Pesimista</t>
  </si>
  <si>
    <t>Escenario Optimista</t>
  </si>
  <si>
    <t>TIR</t>
  </si>
  <si>
    <t>VPN</t>
  </si>
  <si>
    <t>CAU</t>
  </si>
  <si>
    <t>TVR</t>
  </si>
  <si>
    <t xml:space="preserve">Cantidad </t>
  </si>
  <si>
    <t>Cantidad Total mensual</t>
  </si>
  <si>
    <t>Se llega a un acuerdo con los proveedores por este precio.</t>
  </si>
  <si>
    <t>Una caja de carton la cual soporta 10 kg y equivale a un valor de COP$ 4.000</t>
  </si>
  <si>
    <t>Esta incluido el diseño de la caja y etiqueta, cotizado con proveedor, caja en la cual se comercializara la fruta.</t>
  </si>
  <si>
    <t>Depreciación Año 1</t>
  </si>
  <si>
    <t>Depreciación Año 2</t>
  </si>
  <si>
    <t>Depreciación Año 3</t>
  </si>
  <si>
    <t>Depreciación Año 4</t>
  </si>
  <si>
    <t>Depreciación Año 5</t>
  </si>
  <si>
    <t>Fuente</t>
  </si>
  <si>
    <t>Tasa de Captación DTF</t>
  </si>
  <si>
    <t>Fuente: Banco de la República, Tasas de captación semanales y mensuales https://www.banrep.gov.co/es/dtf</t>
  </si>
  <si>
    <t>INDICADORES FINANCIEROS PROYECCIÓN</t>
  </si>
  <si>
    <t>Utilidad del ejercicio</t>
  </si>
  <si>
    <t>Totales</t>
  </si>
  <si>
    <t xml:space="preserve">Capital </t>
  </si>
  <si>
    <t>Intereses</t>
  </si>
  <si>
    <t>Impuestos por pagar</t>
  </si>
  <si>
    <t>Provision Renta</t>
  </si>
  <si>
    <t>Saldo Utilidad Neta</t>
  </si>
  <si>
    <t>AÑO 1</t>
  </si>
  <si>
    <t xml:space="preserve">Periodo 1 </t>
  </si>
  <si>
    <t>Periodo 2</t>
  </si>
  <si>
    <t>Periodo 3</t>
  </si>
  <si>
    <t>Periodo 4</t>
  </si>
  <si>
    <t>Periodo 5</t>
  </si>
  <si>
    <t>Periodo 6</t>
  </si>
  <si>
    <t>Periodo 7</t>
  </si>
  <si>
    <t>Periodo 8</t>
  </si>
  <si>
    <t>Periodo 9</t>
  </si>
  <si>
    <t>Periodo 10</t>
  </si>
  <si>
    <t>Periodo 11</t>
  </si>
  <si>
    <t>Periodo 12</t>
  </si>
  <si>
    <t>AÑO 2</t>
  </si>
  <si>
    <t>Periodo 1</t>
  </si>
  <si>
    <t>AÑO 3</t>
  </si>
  <si>
    <t>AÑO 4</t>
  </si>
  <si>
    <t>AÑO 5</t>
  </si>
  <si>
    <t>Año 1</t>
  </si>
  <si>
    <t>Año 2</t>
  </si>
  <si>
    <t>Año 3</t>
  </si>
  <si>
    <t>Año 4</t>
  </si>
  <si>
    <t>Año 5</t>
  </si>
  <si>
    <t xml:space="preserve">Año 0 </t>
  </si>
  <si>
    <t>VP</t>
  </si>
  <si>
    <t>Gastos Administrativos y de Ventas</t>
  </si>
  <si>
    <t>INDICADORES FINANCIEROS PRIMER AÑO</t>
  </si>
  <si>
    <t>Proyección a cinco años</t>
  </si>
  <si>
    <t>Proyección primer año</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</si>
</sst>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_);[Red]\(&quot;$&quot;\ #,##0\)"/>
    <numFmt numFmtId="44" formatCode="_(&quot;$&quot;\ * #,##0.00_);_(&quot;$&quot;\ * \(#,##0.00\);_(&quot;$&quot;\ * &quot;-&quot;??_);_(@_)"/>
    <numFmt numFmtId="43" formatCode="_(* #,##0.00_);_(* \(#,##0.00\);_(* &quot;-&quot;??_);_(@_)"/>
    <numFmt numFmtId="164" formatCode="&quot;$&quot;#,##0;[Red]\-&quot;$&quot;#,##0"/>
    <numFmt numFmtId="165" formatCode="_-&quot;$&quot;* #,##0.00_-;\-&quot;$&quot;* #,##0.00_-;_-&quot;$&quot;* &quot;-&quot;??_-;_-@_-"/>
    <numFmt numFmtId="166" formatCode="_(&quot;$&quot;\ * #,##0_);_(&quot;$&quot;\ * \(#,##0\);_(&quot;$&quot;\ * &quot;-&quot;??_);_(@_)"/>
    <numFmt numFmtId="167" formatCode="0.0000%"/>
    <numFmt numFmtId="168" formatCode="&quot;$&quot;#,##0"/>
    <numFmt numFmtId="169" formatCode="&quot;$&quot;#,##0.00_);[Red]\(&quot;$&quot;#,##0.00\)"/>
    <numFmt numFmtId="170" formatCode="&quot;$&quot;\ #,##0.00"/>
    <numFmt numFmtId="171" formatCode="#,##0.00;\(#,##0.00\)"/>
    <numFmt numFmtId="172" formatCode="_(* #,##0_);_(* \(#,##0\);_(* &quot;-&quot;??_);_(@_)"/>
    <numFmt numFmtId="173"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9"/>
      <color indexed="81"/>
      <name val="Tahoma"/>
      <family val="2"/>
    </font>
    <font>
      <u/>
      <sz val="11"/>
      <color theme="10"/>
      <name val="Calibri"/>
      <family val="2"/>
      <scheme val="minor"/>
    </font>
    <font>
      <b/>
      <sz val="11"/>
      <color theme="0"/>
      <name val="Calibri"/>
      <family val="2"/>
      <scheme val="minor"/>
    </font>
    <font>
      <b/>
      <sz val="12"/>
      <color theme="1"/>
      <name val="Times New Roman"/>
      <family val="1"/>
    </font>
    <font>
      <sz val="12"/>
      <color theme="1"/>
      <name val="Times New Roman"/>
      <family val="1"/>
    </font>
    <font>
      <b/>
      <sz val="12"/>
      <color theme="0"/>
      <name val="Times New Roman"/>
      <family val="1"/>
    </font>
    <font>
      <b/>
      <sz val="9"/>
      <color indexed="81"/>
      <name val="Tahoma"/>
      <family val="2"/>
    </font>
    <font>
      <sz val="12"/>
      <color theme="0"/>
      <name val="Times New Roman"/>
      <family val="1"/>
    </font>
    <font>
      <sz val="11"/>
      <color theme="1"/>
      <name val="Times New Roman"/>
      <family val="1"/>
    </font>
    <font>
      <b/>
      <sz val="12"/>
      <name val="Times New Roman"/>
      <family val="1"/>
    </font>
    <font>
      <sz val="12"/>
      <name val="Times New Roman"/>
      <family val="1"/>
    </font>
    <font>
      <b/>
      <sz val="11"/>
      <color theme="0"/>
      <name val="Times New Roman"/>
      <family val="1"/>
    </font>
    <font>
      <b/>
      <sz val="12"/>
      <color rgb="FF000000"/>
      <name val="Times New Roman"/>
      <family val="1"/>
    </font>
    <font>
      <sz val="12"/>
      <color rgb="FF000000"/>
      <name val="Times New Roman"/>
      <family val="1"/>
    </font>
    <font>
      <sz val="12"/>
      <color rgb="FF222222"/>
      <name val="Times New Roman"/>
      <family val="1"/>
    </font>
    <font>
      <b/>
      <sz val="12"/>
      <color rgb="FF222222"/>
      <name val="Times New Roman"/>
      <family val="1"/>
    </font>
    <font>
      <u/>
      <sz val="12"/>
      <color theme="10"/>
      <name val="Times New Roman"/>
      <family val="1"/>
    </font>
    <font>
      <sz val="20"/>
      <color theme="1"/>
      <name val="Times New Roman"/>
      <family val="1"/>
    </font>
    <font>
      <sz val="11"/>
      <color rgb="FFFF0000"/>
      <name val="Times New Roman"/>
      <family val="1"/>
    </font>
    <font>
      <b/>
      <sz val="11"/>
      <color theme="1"/>
      <name val="Times New Roman"/>
      <family val="1"/>
    </font>
    <font>
      <u/>
      <sz val="11"/>
      <color theme="10"/>
      <name val="Times New Roman"/>
      <family val="1"/>
    </font>
  </fonts>
  <fills count="13">
    <fill>
      <patternFill patternType="none"/>
    </fill>
    <fill>
      <patternFill patternType="gray125"/>
    </fill>
    <fill>
      <patternFill patternType="solid">
        <fgColor theme="9" tint="0.59999389629810485"/>
        <bgColor indexed="64"/>
      </patternFill>
    </fill>
    <fill>
      <patternFill patternType="solid">
        <fgColor rgb="FF67A967"/>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FFC000"/>
        <bgColor indexed="64"/>
      </patternFill>
    </fill>
    <fill>
      <patternFill patternType="solid">
        <fgColor rgb="FFFF2525"/>
        <bgColor indexed="64"/>
      </patternFill>
    </fill>
    <fill>
      <patternFill patternType="solid">
        <fgColor rgb="FF67A967"/>
        <bgColor rgb="FFD6E3BC"/>
      </patternFill>
    </fill>
    <fill>
      <patternFill patternType="solid">
        <fgColor rgb="FFFFC000"/>
        <bgColor rgb="FFD8D8D8"/>
      </patternFill>
    </fill>
    <fill>
      <patternFill patternType="solid">
        <fgColor theme="3" tint="0.79998168889431442"/>
        <bgColor indexed="64"/>
      </patternFill>
    </fill>
    <fill>
      <patternFill patternType="solid">
        <fgColor theme="8"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364">
    <xf numFmtId="0" fontId="0" fillId="0" borderId="0" xfId="0"/>
    <xf numFmtId="166" fontId="0" fillId="0" borderId="0" xfId="2" applyNumberFormat="1" applyFont="1"/>
    <xf numFmtId="166" fontId="0" fillId="0" borderId="0" xfId="0" applyNumberFormat="1"/>
    <xf numFmtId="0" fontId="0" fillId="0" borderId="0" xfId="0" applyFill="1" applyBorder="1" applyAlignment="1">
      <alignment horizontal="center"/>
    </xf>
    <xf numFmtId="44" fontId="0" fillId="0" borderId="0" xfId="0" applyNumberFormat="1"/>
    <xf numFmtId="165" fontId="0" fillId="0" borderId="0" xfId="0" applyNumberFormat="1"/>
    <xf numFmtId="0" fontId="0" fillId="0" borderId="0" xfId="0" applyBorder="1"/>
    <xf numFmtId="0" fontId="0" fillId="0" borderId="0" xfId="0" applyBorder="1" applyAlignment="1">
      <alignment horizontal="center"/>
    </xf>
    <xf numFmtId="166" fontId="0" fillId="0" borderId="0" xfId="0" applyNumberFormat="1" applyBorder="1"/>
    <xf numFmtId="0" fontId="0" fillId="0" borderId="5" xfId="0" applyBorder="1" applyAlignment="1">
      <alignment horizontal="left" vertical="center"/>
    </xf>
    <xf numFmtId="0" fontId="0" fillId="0" borderId="1" xfId="0" applyFill="1" applyBorder="1" applyAlignment="1">
      <alignment horizontal="left" vertical="center"/>
    </xf>
    <xf numFmtId="166" fontId="0" fillId="0" borderId="1" xfId="2" applyNumberFormat="1" applyFont="1" applyFill="1" applyBorder="1" applyAlignment="1">
      <alignment horizontal="left" vertical="center"/>
    </xf>
    <xf numFmtId="0" fontId="0" fillId="0" borderId="6" xfId="0" applyBorder="1" applyAlignment="1">
      <alignment vertical="center"/>
    </xf>
    <xf numFmtId="0" fontId="2" fillId="0" borderId="7" xfId="0" applyFont="1" applyBorder="1" applyAlignment="1">
      <alignment horizontal="left" vertical="center"/>
    </xf>
    <xf numFmtId="0" fontId="2" fillId="0" borderId="8" xfId="0" applyFont="1" applyFill="1" applyBorder="1" applyAlignment="1">
      <alignment horizontal="left" vertical="center"/>
    </xf>
    <xf numFmtId="166" fontId="2" fillId="0" borderId="8" xfId="0" applyNumberFormat="1" applyFont="1" applyBorder="1" applyAlignment="1">
      <alignment horizontal="left" vertical="center"/>
    </xf>
    <xf numFmtId="0" fontId="2" fillId="0" borderId="9" xfId="0" applyFont="1" applyBorder="1" applyAlignment="1">
      <alignment vertical="center"/>
    </xf>
    <xf numFmtId="0" fontId="2" fillId="0" borderId="0" xfId="0" applyFont="1" applyBorder="1" applyAlignment="1"/>
    <xf numFmtId="166" fontId="0" fillId="0" borderId="9" xfId="0" applyNumberFormat="1" applyBorder="1"/>
    <xf numFmtId="166" fontId="0" fillId="0" borderId="1" xfId="2" applyNumberFormat="1"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7" xfId="0" applyFont="1" applyFill="1" applyBorder="1" applyAlignment="1">
      <alignment horizontal="center" vertical="center" wrapText="1"/>
    </xf>
    <xf numFmtId="0" fontId="0" fillId="0" borderId="0" xfId="0" applyAlignment="1">
      <alignment wrapText="1"/>
    </xf>
    <xf numFmtId="10" fontId="0" fillId="0" borderId="1" xfId="0" applyNumberFormat="1" applyBorder="1"/>
    <xf numFmtId="0" fontId="5" fillId="3" borderId="7"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xf>
    <xf numFmtId="10" fontId="0" fillId="0" borderId="8" xfId="3" applyNumberFormat="1" applyFont="1" applyBorder="1"/>
    <xf numFmtId="10" fontId="0" fillId="0" borderId="0" xfId="3" applyNumberFormat="1" applyFont="1" applyBorder="1"/>
    <xf numFmtId="0" fontId="5" fillId="0" borderId="0" xfId="0" applyFont="1" applyFill="1" applyBorder="1" applyAlignment="1">
      <alignment horizontal="center" vertical="center"/>
    </xf>
    <xf numFmtId="166" fontId="0" fillId="0" borderId="1" xfId="0" applyNumberFormat="1" applyBorder="1"/>
    <xf numFmtId="166" fontId="0" fillId="0" borderId="6" xfId="0" applyNumberFormat="1" applyBorder="1"/>
    <xf numFmtId="166" fontId="0" fillId="0" borderId="8" xfId="0" applyNumberFormat="1" applyBorder="1"/>
    <xf numFmtId="1" fontId="0" fillId="0" borderId="0" xfId="0" applyNumberFormat="1"/>
    <xf numFmtId="166" fontId="0" fillId="0" borderId="38" xfId="2" applyNumberFormat="1" applyFont="1" applyBorder="1" applyAlignment="1">
      <alignment horizontal="center" vertical="center"/>
    </xf>
    <xf numFmtId="0" fontId="0" fillId="0" borderId="40" xfId="0" applyBorder="1" applyAlignment="1">
      <alignment horizontal="center" vertical="center"/>
    </xf>
    <xf numFmtId="166" fontId="8" fillId="3" borderId="1" xfId="2" applyNumberFormat="1" applyFont="1" applyFill="1" applyBorder="1"/>
    <xf numFmtId="166" fontId="10" fillId="3" borderId="1" xfId="2" applyNumberFormat="1" applyFont="1" applyFill="1" applyBorder="1"/>
    <xf numFmtId="166" fontId="8" fillId="3" borderId="8" xfId="2" applyNumberFormat="1" applyFont="1" applyFill="1" applyBorder="1"/>
    <xf numFmtId="4" fontId="0" fillId="0" borderId="0" xfId="0" applyNumberFormat="1"/>
    <xf numFmtId="1" fontId="0" fillId="0" borderId="40" xfId="0" applyNumberFormat="1" applyBorder="1" applyAlignment="1">
      <alignment horizontal="center"/>
    </xf>
    <xf numFmtId="0" fontId="0" fillId="0" borderId="0" xfId="0"/>
    <xf numFmtId="0" fontId="7" fillId="0" borderId="0" xfId="0" applyFont="1"/>
    <xf numFmtId="166" fontId="11" fillId="0" borderId="6" xfId="2" applyNumberFormat="1" applyFont="1" applyBorder="1"/>
    <xf numFmtId="0" fontId="7" fillId="4" borderId="5" xfId="0" applyFont="1" applyFill="1" applyBorder="1"/>
    <xf numFmtId="0" fontId="6" fillId="4" borderId="5" xfId="0" applyFont="1" applyFill="1" applyBorder="1"/>
    <xf numFmtId="166" fontId="7" fillId="5" borderId="1" xfId="2" applyNumberFormat="1" applyFont="1" applyFill="1" applyBorder="1"/>
    <xf numFmtId="166" fontId="6" fillId="5" borderId="1" xfId="2" applyNumberFormat="1" applyFont="1" applyFill="1" applyBorder="1"/>
    <xf numFmtId="166" fontId="7" fillId="0" borderId="6" xfId="2" applyNumberFormat="1" applyFont="1" applyBorder="1"/>
    <xf numFmtId="0" fontId="7" fillId="0" borderId="0" xfId="0" applyFont="1" applyBorder="1"/>
    <xf numFmtId="166" fontId="7" fillId="0" borderId="1" xfId="2" applyNumberFormat="1" applyFont="1" applyBorder="1"/>
    <xf numFmtId="166" fontId="7" fillId="0" borderId="1" xfId="2" applyNumberFormat="1" applyFont="1" applyBorder="1" applyAlignment="1">
      <alignment horizontal="center" vertical="center"/>
    </xf>
    <xf numFmtId="166" fontId="7" fillId="0" borderId="8" xfId="2" applyNumberFormat="1" applyFont="1" applyBorder="1"/>
    <xf numFmtId="0" fontId="6" fillId="8" borderId="6" xfId="0" applyFont="1" applyFill="1" applyBorder="1"/>
    <xf numFmtId="1" fontId="0" fillId="0" borderId="6" xfId="0" applyNumberFormat="1" applyBorder="1"/>
    <xf numFmtId="166" fontId="7" fillId="0" borderId="9" xfId="2" applyNumberFormat="1" applyFont="1" applyBorder="1"/>
    <xf numFmtId="0" fontId="8" fillId="3" borderId="5" xfId="0" applyFont="1" applyFill="1" applyBorder="1"/>
    <xf numFmtId="0" fontId="8" fillId="3" borderId="7" xfId="0" applyFont="1" applyFill="1" applyBorder="1"/>
    <xf numFmtId="0" fontId="14" fillId="3" borderId="5" xfId="0" applyFont="1" applyFill="1" applyBorder="1"/>
    <xf numFmtId="0" fontId="14" fillId="3" borderId="7" xfId="0" applyFont="1" applyFill="1" applyBorder="1"/>
    <xf numFmtId="0" fontId="8" fillId="3" borderId="5"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7" xfId="0" applyFont="1" applyFill="1" applyBorder="1" applyAlignment="1">
      <alignment horizontal="center" vertical="center"/>
    </xf>
    <xf numFmtId="166" fontId="7" fillId="5" borderId="6" xfId="2" applyNumberFormat="1" applyFont="1" applyFill="1" applyBorder="1"/>
    <xf numFmtId="0" fontId="8" fillId="3" borderId="5" xfId="0" applyFont="1" applyFill="1" applyBorder="1" applyAlignment="1">
      <alignment wrapText="1"/>
    </xf>
    <xf numFmtId="0" fontId="8" fillId="3" borderId="7" xfId="0" applyFont="1" applyFill="1" applyBorder="1" applyAlignment="1">
      <alignment wrapText="1"/>
    </xf>
    <xf numFmtId="166" fontId="6" fillId="4" borderId="31" xfId="2" applyNumberFormat="1" applyFont="1" applyFill="1" applyBorder="1" applyAlignment="1"/>
    <xf numFmtId="2" fontId="6" fillId="4" borderId="31" xfId="1" applyNumberFormat="1" applyFont="1" applyFill="1" applyBorder="1" applyAlignment="1"/>
    <xf numFmtId="9" fontId="6" fillId="4" borderId="31" xfId="3" applyNumberFormat="1" applyFont="1" applyFill="1" applyBorder="1" applyAlignment="1"/>
    <xf numFmtId="2" fontId="6" fillId="4" borderId="33" xfId="1" applyNumberFormat="1" applyFont="1" applyFill="1" applyBorder="1" applyAlignment="1"/>
    <xf numFmtId="0" fontId="7" fillId="4" borderId="6" xfId="0" applyFont="1" applyFill="1" applyBorder="1"/>
    <xf numFmtId="0" fontId="7" fillId="4" borderId="9" xfId="0" applyFont="1" applyFill="1" applyBorder="1"/>
    <xf numFmtId="166" fontId="7" fillId="7" borderId="1" xfId="0" applyNumberFormat="1" applyFont="1" applyFill="1" applyBorder="1"/>
    <xf numFmtId="166" fontId="7" fillId="4" borderId="1" xfId="0" applyNumberFormat="1" applyFont="1" applyFill="1" applyBorder="1"/>
    <xf numFmtId="9" fontId="6" fillId="4" borderId="1" xfId="0" applyNumberFormat="1" applyFont="1" applyFill="1" applyBorder="1"/>
    <xf numFmtId="0" fontId="5" fillId="3" borderId="2" xfId="0" applyFont="1" applyFill="1" applyBorder="1" applyAlignment="1">
      <alignment horizontal="center" vertical="center"/>
    </xf>
    <xf numFmtId="0" fontId="5" fillId="3" borderId="4" xfId="0" applyFont="1" applyFill="1" applyBorder="1" applyAlignment="1">
      <alignment horizontal="center" vertical="center"/>
    </xf>
    <xf numFmtId="10" fontId="0" fillId="0" borderId="1" xfId="3" applyNumberFormat="1" applyFont="1" applyBorder="1"/>
    <xf numFmtId="10" fontId="0" fillId="0" borderId="1" xfId="3" applyNumberFormat="1" applyFont="1" applyFill="1" applyBorder="1"/>
    <xf numFmtId="10" fontId="0" fillId="0" borderId="6" xfId="3" applyNumberFormat="1" applyFont="1" applyBorder="1"/>
    <xf numFmtId="166" fontId="7" fillId="7" borderId="6" xfId="0" applyNumberFormat="1" applyFont="1" applyFill="1" applyBorder="1"/>
    <xf numFmtId="166" fontId="7" fillId="4" borderId="6" xfId="0" applyNumberFormat="1" applyFont="1" applyFill="1" applyBorder="1"/>
    <xf numFmtId="9" fontId="6" fillId="4" borderId="6" xfId="0" applyNumberFormat="1" applyFont="1" applyFill="1" applyBorder="1"/>
    <xf numFmtId="9" fontId="6" fillId="4" borderId="8" xfId="0" applyNumberFormat="1" applyFont="1" applyFill="1" applyBorder="1"/>
    <xf numFmtId="9" fontId="6" fillId="4" borderId="9" xfId="0" applyNumberFormat="1" applyFont="1" applyFill="1" applyBorder="1"/>
    <xf numFmtId="0" fontId="6" fillId="8" borderId="17" xfId="0" applyFont="1" applyFill="1" applyBorder="1"/>
    <xf numFmtId="0" fontId="6" fillId="8" borderId="18" xfId="0" applyFont="1" applyFill="1" applyBorder="1"/>
    <xf numFmtId="0" fontId="8" fillId="3" borderId="5" xfId="0" applyFont="1" applyFill="1" applyBorder="1" applyAlignment="1">
      <alignment vertical="center" wrapText="1"/>
    </xf>
    <xf numFmtId="0" fontId="5" fillId="3" borderId="5" xfId="0" applyFont="1" applyFill="1" applyBorder="1" applyAlignment="1">
      <alignment horizontal="center"/>
    </xf>
    <xf numFmtId="0" fontId="5" fillId="3" borderId="3"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8" xfId="0" applyFont="1" applyFill="1" applyBorder="1" applyAlignment="1">
      <alignment horizontal="center" vertical="center"/>
    </xf>
    <xf numFmtId="0" fontId="11" fillId="0" borderId="0" xfId="0" applyFont="1"/>
    <xf numFmtId="166" fontId="7" fillId="0" borderId="21" xfId="2" applyNumberFormat="1" applyFont="1" applyBorder="1"/>
    <xf numFmtId="0" fontId="7" fillId="0" borderId="5" xfId="0" applyFont="1" applyBorder="1" applyAlignment="1">
      <alignment horizontal="left"/>
    </xf>
    <xf numFmtId="166" fontId="7" fillId="0" borderId="1" xfId="2" applyNumberFormat="1" applyFont="1" applyBorder="1" applyAlignment="1">
      <alignment horizontal="left" vertical="center"/>
    </xf>
    <xf numFmtId="166" fontId="7" fillId="0" borderId="31" xfId="2" applyNumberFormat="1" applyFont="1" applyBorder="1" applyAlignment="1">
      <alignment horizontal="left" vertical="center"/>
    </xf>
    <xf numFmtId="0" fontId="7" fillId="0" borderId="6" xfId="0" applyFont="1" applyBorder="1" applyAlignment="1">
      <alignment horizontal="left" wrapText="1"/>
    </xf>
    <xf numFmtId="0" fontId="7" fillId="0" borderId="6" xfId="0" applyFont="1" applyBorder="1" applyAlignment="1">
      <alignment horizontal="left"/>
    </xf>
    <xf numFmtId="0" fontId="17" fillId="0" borderId="5" xfId="0" applyFont="1" applyBorder="1" applyAlignment="1">
      <alignment horizontal="left" vertical="center" wrapText="1"/>
    </xf>
    <xf numFmtId="0" fontId="17" fillId="0" borderId="5" xfId="0" applyFont="1" applyBorder="1" applyAlignment="1">
      <alignment horizontal="left" vertical="top" wrapText="1"/>
    </xf>
    <xf numFmtId="0" fontId="18" fillId="0" borderId="5" xfId="0" applyFont="1" applyBorder="1" applyAlignment="1">
      <alignment horizontal="left" vertical="center" wrapText="1"/>
    </xf>
    <xf numFmtId="166" fontId="6" fillId="0" borderId="1" xfId="2" applyNumberFormat="1" applyFont="1" applyBorder="1" applyAlignment="1">
      <alignment horizontal="left" vertical="center"/>
    </xf>
    <xf numFmtId="166" fontId="6" fillId="0" borderId="31" xfId="2" applyNumberFormat="1" applyFont="1" applyBorder="1" applyAlignment="1">
      <alignment horizontal="left" vertical="center"/>
    </xf>
    <xf numFmtId="0" fontId="7" fillId="0" borderId="1" xfId="0" applyFont="1" applyBorder="1" applyAlignment="1">
      <alignment horizontal="left"/>
    </xf>
    <xf numFmtId="0" fontId="7" fillId="0" borderId="31" xfId="0" applyFont="1" applyBorder="1" applyAlignment="1">
      <alignment horizontal="left"/>
    </xf>
    <xf numFmtId="166" fontId="7" fillId="0" borderId="1" xfId="2" applyNumberFormat="1" applyFont="1" applyBorder="1" applyAlignment="1">
      <alignment horizontal="left"/>
    </xf>
    <xf numFmtId="166" fontId="7" fillId="0" borderId="31" xfId="2" applyNumberFormat="1" applyFont="1" applyBorder="1" applyAlignment="1">
      <alignment horizontal="left"/>
    </xf>
    <xf numFmtId="166" fontId="6" fillId="0" borderId="1" xfId="2" applyNumberFormat="1" applyFont="1" applyBorder="1" applyAlignment="1">
      <alignment horizontal="left"/>
    </xf>
    <xf numFmtId="166" fontId="6" fillId="0" borderId="31" xfId="2" applyNumberFormat="1" applyFont="1" applyBorder="1" applyAlignment="1">
      <alignment horizontal="left"/>
    </xf>
    <xf numFmtId="0" fontId="18" fillId="0" borderId="27" xfId="0" applyFont="1" applyBorder="1" applyAlignment="1">
      <alignment horizontal="left" vertical="center" wrapText="1"/>
    </xf>
    <xf numFmtId="166" fontId="6" fillId="0" borderId="28" xfId="2" applyNumberFormat="1" applyFont="1" applyBorder="1" applyAlignment="1">
      <alignment horizontal="left"/>
    </xf>
    <xf numFmtId="166" fontId="6" fillId="0" borderId="32" xfId="2" applyNumberFormat="1" applyFont="1" applyBorder="1" applyAlignment="1">
      <alignment horizontal="left"/>
    </xf>
    <xf numFmtId="0" fontId="7" fillId="0" borderId="29" xfId="0" applyFont="1" applyBorder="1" applyAlignment="1">
      <alignment horizontal="left" wrapText="1"/>
    </xf>
    <xf numFmtId="0" fontId="17" fillId="0" borderId="27" xfId="0" applyFont="1" applyBorder="1" applyAlignment="1">
      <alignment horizontal="left" vertical="center" wrapText="1"/>
    </xf>
    <xf numFmtId="166" fontId="7" fillId="0" borderId="28" xfId="2" applyNumberFormat="1" applyFont="1" applyBorder="1" applyAlignment="1">
      <alignment horizontal="left"/>
    </xf>
    <xf numFmtId="166" fontId="7" fillId="0" borderId="32" xfId="2" applyNumberFormat="1" applyFont="1" applyBorder="1" applyAlignment="1">
      <alignment horizontal="left"/>
    </xf>
    <xf numFmtId="0" fontId="18" fillId="0" borderId="7" xfId="0" applyFont="1" applyBorder="1" applyAlignment="1">
      <alignment horizontal="left" vertical="center" wrapText="1"/>
    </xf>
    <xf numFmtId="166" fontId="6" fillId="0" borderId="8" xfId="0" applyNumberFormat="1" applyFont="1" applyBorder="1" applyAlignment="1">
      <alignment horizontal="left"/>
    </xf>
    <xf numFmtId="166" fontId="6" fillId="0" borderId="33" xfId="0" applyNumberFormat="1" applyFont="1" applyBorder="1" applyAlignment="1">
      <alignment horizontal="left"/>
    </xf>
    <xf numFmtId="0" fontId="7" fillId="0" borderId="9" xfId="0" applyFont="1" applyBorder="1" applyAlignment="1">
      <alignment horizontal="left"/>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1" xfId="0" applyFont="1" applyBorder="1" applyAlignment="1">
      <alignment horizontal="center" vertical="center"/>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34" xfId="0" applyFont="1" applyBorder="1" applyAlignment="1">
      <alignment vertical="center" wrapText="1"/>
    </xf>
    <xf numFmtId="166" fontId="6" fillId="0" borderId="41" xfId="0" applyNumberFormat="1" applyFont="1" applyBorder="1" applyAlignment="1">
      <alignment vertical="center" wrapText="1"/>
    </xf>
    <xf numFmtId="0" fontId="6" fillId="0" borderId="5" xfId="0" applyFont="1" applyBorder="1" applyAlignment="1">
      <alignment horizontal="left" vertical="center"/>
    </xf>
    <xf numFmtId="0" fontId="6" fillId="0" borderId="1" xfId="0" applyFont="1" applyBorder="1" applyAlignment="1">
      <alignment horizontal="center" vertical="center"/>
    </xf>
    <xf numFmtId="166" fontId="6" fillId="0" borderId="1" xfId="0" applyNumberFormat="1" applyFont="1" applyBorder="1" applyAlignment="1">
      <alignment horizontal="left" vertical="center"/>
    </xf>
    <xf numFmtId="0" fontId="7" fillId="0" borderId="6" xfId="0" applyFont="1" applyBorder="1"/>
    <xf numFmtId="0" fontId="15" fillId="0" borderId="10" xfId="0" applyFont="1" applyBorder="1" applyAlignment="1"/>
    <xf numFmtId="0" fontId="16" fillId="0" borderId="11" xfId="0" applyFont="1" applyBorder="1" applyAlignment="1">
      <alignment horizontal="center"/>
    </xf>
    <xf numFmtId="0" fontId="16" fillId="0" borderId="11" xfId="0" applyFont="1" applyBorder="1" applyAlignment="1"/>
    <xf numFmtId="0" fontId="16" fillId="0" borderId="12" xfId="0" applyFont="1" applyBorder="1" applyAlignment="1"/>
    <xf numFmtId="0" fontId="15" fillId="0" borderId="22" xfId="0" applyFont="1" applyBorder="1" applyAlignment="1">
      <alignment horizontal="left"/>
    </xf>
    <xf numFmtId="166" fontId="16" fillId="0" borderId="0" xfId="2" applyNumberFormat="1" applyFont="1" applyBorder="1" applyAlignment="1"/>
    <xf numFmtId="0" fontId="16" fillId="0" borderId="0" xfId="0" applyFont="1" applyBorder="1" applyAlignment="1">
      <alignment wrapText="1"/>
    </xf>
    <xf numFmtId="166" fontId="16" fillId="0" borderId="0" xfId="2" applyNumberFormat="1" applyFont="1" applyBorder="1" applyAlignment="1">
      <alignment horizontal="center"/>
    </xf>
    <xf numFmtId="0" fontId="16" fillId="0" borderId="0" xfId="0" quotePrefix="1" applyFont="1" applyBorder="1" applyAlignment="1">
      <alignment horizontal="center" vertical="center" wrapText="1"/>
    </xf>
    <xf numFmtId="166" fontId="16" fillId="0" borderId="0" xfId="0" applyNumberFormat="1" applyFont="1" applyBorder="1" applyAlignment="1">
      <alignment wrapText="1"/>
    </xf>
    <xf numFmtId="0" fontId="16" fillId="0" borderId="23" xfId="0" applyFont="1" applyBorder="1" applyAlignment="1"/>
    <xf numFmtId="0" fontId="15" fillId="0" borderId="22" xfId="0" applyFont="1" applyBorder="1" applyAlignment="1"/>
    <xf numFmtId="4" fontId="16" fillId="0" borderId="0" xfId="0" applyNumberFormat="1" applyFont="1" applyBorder="1" applyAlignment="1">
      <alignment horizontal="center"/>
    </xf>
    <xf numFmtId="0" fontId="16" fillId="0" borderId="22" xfId="0" applyFont="1" applyBorder="1" applyAlignment="1"/>
    <xf numFmtId="0" fontId="16" fillId="0" borderId="0" xfId="0" applyFont="1" applyBorder="1" applyAlignment="1"/>
    <xf numFmtId="0" fontId="7" fillId="0" borderId="24" xfId="0" applyFont="1" applyBorder="1"/>
    <xf numFmtId="0" fontId="7" fillId="0" borderId="25" xfId="0" applyFont="1" applyBorder="1"/>
    <xf numFmtId="0" fontId="16" fillId="0" borderId="25" xfId="0" applyFont="1" applyBorder="1" applyAlignment="1"/>
    <xf numFmtId="0" fontId="16" fillId="0" borderId="25" xfId="0" applyFont="1" applyBorder="1" applyAlignment="1">
      <alignment horizontal="center"/>
    </xf>
    <xf numFmtId="0" fontId="7" fillId="0" borderId="25" xfId="0" applyFont="1" applyBorder="1" applyAlignment="1">
      <alignment wrapText="1"/>
    </xf>
    <xf numFmtId="0" fontId="16" fillId="0" borderId="25" xfId="0" applyFont="1" applyBorder="1" applyAlignment="1">
      <alignment horizontal="center" vertical="center"/>
    </xf>
    <xf numFmtId="0" fontId="16" fillId="0" borderId="26" xfId="0" applyFont="1" applyBorder="1" applyAlignment="1"/>
    <xf numFmtId="0" fontId="7" fillId="0" borderId="5" xfId="0" applyFont="1" applyBorder="1"/>
    <xf numFmtId="9" fontId="7" fillId="0" borderId="6" xfId="3" applyFont="1" applyBorder="1"/>
    <xf numFmtId="0" fontId="7" fillId="0" borderId="7" xfId="0" applyFont="1" applyBorder="1"/>
    <xf numFmtId="9" fontId="7" fillId="0" borderId="9" xfId="3" applyFont="1" applyBorder="1"/>
    <xf numFmtId="0" fontId="7" fillId="0" borderId="1" xfId="0" applyFont="1" applyBorder="1"/>
    <xf numFmtId="167" fontId="12" fillId="2" borderId="5" xfId="3" applyNumberFormat="1" applyFont="1" applyFill="1" applyBorder="1"/>
    <xf numFmtId="0" fontId="12" fillId="0" borderId="1" xfId="0" applyFont="1" applyFill="1" applyBorder="1"/>
    <xf numFmtId="0" fontId="12" fillId="0" borderId="1" xfId="0" applyFont="1" applyBorder="1"/>
    <xf numFmtId="0" fontId="12" fillId="0" borderId="1" xfId="0" applyFont="1" applyFill="1" applyBorder="1" applyAlignment="1">
      <alignment horizontal="right"/>
    </xf>
    <xf numFmtId="168" fontId="12" fillId="2" borderId="1" xfId="0" applyNumberFormat="1" applyFont="1" applyFill="1" applyBorder="1"/>
    <xf numFmtId="0" fontId="12" fillId="0" borderId="8" xfId="0" applyFont="1" applyFill="1" applyBorder="1" applyAlignment="1">
      <alignment horizontal="right"/>
    </xf>
    <xf numFmtId="0" fontId="12" fillId="2" borderId="8" xfId="0" applyNumberFormat="1" applyFont="1" applyFill="1" applyBorder="1" applyAlignment="1">
      <alignment horizontal="left"/>
    </xf>
    <xf numFmtId="0" fontId="12" fillId="0" borderId="8" xfId="0" applyFont="1" applyBorder="1"/>
    <xf numFmtId="0" fontId="7" fillId="0" borderId="8" xfId="0" applyFont="1" applyBorder="1"/>
    <xf numFmtId="0" fontId="7" fillId="0" borderId="9" xfId="0" applyFont="1" applyBorder="1"/>
    <xf numFmtId="0" fontId="7" fillId="0" borderId="1" xfId="0" applyFont="1" applyBorder="1" applyAlignment="1">
      <alignment horizontal="center"/>
    </xf>
    <xf numFmtId="169" fontId="7" fillId="0" borderId="1" xfId="2" applyNumberFormat="1" applyFont="1" applyBorder="1"/>
    <xf numFmtId="169" fontId="13" fillId="0" borderId="1" xfId="2" applyNumberFormat="1" applyFont="1" applyBorder="1"/>
    <xf numFmtId="170" fontId="13" fillId="0" borderId="1" xfId="1" applyNumberFormat="1" applyFont="1" applyFill="1" applyBorder="1" applyAlignment="1">
      <alignment horizontal="right"/>
    </xf>
    <xf numFmtId="0" fontId="7" fillId="0" borderId="0" xfId="0" applyFont="1" applyAlignment="1">
      <alignment horizontal="center" vertical="center" wrapText="1"/>
    </xf>
    <xf numFmtId="0" fontId="16" fillId="0" borderId="0" xfId="0" applyFont="1" applyBorder="1" applyAlignment="1">
      <alignment horizontal="left" vertical="center"/>
    </xf>
    <xf numFmtId="0" fontId="16" fillId="0" borderId="5" xfId="0" applyFont="1" applyBorder="1" applyAlignment="1">
      <alignment vertical="center"/>
    </xf>
    <xf numFmtId="4" fontId="16" fillId="0" borderId="1" xfId="0" applyNumberFormat="1" applyFont="1" applyBorder="1" applyAlignment="1">
      <alignment horizontal="right" vertical="center"/>
    </xf>
    <xf numFmtId="1" fontId="16" fillId="0" borderId="1" xfId="0" applyNumberFormat="1" applyFont="1" applyBorder="1" applyAlignment="1">
      <alignment horizontal="center" vertical="center"/>
    </xf>
    <xf numFmtId="9" fontId="16" fillId="0" borderId="1" xfId="0" applyNumberFormat="1" applyFont="1" applyBorder="1" applyAlignment="1">
      <alignment horizontal="right" vertical="center"/>
    </xf>
    <xf numFmtId="4" fontId="7" fillId="0" borderId="1" xfId="0" applyNumberFormat="1" applyFont="1" applyBorder="1"/>
    <xf numFmtId="4" fontId="7" fillId="0" borderId="6" xfId="0" applyNumberFormat="1" applyFont="1" applyBorder="1"/>
    <xf numFmtId="0" fontId="16" fillId="0" borderId="5" xfId="0" applyFont="1" applyBorder="1" applyAlignment="1">
      <alignment horizontal="left" vertical="center"/>
    </xf>
    <xf numFmtId="0" fontId="15" fillId="0" borderId="7" xfId="0" applyFont="1" applyBorder="1" applyAlignment="1">
      <alignment vertical="center"/>
    </xf>
    <xf numFmtId="2" fontId="16" fillId="0" borderId="8" xfId="0" applyNumberFormat="1" applyFont="1" applyBorder="1" applyAlignment="1">
      <alignment horizontal="left" vertical="center"/>
    </xf>
    <xf numFmtId="171" fontId="16" fillId="0" borderId="8" xfId="0" applyNumberFormat="1" applyFont="1" applyBorder="1" applyAlignment="1">
      <alignment horizontal="left" vertical="center"/>
    </xf>
    <xf numFmtId="4" fontId="15" fillId="0" borderId="8" xfId="0" applyNumberFormat="1" applyFont="1" applyBorder="1" applyAlignment="1">
      <alignment horizontal="left" vertical="center"/>
    </xf>
    <xf numFmtId="4" fontId="15" fillId="0" borderId="9" xfId="0" applyNumberFormat="1" applyFont="1" applyBorder="1" applyAlignment="1">
      <alignment horizontal="left" vertical="center"/>
    </xf>
    <xf numFmtId="166" fontId="7" fillId="0" borderId="0" xfId="2" applyNumberFormat="1" applyFont="1"/>
    <xf numFmtId="9" fontId="7" fillId="0" borderId="0" xfId="3" applyFont="1"/>
    <xf numFmtId="0" fontId="7" fillId="0" borderId="0" xfId="0" applyFont="1" applyAlignment="1">
      <alignment wrapText="1"/>
    </xf>
    <xf numFmtId="1" fontId="0" fillId="0" borderId="1" xfId="0" applyNumberFormat="1" applyBorder="1"/>
    <xf numFmtId="0" fontId="8" fillId="3" borderId="2" xfId="0" applyFont="1" applyFill="1" applyBorder="1" applyAlignment="1">
      <alignment horizontal="left" vertical="center"/>
    </xf>
    <xf numFmtId="0" fontId="8" fillId="3" borderId="3" xfId="0" applyFont="1" applyFill="1" applyBorder="1" applyAlignment="1">
      <alignment horizontal="left"/>
    </xf>
    <xf numFmtId="0" fontId="8" fillId="3" borderId="30" xfId="0" applyFont="1" applyFill="1" applyBorder="1" applyAlignment="1">
      <alignment horizontal="left"/>
    </xf>
    <xf numFmtId="0" fontId="8" fillId="3" borderId="4" xfId="0" applyFont="1" applyFill="1" applyBorder="1" applyAlignment="1">
      <alignment horizontal="left"/>
    </xf>
    <xf numFmtId="0" fontId="8" fillId="3" borderId="19" xfId="0" applyFont="1" applyFill="1" applyBorder="1"/>
    <xf numFmtId="0" fontId="8" fillId="3" borderId="7" xfId="0" applyFont="1" applyFill="1" applyBorder="1" applyAlignment="1">
      <alignment horizontal="left" vertical="center" wrapText="1"/>
    </xf>
    <xf numFmtId="166" fontId="8" fillId="3" borderId="8" xfId="0" applyNumberFormat="1" applyFont="1" applyFill="1" applyBorder="1" applyAlignment="1">
      <alignment horizontal="center" vertical="center"/>
    </xf>
    <xf numFmtId="0" fontId="8" fillId="3" borderId="6" xfId="0" applyFont="1" applyFill="1" applyBorder="1" applyAlignment="1">
      <alignment horizontal="left" vertical="center" wrapText="1"/>
    </xf>
    <xf numFmtId="1" fontId="5" fillId="3" borderId="7" xfId="0" applyNumberFormat="1" applyFont="1" applyFill="1" applyBorder="1" applyAlignment="1">
      <alignment horizontal="center" vertical="center"/>
    </xf>
    <xf numFmtId="166" fontId="0" fillId="0" borderId="8" xfId="2" applyNumberFormat="1" applyFont="1" applyBorder="1" applyAlignment="1">
      <alignment horizontal="center" vertical="center"/>
    </xf>
    <xf numFmtId="0" fontId="5" fillId="3" borderId="37"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39" xfId="0" applyFont="1" applyFill="1" applyBorder="1"/>
    <xf numFmtId="0" fontId="2" fillId="3" borderId="2" xfId="0" applyFont="1" applyFill="1" applyBorder="1"/>
    <xf numFmtId="0" fontId="5" fillId="3" borderId="5" xfId="0" applyFont="1" applyFill="1" applyBorder="1" applyAlignment="1">
      <alignment horizontal="left"/>
    </xf>
    <xf numFmtId="0" fontId="5" fillId="3" borderId="7" xfId="0" applyFont="1" applyFill="1" applyBorder="1" applyAlignment="1">
      <alignment horizontal="left"/>
    </xf>
    <xf numFmtId="10" fontId="0" fillId="0" borderId="6" xfId="0" applyNumberFormat="1" applyBorder="1"/>
    <xf numFmtId="10" fontId="0" fillId="0" borderId="9" xfId="3" applyNumberFormat="1" applyFont="1" applyBorder="1"/>
    <xf numFmtId="0" fontId="15" fillId="0" borderId="13" xfId="0" applyFont="1" applyBorder="1" applyAlignment="1">
      <alignment vertical="center"/>
    </xf>
    <xf numFmtId="0" fontId="16" fillId="0" borderId="15" xfId="0" applyFont="1" applyBorder="1" applyAlignment="1">
      <alignment vertical="center" wrapText="1"/>
    </xf>
    <xf numFmtId="0" fontId="8" fillId="3" borderId="1" xfId="0" applyFont="1" applyFill="1" applyBorder="1" applyAlignment="1">
      <alignment horizontal="center"/>
    </xf>
    <xf numFmtId="0" fontId="6" fillId="10" borderId="2" xfId="0" applyFont="1" applyFill="1" applyBorder="1" applyAlignment="1">
      <alignment vertical="center" wrapText="1"/>
    </xf>
    <xf numFmtId="171" fontId="6" fillId="10" borderId="3" xfId="0" applyNumberFormat="1" applyFont="1" applyFill="1" applyBorder="1" applyAlignment="1">
      <alignment horizontal="left" vertical="center" wrapText="1"/>
    </xf>
    <xf numFmtId="0" fontId="6" fillId="10" borderId="3" xfId="0" applyFont="1" applyFill="1" applyBorder="1" applyAlignment="1">
      <alignment horizontal="center" vertical="center" wrapText="1"/>
    </xf>
    <xf numFmtId="171" fontId="6" fillId="10" borderId="3" xfId="0" applyNumberFormat="1" applyFont="1" applyFill="1" applyBorder="1" applyAlignment="1">
      <alignment horizontal="center" vertical="center" wrapText="1"/>
    </xf>
    <xf numFmtId="0" fontId="10" fillId="3" borderId="2" xfId="0" applyFont="1" applyFill="1" applyBorder="1"/>
    <xf numFmtId="0" fontId="14" fillId="3" borderId="2" xfId="0" applyFont="1" applyFill="1" applyBorder="1"/>
    <xf numFmtId="166" fontId="11" fillId="0" borderId="4" xfId="2" applyNumberFormat="1" applyFont="1" applyBorder="1"/>
    <xf numFmtId="44" fontId="11" fillId="0" borderId="9" xfId="2" applyFont="1" applyBorder="1"/>
    <xf numFmtId="0" fontId="14" fillId="3" borderId="4" xfId="0" applyFont="1" applyFill="1" applyBorder="1"/>
    <xf numFmtId="44" fontId="11" fillId="0" borderId="6" xfId="2" applyFont="1" applyBorder="1"/>
    <xf numFmtId="165" fontId="11" fillId="0" borderId="9" xfId="0" applyNumberFormat="1" applyFont="1" applyBorder="1"/>
    <xf numFmtId="0" fontId="7" fillId="7" borderId="7" xfId="0" applyFont="1" applyFill="1" applyBorder="1" applyAlignment="1">
      <alignment wrapText="1"/>
    </xf>
    <xf numFmtId="173" fontId="7" fillId="0" borderId="21" xfId="3" applyNumberFormat="1" applyFont="1" applyBorder="1"/>
    <xf numFmtId="0" fontId="5" fillId="3" borderId="30" xfId="0" applyFont="1" applyFill="1" applyBorder="1" applyAlignment="1">
      <alignment horizontal="center" vertical="center"/>
    </xf>
    <xf numFmtId="166" fontId="0" fillId="0" borderId="31" xfId="2" applyNumberFormat="1" applyFont="1" applyBorder="1" applyAlignment="1">
      <alignment horizontal="center" vertical="center"/>
    </xf>
    <xf numFmtId="166" fontId="0" fillId="0" borderId="33" xfId="2" applyNumberFormat="1" applyFont="1" applyBorder="1" applyAlignment="1">
      <alignment horizontal="center" vertical="center"/>
    </xf>
    <xf numFmtId="172" fontId="0" fillId="0" borderId="48" xfId="1" applyNumberFormat="1" applyFont="1" applyFill="1" applyBorder="1" applyAlignment="1">
      <alignment horizontal="center" vertical="center"/>
    </xf>
    <xf numFmtId="172" fontId="0" fillId="0" borderId="48" xfId="1" applyNumberFormat="1" applyFont="1" applyBorder="1" applyAlignment="1">
      <alignment vertical="center"/>
    </xf>
    <xf numFmtId="0" fontId="0" fillId="0" borderId="0" xfId="0" applyAlignment="1">
      <alignment vertical="center"/>
    </xf>
    <xf numFmtId="0" fontId="0" fillId="0" borderId="42" xfId="0" applyBorder="1" applyAlignment="1">
      <alignment vertical="center" wrapText="1"/>
    </xf>
    <xf numFmtId="172" fontId="0" fillId="0" borderId="40" xfId="0" applyNumberFormat="1" applyBorder="1" applyAlignment="1">
      <alignment vertical="center"/>
    </xf>
    <xf numFmtId="3" fontId="15" fillId="0" borderId="14" xfId="0" applyNumberFormat="1" applyFont="1" applyBorder="1" applyAlignment="1">
      <alignment horizontal="center" vertical="center"/>
    </xf>
    <xf numFmtId="0" fontId="16" fillId="0" borderId="22" xfId="0" applyFont="1" applyBorder="1" applyAlignment="1">
      <alignment vertical="center"/>
    </xf>
    <xf numFmtId="0" fontId="7" fillId="0" borderId="23" xfId="0" applyFont="1" applyBorder="1"/>
    <xf numFmtId="6" fontId="6" fillId="4" borderId="1" xfId="0" applyNumberFormat="1" applyFont="1" applyFill="1" applyBorder="1"/>
    <xf numFmtId="6" fontId="6" fillId="4" borderId="6" xfId="0" applyNumberFormat="1" applyFont="1" applyFill="1" applyBorder="1"/>
    <xf numFmtId="166" fontId="6" fillId="5" borderId="6" xfId="2" applyNumberFormat="1" applyFont="1" applyFill="1" applyBorder="1"/>
    <xf numFmtId="166" fontId="8" fillId="3" borderId="6" xfId="2" applyNumberFormat="1" applyFont="1" applyFill="1" applyBorder="1"/>
    <xf numFmtId="166" fontId="10" fillId="3" borderId="6" xfId="2" applyNumberFormat="1" applyFont="1" applyFill="1" applyBorder="1"/>
    <xf numFmtId="166" fontId="8" fillId="3" borderId="9" xfId="2" applyNumberFormat="1" applyFont="1" applyFill="1" applyBorder="1"/>
    <xf numFmtId="0" fontId="6" fillId="4" borderId="2" xfId="0" applyFont="1" applyFill="1" applyBorder="1"/>
    <xf numFmtId="0" fontId="0" fillId="0" borderId="6" xfId="0" applyBorder="1"/>
    <xf numFmtId="0" fontId="11" fillId="0" borderId="1" xfId="0" applyFont="1" applyBorder="1"/>
    <xf numFmtId="166" fontId="21" fillId="0" borderId="1" xfId="0" applyNumberFormat="1" applyFont="1" applyBorder="1"/>
    <xf numFmtId="166" fontId="11" fillId="0" borderId="1" xfId="0" applyNumberFormat="1" applyFont="1" applyBorder="1"/>
    <xf numFmtId="166" fontId="21" fillId="0" borderId="15" xfId="0" applyNumberFormat="1" applyFont="1" applyBorder="1"/>
    <xf numFmtId="0" fontId="11" fillId="0" borderId="13" xfId="0" applyFont="1" applyBorder="1"/>
    <xf numFmtId="0" fontId="11" fillId="0" borderId="5" xfId="0" applyFont="1" applyBorder="1" applyAlignment="1">
      <alignment vertical="center"/>
    </xf>
    <xf numFmtId="0" fontId="11" fillId="0" borderId="1" xfId="0" applyFont="1" applyFill="1" applyBorder="1"/>
    <xf numFmtId="0" fontId="11" fillId="6" borderId="5" xfId="0" applyFont="1" applyFill="1" applyBorder="1" applyAlignment="1">
      <alignment vertical="center" wrapText="1"/>
    </xf>
    <xf numFmtId="166" fontId="11" fillId="6" borderId="1" xfId="2" applyNumberFormat="1" applyFont="1" applyFill="1" applyBorder="1"/>
    <xf numFmtId="166" fontId="11" fillId="6" borderId="1" xfId="0" applyNumberFormat="1" applyFont="1" applyFill="1" applyBorder="1"/>
    <xf numFmtId="0" fontId="22" fillId="0" borderId="5" xfId="0" applyFont="1" applyBorder="1" applyAlignment="1">
      <alignment vertical="center" wrapText="1"/>
    </xf>
    <xf numFmtId="0" fontId="11" fillId="0" borderId="5" xfId="0" applyFont="1" applyBorder="1" applyAlignment="1">
      <alignment vertical="center" wrapText="1"/>
    </xf>
    <xf numFmtId="166" fontId="11" fillId="0" borderId="1" xfId="2" applyNumberFormat="1" applyFont="1" applyBorder="1"/>
    <xf numFmtId="0" fontId="11" fillId="11" borderId="5" xfId="0" applyFont="1" applyFill="1" applyBorder="1" applyAlignment="1">
      <alignment vertical="center" wrapText="1"/>
    </xf>
    <xf numFmtId="166" fontId="11" fillId="11" borderId="1" xfId="0" applyNumberFormat="1" applyFont="1" applyFill="1" applyBorder="1"/>
    <xf numFmtId="0" fontId="23" fillId="0" borderId="0" xfId="4" applyFont="1"/>
    <xf numFmtId="0" fontId="22" fillId="0" borderId="1" xfId="0" applyFont="1" applyBorder="1" applyAlignment="1">
      <alignment horizontal="center"/>
    </xf>
    <xf numFmtId="0" fontId="6" fillId="4" borderId="3" xfId="0" applyFont="1" applyFill="1" applyBorder="1" applyAlignment="1">
      <alignment horizontal="center"/>
    </xf>
    <xf numFmtId="166" fontId="6" fillId="0" borderId="6" xfId="2" applyNumberFormat="1" applyFont="1" applyBorder="1"/>
    <xf numFmtId="0" fontId="11" fillId="12" borderId="5" xfId="0" applyFont="1" applyFill="1" applyBorder="1" applyAlignment="1">
      <alignment vertical="center" wrapText="1"/>
    </xf>
    <xf numFmtId="166" fontId="11" fillId="12" borderId="1" xfId="0" applyNumberFormat="1" applyFont="1" applyFill="1" applyBorder="1"/>
    <xf numFmtId="0" fontId="11" fillId="12" borderId="7" xfId="0" applyFont="1" applyFill="1" applyBorder="1" applyAlignment="1">
      <alignment vertical="center" wrapText="1"/>
    </xf>
    <xf numFmtId="166" fontId="11" fillId="12" borderId="8" xfId="0" applyNumberFormat="1" applyFont="1" applyFill="1" applyBorder="1"/>
    <xf numFmtId="166" fontId="11" fillId="12" borderId="28" xfId="0" applyNumberFormat="1" applyFont="1" applyFill="1" applyBorder="1"/>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0" borderId="0" xfId="0" applyFont="1" applyFill="1" applyBorder="1" applyAlignment="1"/>
    <xf numFmtId="172" fontId="8" fillId="3" borderId="3" xfId="1" applyNumberFormat="1" applyFont="1" applyFill="1" applyBorder="1" applyAlignment="1">
      <alignment horizontal="center"/>
    </xf>
    <xf numFmtId="0" fontId="7" fillId="7" borderId="1" xfId="0" applyFont="1" applyFill="1" applyBorder="1" applyAlignment="1">
      <alignment horizontal="center"/>
    </xf>
    <xf numFmtId="0" fontId="7" fillId="7" borderId="5" xfId="0" applyFont="1" applyFill="1" applyBorder="1"/>
    <xf numFmtId="0" fontId="7" fillId="7" borderId="6" xfId="0" applyFont="1" applyFill="1" applyBorder="1" applyAlignment="1">
      <alignment horizontal="center"/>
    </xf>
    <xf numFmtId="0" fontId="7" fillId="7" borderId="5" xfId="0" applyFont="1" applyFill="1" applyBorder="1" applyAlignment="1">
      <alignment wrapText="1"/>
    </xf>
    <xf numFmtId="0" fontId="7" fillId="7" borderId="7" xfId="0" applyFont="1" applyFill="1" applyBorder="1"/>
    <xf numFmtId="0" fontId="7" fillId="3" borderId="2" xfId="0" applyFont="1" applyFill="1" applyBorder="1" applyAlignment="1">
      <alignment wrapText="1"/>
    </xf>
    <xf numFmtId="0" fontId="8" fillId="3" borderId="3" xfId="2" applyNumberFormat="1" applyFont="1" applyFill="1" applyBorder="1"/>
    <xf numFmtId="164" fontId="7" fillId="0" borderId="8" xfId="0" applyNumberFormat="1" applyFont="1" applyBorder="1"/>
    <xf numFmtId="0" fontId="7" fillId="7" borderId="13" xfId="0" applyFont="1" applyFill="1" applyBorder="1" applyAlignment="1">
      <alignment wrapText="1"/>
    </xf>
    <xf numFmtId="166" fontId="7" fillId="0" borderId="15" xfId="2" applyNumberFormat="1" applyFont="1" applyBorder="1"/>
    <xf numFmtId="164" fontId="7" fillId="0" borderId="15" xfId="0" applyNumberFormat="1" applyFont="1" applyBorder="1"/>
    <xf numFmtId="0" fontId="7" fillId="7" borderId="13" xfId="0" applyFont="1" applyFill="1" applyBorder="1"/>
    <xf numFmtId="0" fontId="0" fillId="0" borderId="0" xfId="0" applyAlignment="1">
      <alignment horizontal="center" vertical="center" wrapText="1"/>
    </xf>
    <xf numFmtId="0" fontId="5" fillId="3" borderId="13" xfId="0" applyFont="1" applyFill="1" applyBorder="1" applyAlignment="1">
      <alignment horizontal="center"/>
    </xf>
    <xf numFmtId="0" fontId="5" fillId="3" borderId="14" xfId="0" applyFont="1" applyFill="1" applyBorder="1" applyAlignment="1">
      <alignment horizontal="center"/>
    </xf>
    <xf numFmtId="0" fontId="5" fillId="3" borderId="15" xfId="0" applyFont="1" applyFill="1" applyBorder="1" applyAlignment="1">
      <alignment horizontal="center"/>
    </xf>
    <xf numFmtId="0" fontId="8" fillId="3" borderId="19" xfId="0" applyFont="1" applyFill="1" applyBorder="1" applyAlignment="1">
      <alignment horizontal="center"/>
    </xf>
    <xf numFmtId="0" fontId="8" fillId="3" borderId="20" xfId="0" applyFont="1" applyFill="1" applyBorder="1" applyAlignment="1">
      <alignment horizontal="center"/>
    </xf>
    <xf numFmtId="0" fontId="8" fillId="3" borderId="21" xfId="0" applyFont="1" applyFill="1" applyBorder="1" applyAlignment="1">
      <alignment horizontal="center"/>
    </xf>
    <xf numFmtId="0" fontId="8" fillId="3" borderId="13" xfId="0" applyFont="1" applyFill="1" applyBorder="1" applyAlignment="1">
      <alignment horizontal="center"/>
    </xf>
    <xf numFmtId="0" fontId="8" fillId="3" borderId="14" xfId="0" applyFont="1" applyFill="1" applyBorder="1" applyAlignment="1">
      <alignment horizontal="center"/>
    </xf>
    <xf numFmtId="0" fontId="8" fillId="3" borderId="15" xfId="0" applyFont="1" applyFill="1" applyBorder="1" applyAlignment="1">
      <alignment horizontal="center"/>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6" fillId="7" borderId="34" xfId="0" applyFont="1" applyFill="1" applyBorder="1" applyAlignment="1">
      <alignment horizontal="center" vertical="center" wrapText="1"/>
    </xf>
    <xf numFmtId="0" fontId="6" fillId="7" borderId="35" xfId="0" applyFont="1" applyFill="1" applyBorder="1" applyAlignment="1">
      <alignment horizontal="center" vertical="center" wrapText="1"/>
    </xf>
    <xf numFmtId="0" fontId="6" fillId="7" borderId="41" xfId="0" applyFont="1" applyFill="1" applyBorder="1" applyAlignment="1">
      <alignment horizontal="center" vertical="center" wrapText="1"/>
    </xf>
    <xf numFmtId="0" fontId="6" fillId="7" borderId="36" xfId="0" applyFont="1" applyFill="1" applyBorder="1" applyAlignment="1">
      <alignment horizontal="center" vertical="center" wrapText="1"/>
    </xf>
    <xf numFmtId="1" fontId="20" fillId="0" borderId="13" xfId="0" quotePrefix="1" applyNumberFormat="1" applyFont="1" applyBorder="1" applyAlignment="1">
      <alignment horizontal="center" vertical="center" wrapText="1"/>
    </xf>
    <xf numFmtId="1" fontId="20" fillId="0" borderId="14" xfId="0" applyNumberFormat="1" applyFont="1" applyBorder="1" applyAlignment="1">
      <alignment horizontal="center" vertical="center" wrapText="1"/>
    </xf>
    <xf numFmtId="1" fontId="20" fillId="0" borderId="15" xfId="0" applyNumberFormat="1" applyFont="1" applyBorder="1" applyAlignment="1">
      <alignment horizontal="center" vertical="center" wrapText="1"/>
    </xf>
    <xf numFmtId="0" fontId="8" fillId="9" borderId="10" xfId="0" applyFont="1" applyFill="1" applyBorder="1" applyAlignment="1">
      <alignment horizontal="center" wrapText="1"/>
    </xf>
    <xf numFmtId="0" fontId="10" fillId="3" borderId="11" xfId="0" applyFont="1" applyFill="1" applyBorder="1" applyAlignment="1">
      <alignment wrapText="1"/>
    </xf>
    <xf numFmtId="0" fontId="10" fillId="3" borderId="12" xfId="0" applyFont="1" applyFill="1" applyBorder="1" applyAlignment="1">
      <alignment wrapText="1"/>
    </xf>
    <xf numFmtId="166" fontId="16" fillId="0" borderId="14" xfId="2" applyNumberFormat="1" applyFont="1" applyBorder="1" applyAlignment="1">
      <alignment horizontal="center"/>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22" xfId="0" applyFont="1" applyFill="1" applyBorder="1" applyAlignment="1">
      <alignment horizontal="center" vertical="center"/>
    </xf>
    <xf numFmtId="0" fontId="8" fillId="3" borderId="0" xfId="0" applyFont="1" applyFill="1" applyBorder="1" applyAlignment="1">
      <alignment horizontal="center" vertical="center"/>
    </xf>
    <xf numFmtId="0" fontId="8" fillId="3" borderId="23"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2" xfId="0" applyFont="1" applyFill="1" applyBorder="1" applyAlignment="1">
      <alignment horizontal="center" vertical="center"/>
    </xf>
    <xf numFmtId="0" fontId="10" fillId="3" borderId="24" xfId="0" applyFont="1" applyFill="1" applyBorder="1" applyAlignment="1">
      <alignment horizontal="center" vertical="center"/>
    </xf>
    <xf numFmtId="0" fontId="10" fillId="3" borderId="25" xfId="0" applyFont="1" applyFill="1" applyBorder="1" applyAlignment="1">
      <alignment horizontal="center" vertical="center"/>
    </xf>
    <xf numFmtId="0" fontId="10" fillId="3" borderId="26" xfId="0" applyFont="1" applyFill="1" applyBorder="1" applyAlignment="1">
      <alignment horizontal="center" vertical="center"/>
    </xf>
    <xf numFmtId="0" fontId="14" fillId="3" borderId="44" xfId="0" applyFont="1" applyFill="1" applyBorder="1" applyAlignment="1">
      <alignment horizontal="center"/>
    </xf>
    <xf numFmtId="0" fontId="14" fillId="3" borderId="43" xfId="0" applyFont="1" applyFill="1" applyBorder="1" applyAlignment="1">
      <alignment horizontal="center"/>
    </xf>
    <xf numFmtId="0" fontId="8" fillId="9" borderId="10" xfId="0" applyFont="1" applyFill="1" applyBorder="1" applyAlignment="1">
      <alignment horizontal="center" vertical="center"/>
    </xf>
    <xf numFmtId="0" fontId="8" fillId="9" borderId="11" xfId="0" applyFont="1" applyFill="1" applyBorder="1" applyAlignment="1">
      <alignment horizontal="center" vertical="center"/>
    </xf>
    <xf numFmtId="0" fontId="8" fillId="9" borderId="12" xfId="0" applyFont="1" applyFill="1" applyBorder="1" applyAlignment="1">
      <alignment horizontal="center" vertical="center"/>
    </xf>
    <xf numFmtId="0" fontId="7" fillId="0" borderId="0" xfId="0" applyFont="1" applyAlignment="1">
      <alignment horizontal="center" vertical="center"/>
    </xf>
    <xf numFmtId="0" fontId="12" fillId="0" borderId="5" xfId="0" applyFont="1" applyFill="1" applyBorder="1" applyAlignment="1">
      <alignment horizontal="center"/>
    </xf>
    <xf numFmtId="0" fontId="12" fillId="0" borderId="1" xfId="0" applyFont="1" applyFill="1" applyBorder="1" applyAlignment="1">
      <alignment horizontal="center"/>
    </xf>
    <xf numFmtId="0" fontId="12" fillId="0" borderId="6" xfId="0" applyFont="1" applyFill="1" applyBorder="1" applyAlignment="1">
      <alignment horizontal="center"/>
    </xf>
    <xf numFmtId="0" fontId="13" fillId="0" borderId="5" xfId="0" applyFont="1" applyBorder="1" applyAlignment="1">
      <alignment horizontal="left" vertical="center" wrapText="1"/>
    </xf>
    <xf numFmtId="0" fontId="7" fillId="0" borderId="1" xfId="0" applyFont="1" applyBorder="1" applyAlignment="1">
      <alignment horizontal="left" vertical="center" wrapText="1"/>
    </xf>
    <xf numFmtId="0" fontId="7" fillId="0" borderId="6" xfId="0" applyFont="1" applyBorder="1" applyAlignment="1">
      <alignment horizontal="left" vertical="center" wrapText="1"/>
    </xf>
    <xf numFmtId="0" fontId="7" fillId="0" borderId="5" xfId="0" applyFont="1" applyBorder="1" applyAlignment="1">
      <alignment horizontal="left" vertical="center" wrapText="1"/>
    </xf>
    <xf numFmtId="0" fontId="4" fillId="0" borderId="0" xfId="4" applyAlignment="1">
      <alignment horizontal="center" vertical="center" wrapText="1"/>
    </xf>
    <xf numFmtId="0" fontId="19" fillId="0" borderId="0" xfId="4" applyFont="1" applyAlignment="1">
      <alignment horizontal="center" vertical="center" wrapText="1"/>
    </xf>
    <xf numFmtId="0" fontId="7" fillId="3" borderId="37" xfId="0" applyFont="1" applyFill="1" applyBorder="1" applyAlignment="1">
      <alignment horizontal="center"/>
    </xf>
    <xf numFmtId="0" fontId="7" fillId="3" borderId="46" xfId="0" applyFont="1" applyFill="1" applyBorder="1" applyAlignment="1">
      <alignment horizontal="center"/>
    </xf>
    <xf numFmtId="0" fontId="7" fillId="3" borderId="47" xfId="0" applyFont="1" applyFill="1" applyBorder="1" applyAlignment="1">
      <alignment horizontal="center"/>
    </xf>
    <xf numFmtId="0" fontId="18" fillId="7" borderId="34" xfId="0" applyFont="1" applyFill="1" applyBorder="1" applyAlignment="1">
      <alignment horizontal="center" vertical="center" wrapText="1"/>
    </xf>
    <xf numFmtId="0" fontId="18" fillId="7" borderId="35" xfId="0" applyFont="1" applyFill="1" applyBorder="1" applyAlignment="1">
      <alignment horizontal="center" vertical="center" wrapText="1"/>
    </xf>
    <xf numFmtId="0" fontId="18" fillId="7" borderId="36" xfId="0" applyFont="1" applyFill="1" applyBorder="1" applyAlignment="1">
      <alignment horizontal="center" vertical="center" wrapText="1"/>
    </xf>
    <xf numFmtId="0" fontId="6" fillId="7" borderId="34" xfId="0" applyFont="1" applyFill="1" applyBorder="1" applyAlignment="1">
      <alignment horizontal="center"/>
    </xf>
    <xf numFmtId="0" fontId="6" fillId="7" borderId="35" xfId="0" applyFont="1" applyFill="1" applyBorder="1" applyAlignment="1">
      <alignment horizontal="center"/>
    </xf>
    <xf numFmtId="0" fontId="6" fillId="7" borderId="36" xfId="0" applyFont="1" applyFill="1" applyBorder="1" applyAlignment="1">
      <alignment horizontal="center"/>
    </xf>
    <xf numFmtId="0" fontId="8" fillId="3" borderId="2"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6" fillId="7" borderId="49" xfId="0" applyFont="1" applyFill="1" applyBorder="1" applyAlignment="1">
      <alignment horizontal="center" vertical="center" wrapText="1"/>
    </xf>
    <xf numFmtId="0" fontId="6" fillId="7" borderId="16" xfId="0" applyFont="1" applyFill="1" applyBorder="1" applyAlignment="1">
      <alignment horizontal="center" vertical="center" wrapText="1"/>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8" fillId="3" borderId="44" xfId="0" applyFont="1" applyFill="1" applyBorder="1" applyAlignment="1">
      <alignment horizontal="center" vertical="center"/>
    </xf>
    <xf numFmtId="0" fontId="8" fillId="3" borderId="43" xfId="0" applyFont="1" applyFill="1" applyBorder="1" applyAlignment="1">
      <alignment horizontal="center" vertical="center"/>
    </xf>
    <xf numFmtId="0" fontId="8" fillId="3" borderId="45" xfId="0" applyFont="1" applyFill="1" applyBorder="1" applyAlignment="1">
      <alignment horizontal="center" vertical="center"/>
    </xf>
    <xf numFmtId="0" fontId="8" fillId="3" borderId="13" xfId="0" applyFont="1" applyFill="1" applyBorder="1" applyAlignment="1">
      <alignment horizontal="center" wrapText="1"/>
    </xf>
    <xf numFmtId="0" fontId="8" fillId="3" borderId="14" xfId="0" applyFont="1" applyFill="1" applyBorder="1" applyAlignment="1">
      <alignment horizontal="center" wrapText="1"/>
    </xf>
    <xf numFmtId="0" fontId="8" fillId="3" borderId="15" xfId="0" applyFont="1" applyFill="1" applyBorder="1" applyAlignment="1">
      <alignment horizontal="center" wrapText="1"/>
    </xf>
  </cellXfs>
  <cellStyles count="5">
    <cellStyle name="Hipervínculo" xfId="4" builtinId="8"/>
    <cellStyle name="Millares" xfId="1" builtinId="3"/>
    <cellStyle name="Moneda" xfId="2" builtinId="4"/>
    <cellStyle name="Normal" xfId="0" builtinId="0"/>
    <cellStyle name="Porcentaje" xfId="3" builtinId="5"/>
  </cellStyles>
  <dxfs count="0"/>
  <tableStyles count="0" defaultTableStyle="TableStyleMedium2" defaultPivotStyle="PivotStyleLight16"/>
  <colors>
    <mruColors>
      <color rgb="FFFFC000"/>
      <color rgb="FF67A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9525</xdr:colOff>
      <xdr:row>10</xdr:row>
      <xdr:rowOff>76200</xdr:rowOff>
    </xdr:from>
    <xdr:to>
      <xdr:col>10</xdr:col>
      <xdr:colOff>180975</xdr:colOff>
      <xdr:row>11</xdr:row>
      <xdr:rowOff>85725</xdr:rowOff>
    </xdr:to>
    <xdr:cxnSp macro="">
      <xdr:nvCxnSpPr>
        <xdr:cNvPr id="6" name="AutoShape 1"/>
        <xdr:cNvCxnSpPr>
          <a:cxnSpLocks noChangeShapeType="1"/>
        </xdr:cNvCxnSpPr>
      </xdr:nvCxnSpPr>
      <xdr:spPr bwMode="auto">
        <a:xfrm rot="10800000" flipV="1">
          <a:off x="1924050" y="2009775"/>
          <a:ext cx="3009900" cy="171450"/>
        </a:xfrm>
        <a:prstGeom prst="bentConnector3">
          <a:avLst>
            <a:gd name="adj1" fmla="val 97782"/>
          </a:avLst>
        </a:prstGeom>
        <a:noFill/>
        <a:ln w="9525">
          <a:solidFill>
            <a:srgbClr xmlns:mc="http://schemas.openxmlformats.org/markup-compatibility/2006" xmlns:a14="http://schemas.microsoft.com/office/drawing/2010/main" val="000000" mc:Ignorable="a14" a14:legacySpreadsheetColorIndex="64"/>
          </a:solidFill>
          <a:miter lim="800000"/>
          <a:headEnd type="triangle" w="med" len="me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hyperlink" Target="https://exceltotal.com/flujo-de-caja-en-excel/"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uperfinanciera.gov.co/jsp/loader.jsf?lServicio=Publicaciones&amp;lTipo=publicaciones&amp;lFuncion=loadContenidoPublicacion&amp;id=6129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0"/>
  <sheetViews>
    <sheetView workbookViewId="0">
      <selection activeCell="I16" sqref="I16"/>
    </sheetView>
  </sheetViews>
  <sheetFormatPr baseColWidth="10" defaultRowHeight="15" x14ac:dyDescent="0.25"/>
  <cols>
    <col min="3" max="3" width="33.140625" bestFit="1" customWidth="1"/>
    <col min="4" max="4" width="20" bestFit="1" customWidth="1"/>
  </cols>
  <sheetData>
    <row r="1" spans="2:4" s="44" customFormat="1" x14ac:dyDescent="0.25"/>
    <row r="2" spans="2:4" s="44" customFormat="1" ht="15.75" thickBot="1" x14ac:dyDescent="0.3"/>
    <row r="3" spans="2:4" s="44" customFormat="1" x14ac:dyDescent="0.25">
      <c r="B3" s="96"/>
      <c r="C3" s="224" t="s">
        <v>248</v>
      </c>
      <c r="D3" s="225">
        <v>2900</v>
      </c>
    </row>
    <row r="4" spans="2:4" ht="15.75" thickBot="1" x14ac:dyDescent="0.3">
      <c r="B4" s="96"/>
      <c r="C4" s="62" t="s">
        <v>249</v>
      </c>
      <c r="D4" s="226">
        <v>1.61</v>
      </c>
    </row>
    <row r="5" spans="2:4" x14ac:dyDescent="0.25">
      <c r="B5" s="96"/>
      <c r="C5" s="96"/>
      <c r="D5" s="96"/>
    </row>
    <row r="6" spans="2:4" ht="15.75" thickBot="1" x14ac:dyDescent="0.3">
      <c r="D6" s="96"/>
    </row>
    <row r="7" spans="2:4" x14ac:dyDescent="0.25">
      <c r="C7" s="224"/>
      <c r="D7" s="227" t="s">
        <v>244</v>
      </c>
    </row>
    <row r="8" spans="2:4" x14ac:dyDescent="0.25">
      <c r="C8" s="61" t="s">
        <v>245</v>
      </c>
      <c r="D8" s="46">
        <f>Costos!D22</f>
        <v>30428.125</v>
      </c>
    </row>
    <row r="9" spans="2:4" x14ac:dyDescent="0.25">
      <c r="C9" s="61" t="s">
        <v>246</v>
      </c>
      <c r="D9" s="228">
        <f>D8/D3</f>
        <v>10.492456896551724</v>
      </c>
    </row>
    <row r="10" spans="2:4" ht="15.75" thickBot="1" x14ac:dyDescent="0.3">
      <c r="C10" s="62" t="s">
        <v>247</v>
      </c>
      <c r="D10" s="229">
        <f>D4*D9</f>
        <v>16.892855603448275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U64"/>
  <sheetViews>
    <sheetView topLeftCell="A46" workbookViewId="0">
      <selection activeCell="D64" sqref="D64"/>
    </sheetView>
  </sheetViews>
  <sheetFormatPr baseColWidth="10" defaultRowHeight="15" x14ac:dyDescent="0.25"/>
  <cols>
    <col min="2" max="2" width="40.7109375" customWidth="1"/>
    <col min="3" max="3" width="15.5703125" bestFit="1" customWidth="1"/>
    <col min="4" max="4" width="15.5703125" customWidth="1"/>
    <col min="5" max="5" width="21.42578125" customWidth="1"/>
    <col min="7" max="7" width="42.7109375" customWidth="1"/>
    <col min="8" max="8" width="20.42578125" bestFit="1" customWidth="1"/>
    <col min="9" max="9" width="21.85546875" bestFit="1" customWidth="1"/>
    <col min="10" max="10" width="39.7109375" customWidth="1"/>
    <col min="11" max="11" width="64" bestFit="1" customWidth="1"/>
    <col min="12" max="12" width="14.140625" bestFit="1" customWidth="1"/>
    <col min="15" max="15" width="12.5703125" customWidth="1"/>
    <col min="16" max="16" width="8.28515625" bestFit="1" customWidth="1"/>
    <col min="17" max="17" width="13.7109375" bestFit="1" customWidth="1"/>
  </cols>
  <sheetData>
    <row r="1" spans="2:21" ht="15.75" thickBot="1" x14ac:dyDescent="0.3"/>
    <row r="2" spans="2:21" ht="16.5" thickBot="1" x14ac:dyDescent="0.3">
      <c r="B2" s="202" t="s">
        <v>202</v>
      </c>
      <c r="C2" s="97">
        <f>'Precio Kilo Pitahaya'!D3</f>
        <v>2900</v>
      </c>
      <c r="D2" s="45"/>
      <c r="E2" s="45"/>
    </row>
    <row r="3" spans="2:21" ht="15.75" x14ac:dyDescent="0.25">
      <c r="B3" s="45"/>
      <c r="C3" s="45"/>
      <c r="D3" s="45"/>
      <c r="E3" s="45"/>
    </row>
    <row r="4" spans="2:21" ht="16.5" thickBot="1" x14ac:dyDescent="0.3">
      <c r="B4" s="45"/>
      <c r="C4" s="45"/>
      <c r="D4" s="45"/>
      <c r="E4" s="45"/>
      <c r="K4" s="17"/>
      <c r="P4" t="s">
        <v>72</v>
      </c>
      <c r="Q4" t="s">
        <v>73</v>
      </c>
      <c r="R4" t="s">
        <v>75</v>
      </c>
      <c r="T4" t="s">
        <v>8</v>
      </c>
    </row>
    <row r="5" spans="2:21" ht="15.75" x14ac:dyDescent="0.25">
      <c r="B5" s="198" t="s">
        <v>0</v>
      </c>
      <c r="C5" s="199" t="s">
        <v>206</v>
      </c>
      <c r="D5" s="200" t="s">
        <v>207</v>
      </c>
      <c r="E5" s="201" t="s">
        <v>14</v>
      </c>
      <c r="N5" t="s">
        <v>69</v>
      </c>
      <c r="O5">
        <v>5500</v>
      </c>
      <c r="P5">
        <v>8500</v>
      </c>
      <c r="Q5">
        <f>AVERAGE(O5:P5)</f>
        <v>7000</v>
      </c>
      <c r="R5">
        <v>8000</v>
      </c>
      <c r="S5">
        <v>90</v>
      </c>
      <c r="U5">
        <f>R5*S5</f>
        <v>720000</v>
      </c>
    </row>
    <row r="6" spans="2:21" ht="15.75" x14ac:dyDescent="0.25">
      <c r="B6" s="347" t="s">
        <v>116</v>
      </c>
      <c r="C6" s="348"/>
      <c r="D6" s="348"/>
      <c r="E6" s="349"/>
      <c r="N6" t="s">
        <v>70</v>
      </c>
      <c r="O6">
        <v>6000</v>
      </c>
      <c r="P6">
        <v>9500</v>
      </c>
      <c r="Q6">
        <f t="shared" ref="Q6:Q7" si="0">AVERAGE(O6:P6)</f>
        <v>7750</v>
      </c>
      <c r="R6">
        <v>8000</v>
      </c>
      <c r="S6">
        <v>70</v>
      </c>
      <c r="U6">
        <f t="shared" ref="U6:U7" si="1">R6*S6</f>
        <v>560000</v>
      </c>
    </row>
    <row r="7" spans="2:21" ht="31.5" x14ac:dyDescent="0.25">
      <c r="B7" s="98" t="s">
        <v>1</v>
      </c>
      <c r="C7" s="99">
        <v>200</v>
      </c>
      <c r="D7" s="100"/>
      <c r="E7" s="101" t="s">
        <v>42</v>
      </c>
      <c r="N7" t="s">
        <v>71</v>
      </c>
      <c r="O7">
        <v>6500</v>
      </c>
      <c r="P7">
        <v>9500</v>
      </c>
      <c r="Q7">
        <f t="shared" si="0"/>
        <v>8000</v>
      </c>
      <c r="R7">
        <v>8000</v>
      </c>
      <c r="S7">
        <v>40</v>
      </c>
      <c r="U7">
        <f t="shared" si="1"/>
        <v>320000</v>
      </c>
    </row>
    <row r="8" spans="2:21" ht="15.75" x14ac:dyDescent="0.25">
      <c r="B8" s="98" t="s">
        <v>119</v>
      </c>
      <c r="C8" s="99">
        <v>376000</v>
      </c>
      <c r="D8" s="100"/>
      <c r="E8" s="102" t="s">
        <v>46</v>
      </c>
    </row>
    <row r="9" spans="2:21" ht="31.5" x14ac:dyDescent="0.25">
      <c r="B9" s="98" t="s">
        <v>2</v>
      </c>
      <c r="C9" s="99">
        <v>200</v>
      </c>
      <c r="D9" s="100"/>
      <c r="E9" s="101" t="s">
        <v>42</v>
      </c>
      <c r="S9">
        <f>SUM(S5:S7)</f>
        <v>200</v>
      </c>
    </row>
    <row r="10" spans="2:21" ht="15.75" x14ac:dyDescent="0.25">
      <c r="B10" s="98" t="s">
        <v>60</v>
      </c>
      <c r="C10" s="99">
        <v>30000</v>
      </c>
      <c r="D10" s="100"/>
      <c r="E10" s="101"/>
    </row>
    <row r="11" spans="2:21" ht="15.75" x14ac:dyDescent="0.25">
      <c r="B11" s="103" t="s">
        <v>231</v>
      </c>
      <c r="C11" s="99">
        <v>15000</v>
      </c>
      <c r="D11" s="100"/>
      <c r="E11" s="102"/>
    </row>
    <row r="12" spans="2:21" ht="31.5" x14ac:dyDescent="0.25">
      <c r="B12" s="103" t="s">
        <v>232</v>
      </c>
      <c r="C12" s="99">
        <v>200</v>
      </c>
      <c r="D12" s="100"/>
      <c r="E12" s="101" t="s">
        <v>43</v>
      </c>
    </row>
    <row r="13" spans="2:21" ht="31.5" x14ac:dyDescent="0.25">
      <c r="B13" s="103" t="s">
        <v>233</v>
      </c>
      <c r="C13" s="99">
        <v>200</v>
      </c>
      <c r="D13" s="100"/>
      <c r="E13" s="101" t="s">
        <v>42</v>
      </c>
    </row>
    <row r="14" spans="2:21" ht="31.5" x14ac:dyDescent="0.25">
      <c r="B14" s="103" t="s">
        <v>234</v>
      </c>
      <c r="C14" s="99">
        <v>200</v>
      </c>
      <c r="D14" s="100"/>
      <c r="E14" s="101" t="s">
        <v>42</v>
      </c>
    </row>
    <row r="15" spans="2:21" ht="42" customHeight="1" x14ac:dyDescent="0.25">
      <c r="B15" s="103" t="s">
        <v>235</v>
      </c>
      <c r="C15" s="99">
        <v>200</v>
      </c>
      <c r="D15" s="100"/>
      <c r="E15" s="101" t="s">
        <v>42</v>
      </c>
    </row>
    <row r="16" spans="2:21" ht="47.25" x14ac:dyDescent="0.25">
      <c r="B16" s="104" t="s">
        <v>236</v>
      </c>
      <c r="C16" s="99">
        <v>200</v>
      </c>
      <c r="D16" s="100"/>
      <c r="E16" s="101" t="s">
        <v>42</v>
      </c>
      <c r="L16" s="4"/>
    </row>
    <row r="17" spans="2:5" ht="15.75" x14ac:dyDescent="0.25">
      <c r="B17" s="103" t="s">
        <v>237</v>
      </c>
      <c r="C17" s="99">
        <v>200</v>
      </c>
      <c r="D17" s="100"/>
      <c r="E17" s="101" t="s">
        <v>44</v>
      </c>
    </row>
    <row r="18" spans="2:5" ht="15.75" x14ac:dyDescent="0.25">
      <c r="B18" s="103" t="s">
        <v>95</v>
      </c>
      <c r="C18" s="99">
        <v>200</v>
      </c>
      <c r="D18" s="100"/>
      <c r="E18" s="101" t="s">
        <v>45</v>
      </c>
    </row>
    <row r="19" spans="2:5" ht="15.75" x14ac:dyDescent="0.25">
      <c r="B19" s="103" t="s">
        <v>238</v>
      </c>
      <c r="C19" s="99">
        <v>150000</v>
      </c>
      <c r="D19" s="100"/>
      <c r="E19" s="101" t="s">
        <v>44</v>
      </c>
    </row>
    <row r="20" spans="2:5" ht="31.5" x14ac:dyDescent="0.25">
      <c r="B20" s="103" t="s">
        <v>3</v>
      </c>
      <c r="C20" s="99">
        <v>200</v>
      </c>
      <c r="D20" s="100"/>
      <c r="E20" s="101" t="s">
        <v>44</v>
      </c>
    </row>
    <row r="21" spans="2:5" ht="15.75" x14ac:dyDescent="0.25">
      <c r="B21" s="103" t="s">
        <v>6</v>
      </c>
      <c r="C21" s="99">
        <v>200</v>
      </c>
      <c r="D21" s="100"/>
      <c r="E21" s="101" t="s">
        <v>44</v>
      </c>
    </row>
    <row r="22" spans="2:5" ht="47.25" x14ac:dyDescent="0.25">
      <c r="B22" s="103" t="s">
        <v>4</v>
      </c>
      <c r="C22" s="99">
        <v>3000</v>
      </c>
      <c r="D22" s="100"/>
      <c r="E22" s="101" t="s">
        <v>44</v>
      </c>
    </row>
    <row r="23" spans="2:5" ht="69" customHeight="1" x14ac:dyDescent="0.25">
      <c r="B23" s="103" t="s">
        <v>5</v>
      </c>
      <c r="C23" s="99">
        <v>1200</v>
      </c>
      <c r="D23" s="100"/>
      <c r="E23" s="101" t="s">
        <v>44</v>
      </c>
    </row>
    <row r="24" spans="2:5" ht="15.75" x14ac:dyDescent="0.25">
      <c r="B24" s="105" t="s">
        <v>117</v>
      </c>
      <c r="C24" s="106">
        <f>SUM(C7:C23)</f>
        <v>577400</v>
      </c>
      <c r="D24" s="107">
        <f>SUM(C7:C23)</f>
        <v>577400</v>
      </c>
      <c r="E24" s="101"/>
    </row>
    <row r="25" spans="2:5" ht="15.75" x14ac:dyDescent="0.25">
      <c r="B25" s="344" t="s">
        <v>121</v>
      </c>
      <c r="C25" s="345"/>
      <c r="D25" s="345"/>
      <c r="E25" s="346"/>
    </row>
    <row r="26" spans="2:5" ht="78.75" x14ac:dyDescent="0.25">
      <c r="B26" s="105" t="s">
        <v>28</v>
      </c>
      <c r="C26" s="106">
        <f>Costos!D21*120</f>
        <v>2921100</v>
      </c>
      <c r="D26" s="107"/>
      <c r="E26" s="101" t="s">
        <v>109</v>
      </c>
    </row>
    <row r="27" spans="2:5" ht="15.75" x14ac:dyDescent="0.25">
      <c r="B27" s="105" t="s">
        <v>120</v>
      </c>
      <c r="C27" s="106"/>
      <c r="D27" s="107">
        <f>C26</f>
        <v>2921100</v>
      </c>
      <c r="E27" s="101"/>
    </row>
    <row r="28" spans="2:5" ht="15.75" x14ac:dyDescent="0.25">
      <c r="B28" s="344" t="s">
        <v>34</v>
      </c>
      <c r="C28" s="345"/>
      <c r="D28" s="345"/>
      <c r="E28" s="346"/>
    </row>
    <row r="29" spans="2:5" ht="59.25" customHeight="1" x14ac:dyDescent="0.25">
      <c r="B29" s="105" t="s">
        <v>35</v>
      </c>
      <c r="C29" s="108"/>
      <c r="D29" s="109"/>
      <c r="E29" s="101"/>
    </row>
    <row r="30" spans="2:5" ht="15.75" x14ac:dyDescent="0.25">
      <c r="B30" s="103" t="s">
        <v>29</v>
      </c>
      <c r="C30" s="99">
        <f>450000*2</f>
        <v>900000</v>
      </c>
      <c r="D30" s="100"/>
      <c r="E30" s="101" t="s">
        <v>152</v>
      </c>
    </row>
    <row r="31" spans="2:5" ht="15.75" x14ac:dyDescent="0.25">
      <c r="B31" s="103" t="s">
        <v>30</v>
      </c>
      <c r="C31" s="110">
        <f>120000*2</f>
        <v>240000</v>
      </c>
      <c r="D31" s="111"/>
      <c r="E31" s="101" t="s">
        <v>153</v>
      </c>
    </row>
    <row r="32" spans="2:5" ht="15.75" x14ac:dyDescent="0.25">
      <c r="B32" s="105" t="s">
        <v>36</v>
      </c>
      <c r="C32" s="110"/>
      <c r="D32" s="111"/>
      <c r="E32" s="101"/>
    </row>
    <row r="33" spans="2:12" ht="31.5" x14ac:dyDescent="0.25">
      <c r="B33" s="103" t="s">
        <v>31</v>
      </c>
      <c r="C33" s="110">
        <f>1200000*2</f>
        <v>2400000</v>
      </c>
      <c r="D33" s="111"/>
      <c r="E33" s="101" t="s">
        <v>154</v>
      </c>
    </row>
    <row r="34" spans="2:12" ht="15.75" x14ac:dyDescent="0.25">
      <c r="B34" s="103" t="s">
        <v>32</v>
      </c>
      <c r="C34" s="110">
        <v>50000</v>
      </c>
      <c r="D34" s="111"/>
      <c r="E34" s="101" t="s">
        <v>155</v>
      </c>
      <c r="I34" s="3"/>
    </row>
    <row r="35" spans="2:12" ht="15.75" x14ac:dyDescent="0.25">
      <c r="B35" s="103" t="s">
        <v>160</v>
      </c>
      <c r="C35" s="110">
        <v>300000</v>
      </c>
      <c r="D35" s="111"/>
      <c r="E35" s="101" t="s">
        <v>156</v>
      </c>
      <c r="K35" s="2"/>
    </row>
    <row r="36" spans="2:12" ht="15.75" x14ac:dyDescent="0.25">
      <c r="B36" s="105" t="s">
        <v>112</v>
      </c>
      <c r="C36" s="112">
        <f>SUM(C30:C35)</f>
        <v>3890000</v>
      </c>
      <c r="D36" s="113">
        <f>SUM(C30:C35)</f>
        <v>3890000</v>
      </c>
      <c r="E36" s="101"/>
      <c r="K36" s="2"/>
    </row>
    <row r="37" spans="2:12" ht="15.75" x14ac:dyDescent="0.25">
      <c r="B37" s="344" t="s">
        <v>38</v>
      </c>
      <c r="C37" s="345"/>
      <c r="D37" s="345"/>
      <c r="E37" s="346"/>
      <c r="L37" s="5"/>
    </row>
    <row r="38" spans="2:12" ht="15.75" x14ac:dyDescent="0.25">
      <c r="B38" s="103" t="s">
        <v>39</v>
      </c>
      <c r="C38" s="110">
        <v>22000000</v>
      </c>
      <c r="D38" s="111"/>
      <c r="E38" s="101"/>
      <c r="K38" s="5"/>
    </row>
    <row r="39" spans="2:12" ht="15.75" x14ac:dyDescent="0.25">
      <c r="B39" s="103" t="s">
        <v>33</v>
      </c>
      <c r="C39" s="110">
        <v>3500000</v>
      </c>
      <c r="D39" s="111"/>
      <c r="E39" s="101"/>
      <c r="L39" s="5"/>
    </row>
    <row r="40" spans="2:12" ht="15.75" x14ac:dyDescent="0.25">
      <c r="B40" s="105" t="s">
        <v>113</v>
      </c>
      <c r="C40" s="112">
        <f>SUM(C38:C39)</f>
        <v>25500000</v>
      </c>
      <c r="D40" s="113">
        <f>SUM(C38:C39)</f>
        <v>25500000</v>
      </c>
      <c r="E40" s="101"/>
      <c r="L40" s="5"/>
    </row>
    <row r="41" spans="2:12" ht="15.75" x14ac:dyDescent="0.25">
      <c r="B41" s="344" t="s">
        <v>40</v>
      </c>
      <c r="C41" s="345"/>
      <c r="D41" s="345"/>
      <c r="E41" s="346"/>
      <c r="L41" s="5"/>
    </row>
    <row r="42" spans="2:12" ht="15.75" x14ac:dyDescent="0.25">
      <c r="B42" s="103" t="s">
        <v>41</v>
      </c>
      <c r="C42" s="110">
        <v>3000000</v>
      </c>
      <c r="D42" s="111"/>
      <c r="E42" s="101"/>
      <c r="L42" s="5"/>
    </row>
    <row r="43" spans="2:12" ht="15.75" x14ac:dyDescent="0.25">
      <c r="B43" s="114" t="s">
        <v>114</v>
      </c>
      <c r="C43" s="115">
        <f>C42</f>
        <v>3000000</v>
      </c>
      <c r="D43" s="116">
        <f>C42</f>
        <v>3000000</v>
      </c>
      <c r="E43" s="117"/>
      <c r="L43" s="5"/>
    </row>
    <row r="44" spans="2:12" ht="15.75" x14ac:dyDescent="0.25">
      <c r="B44" s="344" t="s">
        <v>96</v>
      </c>
      <c r="C44" s="345"/>
      <c r="D44" s="345"/>
      <c r="E44" s="346"/>
      <c r="L44" s="5"/>
    </row>
    <row r="45" spans="2:12" ht="15.75" x14ac:dyDescent="0.25">
      <c r="B45" s="118" t="s">
        <v>97</v>
      </c>
      <c r="C45" s="119">
        <v>80000</v>
      </c>
      <c r="D45" s="120"/>
      <c r="E45" s="117"/>
      <c r="L45" s="5"/>
    </row>
    <row r="46" spans="2:12" ht="15.75" x14ac:dyDescent="0.25">
      <c r="B46" s="118" t="s">
        <v>98</v>
      </c>
      <c r="C46" s="119">
        <v>25000</v>
      </c>
      <c r="D46" s="120"/>
      <c r="E46" s="117"/>
      <c r="L46" s="5"/>
    </row>
    <row r="47" spans="2:12" ht="15.75" x14ac:dyDescent="0.25">
      <c r="B47" s="118" t="s">
        <v>99</v>
      </c>
      <c r="C47" s="119">
        <v>20000</v>
      </c>
      <c r="D47" s="120"/>
      <c r="E47" s="117"/>
      <c r="L47" s="5"/>
    </row>
    <row r="48" spans="2:12" ht="15.75" x14ac:dyDescent="0.25">
      <c r="B48" s="118" t="s">
        <v>101</v>
      </c>
      <c r="C48" s="119">
        <v>10000</v>
      </c>
      <c r="D48" s="120"/>
      <c r="E48" s="117"/>
      <c r="L48" s="5"/>
    </row>
    <row r="49" spans="2:12" ht="15.75" x14ac:dyDescent="0.25">
      <c r="B49" s="118" t="s">
        <v>102</v>
      </c>
      <c r="C49" s="119">
        <v>7000</v>
      </c>
      <c r="D49" s="120"/>
      <c r="E49" s="117"/>
      <c r="L49" s="5"/>
    </row>
    <row r="50" spans="2:12" ht="15.75" x14ac:dyDescent="0.25">
      <c r="B50" s="118" t="s">
        <v>104</v>
      </c>
      <c r="C50" s="119">
        <v>30000</v>
      </c>
      <c r="D50" s="120"/>
      <c r="E50" s="117" t="s">
        <v>103</v>
      </c>
      <c r="L50" s="5"/>
    </row>
    <row r="51" spans="2:12" ht="15.75" x14ac:dyDescent="0.25">
      <c r="B51" s="118" t="s">
        <v>203</v>
      </c>
      <c r="C51" s="119">
        <v>20000</v>
      </c>
      <c r="D51" s="120"/>
      <c r="E51" s="117"/>
      <c r="L51" s="5"/>
    </row>
    <row r="52" spans="2:12" ht="15.75" x14ac:dyDescent="0.25">
      <c r="B52" s="118" t="s">
        <v>204</v>
      </c>
      <c r="C52" s="119">
        <v>15000</v>
      </c>
      <c r="D52" s="120"/>
      <c r="E52" s="117"/>
      <c r="L52" s="5"/>
    </row>
    <row r="53" spans="2:12" ht="15.75" x14ac:dyDescent="0.25">
      <c r="B53" s="118" t="s">
        <v>105</v>
      </c>
      <c r="C53" s="119">
        <v>5000</v>
      </c>
      <c r="D53" s="120"/>
      <c r="E53" s="117"/>
      <c r="L53" s="5"/>
    </row>
    <row r="54" spans="2:12" ht="15.75" x14ac:dyDescent="0.25">
      <c r="B54" s="118" t="s">
        <v>100</v>
      </c>
      <c r="C54" s="119">
        <v>30000</v>
      </c>
      <c r="D54" s="120"/>
      <c r="E54" s="117"/>
      <c r="L54" s="5"/>
    </row>
    <row r="55" spans="2:12" ht="15.75" x14ac:dyDescent="0.25">
      <c r="B55" s="114" t="s">
        <v>115</v>
      </c>
      <c r="C55" s="115">
        <f>SUM(C45:C54)</f>
        <v>242000</v>
      </c>
      <c r="D55" s="116">
        <f>SUM(C45:C54)</f>
        <v>242000</v>
      </c>
      <c r="E55" s="117"/>
      <c r="L55" s="5"/>
    </row>
    <row r="56" spans="2:12" ht="15.75" x14ac:dyDescent="0.25">
      <c r="B56" s="344" t="s">
        <v>110</v>
      </c>
      <c r="C56" s="345"/>
      <c r="D56" s="345"/>
      <c r="E56" s="346"/>
      <c r="L56" s="5"/>
    </row>
    <row r="57" spans="2:12" ht="15.75" x14ac:dyDescent="0.25">
      <c r="B57" s="118" t="s">
        <v>106</v>
      </c>
      <c r="C57" s="119">
        <v>200000</v>
      </c>
      <c r="D57" s="120"/>
      <c r="E57" s="117"/>
      <c r="L57" s="5"/>
    </row>
    <row r="58" spans="2:12" ht="15.75" x14ac:dyDescent="0.25">
      <c r="B58" s="118" t="s">
        <v>107</v>
      </c>
      <c r="C58" s="119">
        <v>300000</v>
      </c>
      <c r="D58" s="120"/>
      <c r="E58" s="117"/>
      <c r="L58" s="5"/>
    </row>
    <row r="59" spans="2:12" ht="47.25" x14ac:dyDescent="0.25">
      <c r="B59" s="118" t="s">
        <v>108</v>
      </c>
      <c r="C59" s="119">
        <v>480000</v>
      </c>
      <c r="D59" s="120"/>
      <c r="E59" s="117" t="s">
        <v>111</v>
      </c>
      <c r="L59" s="5"/>
    </row>
    <row r="60" spans="2:12" ht="15.75" x14ac:dyDescent="0.25">
      <c r="B60" s="114" t="s">
        <v>118</v>
      </c>
      <c r="C60" s="115">
        <f>SUM(C57:C59)</f>
        <v>980000</v>
      </c>
      <c r="D60" s="116">
        <f>SUM(C57:C59)</f>
        <v>980000</v>
      </c>
      <c r="E60" s="117"/>
      <c r="L60" s="5"/>
    </row>
    <row r="61" spans="2:12" ht="16.5" thickBot="1" x14ac:dyDescent="0.3">
      <c r="B61" s="121" t="s">
        <v>47</v>
      </c>
      <c r="C61" s="122"/>
      <c r="D61" s="123">
        <f>D24+D27+D36+D40+D43+D55+D60</f>
        <v>37110500</v>
      </c>
      <c r="E61" s="124"/>
      <c r="L61" s="5"/>
    </row>
    <row r="62" spans="2:12" x14ac:dyDescent="0.25">
      <c r="C62" s="2"/>
      <c r="D62" s="2"/>
    </row>
    <row r="64" spans="2:12" x14ac:dyDescent="0.25">
      <c r="D64" s="2">
        <f>+D61-D40+500000</f>
        <v>12110500</v>
      </c>
    </row>
  </sheetData>
  <mergeCells count="7">
    <mergeCell ref="B56:E56"/>
    <mergeCell ref="B6:E6"/>
    <mergeCell ref="B28:E28"/>
    <mergeCell ref="B37:E37"/>
    <mergeCell ref="B25:E25"/>
    <mergeCell ref="B41:E41"/>
    <mergeCell ref="B44:E44"/>
  </mergeCells>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
  <sheetViews>
    <sheetView topLeftCell="A10" workbookViewId="0">
      <selection activeCell="I11" sqref="I11"/>
    </sheetView>
  </sheetViews>
  <sheetFormatPr baseColWidth="10" defaultRowHeight="15" x14ac:dyDescent="0.25"/>
  <cols>
    <col min="1" max="1" width="2.140625" style="44" customWidth="1"/>
    <col min="2" max="2" width="13.85546875" style="44" customWidth="1"/>
    <col min="3" max="3" width="30.85546875" bestFit="1" customWidth="1"/>
    <col min="4" max="4" width="17.7109375" customWidth="1"/>
    <col min="5" max="5" width="15.85546875" customWidth="1"/>
    <col min="6" max="6" width="15.28515625" bestFit="1" customWidth="1"/>
    <col min="7" max="7" width="16.5703125" bestFit="1" customWidth="1"/>
    <col min="8" max="8" width="20.28515625" bestFit="1" customWidth="1"/>
    <col min="9" max="9" width="22" bestFit="1" customWidth="1"/>
    <col min="10" max="10" width="20.42578125" bestFit="1" customWidth="1"/>
    <col min="11" max="15" width="14.42578125" bestFit="1" customWidth="1"/>
  </cols>
  <sheetData>
    <row r="1" spans="2:17" s="44" customFormat="1" ht="15.75" thickBot="1" x14ac:dyDescent="0.3"/>
    <row r="2" spans="2:17" s="44" customFormat="1" ht="16.5" thickBot="1" x14ac:dyDescent="0.3">
      <c r="B2" s="45"/>
      <c r="C2" s="202" t="s">
        <v>268</v>
      </c>
      <c r="D2" s="231">
        <v>0.06</v>
      </c>
      <c r="E2" s="355" t="s">
        <v>269</v>
      </c>
      <c r="F2" s="356"/>
      <c r="G2" s="356"/>
      <c r="H2" s="356"/>
      <c r="I2" s="356"/>
      <c r="J2" s="356"/>
      <c r="K2" s="357"/>
      <c r="L2" s="45"/>
      <c r="M2" s="45"/>
      <c r="N2" s="45"/>
      <c r="O2" s="45"/>
      <c r="P2" s="45"/>
      <c r="Q2" s="45"/>
    </row>
    <row r="3" spans="2:17" s="44" customFormat="1" ht="16.5" thickBot="1" x14ac:dyDescent="0.3">
      <c r="B3" s="45"/>
      <c r="C3" s="45"/>
      <c r="D3" s="195"/>
      <c r="E3" s="45"/>
      <c r="F3" s="45"/>
      <c r="G3" s="45"/>
      <c r="H3" s="45"/>
      <c r="I3" s="45"/>
      <c r="J3" s="45"/>
      <c r="K3" s="45"/>
      <c r="L3" s="45"/>
      <c r="M3" s="45"/>
      <c r="N3" s="45"/>
      <c r="O3" s="45"/>
      <c r="P3" s="45"/>
      <c r="Q3" s="45"/>
    </row>
    <row r="4" spans="2:17" s="44" customFormat="1" ht="15.75" x14ac:dyDescent="0.25">
      <c r="B4" s="350" t="s">
        <v>306</v>
      </c>
      <c r="C4" s="351"/>
      <c r="D4" s="351"/>
      <c r="E4" s="351"/>
      <c r="F4" s="351"/>
      <c r="G4" s="351"/>
      <c r="H4" s="351"/>
      <c r="I4" s="351"/>
      <c r="J4" s="351"/>
      <c r="K4" s="351"/>
      <c r="L4" s="351"/>
      <c r="M4" s="351"/>
      <c r="N4" s="351"/>
      <c r="O4" s="352"/>
      <c r="P4" s="45"/>
      <c r="Q4" s="45"/>
    </row>
    <row r="5" spans="2:17" s="44" customFormat="1" ht="15.75" x14ac:dyDescent="0.25">
      <c r="B5" s="280"/>
      <c r="C5" s="279">
        <v>0</v>
      </c>
      <c r="D5" s="279">
        <v>1</v>
      </c>
      <c r="E5" s="279">
        <v>2</v>
      </c>
      <c r="F5" s="279">
        <v>3</v>
      </c>
      <c r="G5" s="279">
        <v>4</v>
      </c>
      <c r="H5" s="279">
        <v>5</v>
      </c>
      <c r="I5" s="279">
        <v>6</v>
      </c>
      <c r="J5" s="279">
        <v>7</v>
      </c>
      <c r="K5" s="279">
        <v>8</v>
      </c>
      <c r="L5" s="279">
        <v>9</v>
      </c>
      <c r="M5" s="279">
        <v>10</v>
      </c>
      <c r="N5" s="279">
        <v>11</v>
      </c>
      <c r="O5" s="281">
        <v>12</v>
      </c>
      <c r="P5" s="45"/>
      <c r="Q5" s="45"/>
    </row>
    <row r="6" spans="2:17" s="44" customFormat="1" ht="31.5" x14ac:dyDescent="0.25">
      <c r="B6" s="282" t="s">
        <v>230</v>
      </c>
      <c r="C6" s="53">
        <f>'Inversion Inicial '!D61*-1</f>
        <v>-37110500</v>
      </c>
      <c r="D6" s="53">
        <f>'Estado de Flujo de Caja'!C25</f>
        <v>1998966.4935729683</v>
      </c>
      <c r="E6" s="53">
        <f>'Estado de Flujo de Caja'!D25</f>
        <v>3997932.9871459338</v>
      </c>
      <c r="F6" s="53">
        <f>'Estado de Flujo de Caja'!E25</f>
        <v>5996899.4807188986</v>
      </c>
      <c r="G6" s="53">
        <f>'Estado de Flujo de Caja'!F25</f>
        <v>7995865.9742918639</v>
      </c>
      <c r="H6" s="53">
        <f>'Estado de Flujo de Caja'!G25</f>
        <v>9994832.46786483</v>
      </c>
      <c r="I6" s="53">
        <f>'Estado de Flujo de Caja'!H25</f>
        <v>11993798.961437795</v>
      </c>
      <c r="J6" s="53">
        <f>'Estado de Flujo de Caja'!I25</f>
        <v>13992765.455010761</v>
      </c>
      <c r="K6" s="53">
        <f>'Estado de Flujo de Caja'!J25</f>
        <v>15991731.948583726</v>
      </c>
      <c r="L6" s="53">
        <f>'Estado de Flujo de Caja'!K25</f>
        <v>17990698.442156687</v>
      </c>
      <c r="M6" s="53">
        <f>'Estado de Flujo de Caja'!L25</f>
        <v>19989664.935729653</v>
      </c>
      <c r="N6" s="53">
        <f>'Estado de Flujo de Caja'!M25</f>
        <v>21988631.429302618</v>
      </c>
      <c r="O6" s="51">
        <f>'Estado de Flujo de Caja'!N25</f>
        <v>23987597.922875583</v>
      </c>
      <c r="P6" s="45"/>
      <c r="Q6" s="45"/>
    </row>
    <row r="7" spans="2:17" s="44" customFormat="1" ht="16.5" thickBot="1" x14ac:dyDescent="0.3">
      <c r="B7" s="230" t="s">
        <v>302</v>
      </c>
      <c r="C7" s="55">
        <f>-PV($D$2,C5,0,C6)</f>
        <v>-37110500</v>
      </c>
      <c r="D7" s="55">
        <f>-PV($D$2,D5,0,D6)</f>
        <v>1885817.4467669511</v>
      </c>
      <c r="E7" s="55">
        <f t="shared" ref="E7:O7" si="0">-PV($D$2,E5,0,E6)</f>
        <v>3558146.1259753765</v>
      </c>
      <c r="F7" s="55">
        <f t="shared" si="0"/>
        <v>5035112.4424179839</v>
      </c>
      <c r="G7" s="55">
        <f t="shared" si="0"/>
        <v>6333474.7703370852</v>
      </c>
      <c r="H7" s="55">
        <f t="shared" si="0"/>
        <v>7468720.2480390156</v>
      </c>
      <c r="I7" s="55">
        <f t="shared" si="0"/>
        <v>8455154.9977800157</v>
      </c>
      <c r="J7" s="55">
        <f t="shared" si="0"/>
        <v>9305988.2051037904</v>
      </c>
      <c r="K7" s="55">
        <f t="shared" si="0"/>
        <v>10033410.463723764</v>
      </c>
      <c r="L7" s="55">
        <f t="shared" si="0"/>
        <v>10648666.765744558</v>
      </c>
      <c r="M7" s="55">
        <f t="shared" si="0"/>
        <v>11162124.492394714</v>
      </c>
      <c r="N7" s="55">
        <f t="shared" si="0"/>
        <v>11583336.737390738</v>
      </c>
      <c r="O7" s="55">
        <f t="shared" si="0"/>
        <v>11921101.273472458</v>
      </c>
      <c r="P7" s="45"/>
      <c r="Q7" s="45"/>
    </row>
    <row r="8" spans="2:17" s="44" customFormat="1" ht="16.5" thickBot="1" x14ac:dyDescent="0.3">
      <c r="B8" s="287" t="s">
        <v>254</v>
      </c>
      <c r="C8" s="288">
        <f>SUM(C7:O7)</f>
        <v>60280553.969146445</v>
      </c>
      <c r="D8" s="194"/>
      <c r="E8" s="194"/>
      <c r="F8" s="194"/>
      <c r="G8" s="194"/>
      <c r="H8" s="194"/>
      <c r="I8" s="194"/>
      <c r="J8" s="194"/>
      <c r="K8" s="194"/>
      <c r="L8" s="194"/>
      <c r="M8" s="194"/>
      <c r="N8" s="194"/>
      <c r="O8" s="194"/>
      <c r="P8" s="45"/>
      <c r="Q8" s="45"/>
    </row>
    <row r="9" spans="2:17" s="44" customFormat="1" ht="16.5" thickBot="1" x14ac:dyDescent="0.3">
      <c r="B9" s="196"/>
      <c r="C9" s="194"/>
      <c r="D9" s="194"/>
      <c r="E9" s="194"/>
      <c r="F9" s="194"/>
      <c r="G9" s="194"/>
      <c r="H9" s="194"/>
      <c r="I9" s="194"/>
      <c r="J9" s="194"/>
      <c r="K9" s="194"/>
      <c r="L9" s="194"/>
      <c r="M9" s="194"/>
      <c r="N9" s="194"/>
      <c r="O9" s="194"/>
      <c r="P9" s="45"/>
      <c r="Q9" s="45"/>
    </row>
    <row r="10" spans="2:17" s="44" customFormat="1" ht="16.5" thickBot="1" x14ac:dyDescent="0.3">
      <c r="B10" s="361" t="s">
        <v>305</v>
      </c>
      <c r="C10" s="362"/>
      <c r="D10" s="362"/>
      <c r="E10" s="362"/>
      <c r="F10" s="362"/>
      <c r="G10" s="362"/>
      <c r="H10" s="363"/>
      <c r="I10" s="194"/>
      <c r="J10" s="194"/>
      <c r="K10" s="194"/>
      <c r="L10" s="194"/>
      <c r="M10" s="194"/>
      <c r="N10" s="194"/>
      <c r="O10" s="194"/>
      <c r="P10" s="45"/>
      <c r="Q10" s="45"/>
    </row>
    <row r="11" spans="2:17" s="44" customFormat="1" ht="15.75" x14ac:dyDescent="0.25">
      <c r="B11" s="284"/>
      <c r="C11" s="285">
        <v>0</v>
      </c>
      <c r="D11" s="278">
        <v>1</v>
      </c>
      <c r="E11" s="278">
        <v>2</v>
      </c>
      <c r="F11" s="278">
        <v>3</v>
      </c>
      <c r="G11" s="278">
        <v>4</v>
      </c>
      <c r="H11" s="278">
        <v>5</v>
      </c>
      <c r="I11" s="194"/>
      <c r="J11" s="194"/>
      <c r="K11" s="194"/>
      <c r="L11" s="194"/>
      <c r="M11" s="194"/>
      <c r="N11" s="194"/>
      <c r="O11" s="194"/>
      <c r="P11" s="45"/>
      <c r="Q11" s="45"/>
    </row>
    <row r="12" spans="2:17" s="44" customFormat="1" ht="15.75" x14ac:dyDescent="0.25">
      <c r="B12" s="282"/>
      <c r="C12" s="53">
        <f>'Inversion Inicial '!D61*-1</f>
        <v>-37110500</v>
      </c>
      <c r="D12" s="53">
        <f>'Estado de Resultados'!C14</f>
        <v>23651555.819155045</v>
      </c>
      <c r="E12" s="53">
        <f>'Estado de Resultados'!D14</f>
        <v>37276453.369443864</v>
      </c>
      <c r="F12" s="53">
        <f>'Estado de Resultados'!E14</f>
        <v>51292974.888749823</v>
      </c>
      <c r="G12" s="53">
        <f>'Estado de Resultados'!F14</f>
        <v>65344109.030846551</v>
      </c>
      <c r="H12" s="51">
        <f>'Estado de Resultados'!G14</f>
        <v>80421299.937491581</v>
      </c>
      <c r="I12" s="194"/>
      <c r="J12" s="194"/>
      <c r="K12" s="194"/>
      <c r="L12" s="194"/>
      <c r="M12" s="194"/>
      <c r="N12" s="194"/>
      <c r="O12" s="194"/>
      <c r="P12" s="45"/>
      <c r="Q12" s="45"/>
    </row>
    <row r="13" spans="2:17" s="44" customFormat="1" ht="16.5" thickBot="1" x14ac:dyDescent="0.3">
      <c r="B13" s="283" t="s">
        <v>302</v>
      </c>
      <c r="C13" s="286">
        <f>-PV($D$2,C11,0,C12)</f>
        <v>-37110500</v>
      </c>
      <c r="D13" s="286">
        <f t="shared" ref="D13:H13" si="1">-PV($D$2,D11,0,D12)</f>
        <v>22312788.508636832</v>
      </c>
      <c r="E13" s="286">
        <f t="shared" si="1"/>
        <v>33175910.795161854</v>
      </c>
      <c r="F13" s="286">
        <f t="shared" si="1"/>
        <v>43066570.800685979</v>
      </c>
      <c r="G13" s="286">
        <f t="shared" si="1"/>
        <v>51758654.693267852</v>
      </c>
      <c r="H13" s="286">
        <f t="shared" si="1"/>
        <v>60095473.650803097</v>
      </c>
      <c r="I13" s="45"/>
      <c r="J13" s="45"/>
      <c r="K13" s="45"/>
      <c r="L13" s="45"/>
      <c r="M13" s="45"/>
      <c r="N13" s="45"/>
      <c r="O13" s="45"/>
      <c r="P13" s="45"/>
      <c r="Q13" s="45"/>
    </row>
    <row r="14" spans="2:17" s="44" customFormat="1" ht="16.5" thickBot="1" x14ac:dyDescent="0.3">
      <c r="B14" s="290" t="s">
        <v>254</v>
      </c>
      <c r="C14" s="289">
        <f>SUM(C13:H13)</f>
        <v>173298898.44855562</v>
      </c>
      <c r="D14" s="45"/>
      <c r="E14" s="45"/>
      <c r="F14" s="45"/>
      <c r="G14" s="45"/>
      <c r="H14" s="45"/>
      <c r="I14" s="45"/>
      <c r="J14" s="45"/>
      <c r="K14" s="45"/>
      <c r="L14" s="45"/>
      <c r="M14" s="45"/>
      <c r="N14" s="45"/>
      <c r="O14" s="45"/>
      <c r="P14" s="45"/>
      <c r="Q14" s="45"/>
    </row>
    <row r="15" spans="2:17" s="44" customFormat="1" ht="16.5" thickBot="1" x14ac:dyDescent="0.3">
      <c r="B15" s="45"/>
      <c r="C15" s="45"/>
      <c r="D15" s="45"/>
      <c r="E15" s="45"/>
      <c r="F15" s="45"/>
      <c r="G15" s="45"/>
      <c r="H15" s="45"/>
      <c r="I15" s="45"/>
      <c r="J15" s="45"/>
      <c r="K15" s="45"/>
      <c r="L15" s="45"/>
      <c r="M15" s="45"/>
      <c r="N15" s="45"/>
      <c r="O15" s="45"/>
      <c r="P15" s="45"/>
      <c r="Q15" s="45"/>
    </row>
    <row r="16" spans="2:17" ht="16.5" thickBot="1" x14ac:dyDescent="0.3">
      <c r="B16" s="45"/>
      <c r="C16" s="315" t="s">
        <v>304</v>
      </c>
      <c r="D16" s="316"/>
      <c r="E16" s="317"/>
      <c r="F16" s="45"/>
      <c r="G16" s="298" t="s">
        <v>270</v>
      </c>
      <c r="H16" s="299"/>
      <c r="I16" s="300"/>
      <c r="J16" s="277"/>
      <c r="K16" s="45"/>
      <c r="L16" s="45"/>
      <c r="M16" s="45"/>
      <c r="N16" s="45"/>
      <c r="O16" s="45"/>
      <c r="P16" s="45"/>
      <c r="Q16" s="45"/>
    </row>
    <row r="17" spans="2:17" ht="15.75" x14ac:dyDescent="0.25">
      <c r="B17" s="45"/>
      <c r="C17" s="318"/>
      <c r="D17" s="319"/>
      <c r="E17" s="320"/>
      <c r="F17" s="45"/>
      <c r="G17" s="353" t="s">
        <v>250</v>
      </c>
      <c r="H17" s="88" t="s">
        <v>251</v>
      </c>
      <c r="I17" s="89" t="s">
        <v>252</v>
      </c>
      <c r="J17" s="45"/>
      <c r="K17" s="45"/>
      <c r="L17" s="45"/>
      <c r="M17" s="45"/>
      <c r="N17" s="45"/>
      <c r="O17" s="45"/>
      <c r="P17" s="45"/>
      <c r="Q17" s="45"/>
    </row>
    <row r="18" spans="2:17" ht="15.75" x14ac:dyDescent="0.25">
      <c r="B18" s="45"/>
      <c r="C18" s="358"/>
      <c r="D18" s="359"/>
      <c r="E18" s="360"/>
      <c r="F18" s="45"/>
      <c r="G18" s="354"/>
      <c r="H18" s="75">
        <f>C6</f>
        <v>-37110500</v>
      </c>
      <c r="I18" s="83">
        <f>C6</f>
        <v>-37110500</v>
      </c>
      <c r="J18" s="45"/>
      <c r="K18" s="45"/>
      <c r="L18" s="45"/>
      <c r="M18" s="45"/>
      <c r="N18" s="45"/>
      <c r="O18" s="45"/>
      <c r="P18" s="45"/>
      <c r="Q18" s="45"/>
    </row>
    <row r="19" spans="2:17" ht="31.5" x14ac:dyDescent="0.25">
      <c r="B19" s="45"/>
      <c r="C19" s="67" t="s">
        <v>224</v>
      </c>
      <c r="D19" s="69">
        <f>NPV(D2,D6:O6)+C6</f>
        <v>60280553.969146445</v>
      </c>
      <c r="E19" s="56" t="str">
        <f>IF(D19&gt;0,"Factible","Revisar")</f>
        <v>Factible</v>
      </c>
      <c r="F19" s="45"/>
      <c r="G19" s="63">
        <v>2017</v>
      </c>
      <c r="H19" s="76">
        <f>D12-(D12*40%)</f>
        <v>14190933.491493026</v>
      </c>
      <c r="I19" s="84">
        <f>D12+(D12*20%)</f>
        <v>28381866.982986055</v>
      </c>
      <c r="J19" s="45"/>
      <c r="K19" s="45"/>
      <c r="L19" s="45"/>
      <c r="M19" s="45"/>
      <c r="N19" s="45"/>
      <c r="O19" s="45"/>
      <c r="P19" s="45"/>
      <c r="Q19" s="45"/>
    </row>
    <row r="20" spans="2:17" ht="31.5" x14ac:dyDescent="0.25">
      <c r="B20" s="45"/>
      <c r="C20" s="67" t="s">
        <v>225</v>
      </c>
      <c r="D20" s="70">
        <f>NPV(D2,'Estado de Flujo de Caja'!C7:N7)/NPV('Indicadores Financieros'!D2,'Estado de Flujo de Caja'!C15:N15)</f>
        <v>1.4063991680777632</v>
      </c>
      <c r="E20" s="56" t="str">
        <f>IF(D20&gt;1,"Factible","Revisar")</f>
        <v>Factible</v>
      </c>
      <c r="F20" s="45"/>
      <c r="G20" s="63">
        <v>2018</v>
      </c>
      <c r="H20" s="76">
        <f>E12-(E12*40%)</f>
        <v>22365872.021666318</v>
      </c>
      <c r="I20" s="84">
        <f>E12+(E12*20%)</f>
        <v>44731744.043332636</v>
      </c>
      <c r="J20" s="45"/>
      <c r="K20" s="45"/>
      <c r="L20" s="45"/>
      <c r="M20" s="45"/>
      <c r="N20" s="45"/>
      <c r="O20" s="45"/>
      <c r="P20" s="45"/>
      <c r="Q20" s="45"/>
    </row>
    <row r="21" spans="2:17" ht="31.5" x14ac:dyDescent="0.25">
      <c r="B21" s="45"/>
      <c r="C21" s="67" t="s">
        <v>226</v>
      </c>
      <c r="D21" s="69">
        <f>PMT(D2,6,-D19:D19,,0)</f>
        <v>12258811.901088418</v>
      </c>
      <c r="E21" s="73"/>
      <c r="F21" s="45"/>
      <c r="G21" s="63">
        <v>2019</v>
      </c>
      <c r="H21" s="76">
        <f>F12-(F12*40%)</f>
        <v>30775784.933249891</v>
      </c>
      <c r="I21" s="84">
        <f>F12+(F12*20%)</f>
        <v>61551569.866499789</v>
      </c>
      <c r="J21" s="45"/>
      <c r="K21" s="45"/>
      <c r="L21" s="45"/>
      <c r="M21" s="45"/>
      <c r="N21" s="45"/>
      <c r="O21" s="45"/>
      <c r="P21" s="45"/>
      <c r="Q21" s="45"/>
    </row>
    <row r="22" spans="2:17" ht="31.5" x14ac:dyDescent="0.25">
      <c r="B22" s="45"/>
      <c r="C22" s="90" t="s">
        <v>227</v>
      </c>
      <c r="D22" s="71">
        <f>MIRR(C6:O6,,0.1)</f>
        <v>0.16431891210435245</v>
      </c>
      <c r="E22" s="73"/>
      <c r="F22" s="45"/>
      <c r="G22" s="63">
        <v>2020</v>
      </c>
      <c r="H22" s="76">
        <f>G12-(G12*40%)</f>
        <v>39206465.418507934</v>
      </c>
      <c r="I22" s="84">
        <f>G12+(G12*20%)</f>
        <v>78412930.837015867</v>
      </c>
      <c r="J22" s="45"/>
      <c r="K22" s="45"/>
      <c r="L22" s="45"/>
      <c r="M22" s="45"/>
      <c r="N22" s="45"/>
      <c r="O22" s="45"/>
      <c r="P22" s="45"/>
      <c r="Q22" s="45"/>
    </row>
    <row r="23" spans="2:17" ht="16.5" thickBot="1" x14ac:dyDescent="0.3">
      <c r="B23" s="45"/>
      <c r="C23" s="68" t="s">
        <v>228</v>
      </c>
      <c r="D23" s="72">
        <f>'Punto de Equilibrio'!F8</f>
        <v>589.9147581390572</v>
      </c>
      <c r="E23" s="74" t="s">
        <v>91</v>
      </c>
      <c r="F23" s="45"/>
      <c r="G23" s="63">
        <v>2021</v>
      </c>
      <c r="H23" s="76">
        <f>H12-(H12*40%)</f>
        <v>48252779.962494947</v>
      </c>
      <c r="I23" s="84">
        <f>H12+(H12*20%)</f>
        <v>96505559.924989894</v>
      </c>
      <c r="J23" s="45"/>
      <c r="K23" s="45"/>
      <c r="L23" s="45"/>
      <c r="M23" s="45"/>
      <c r="N23" s="45"/>
      <c r="O23" s="45"/>
      <c r="P23" s="45"/>
      <c r="Q23" s="45"/>
    </row>
    <row r="24" spans="2:17" ht="15.75" x14ac:dyDescent="0.25">
      <c r="B24" s="45"/>
      <c r="C24" s="45"/>
      <c r="D24" s="45"/>
      <c r="E24" s="45"/>
      <c r="F24" s="45"/>
      <c r="G24" s="63" t="s">
        <v>253</v>
      </c>
      <c r="H24" s="77">
        <f>IRR(H18:H23)</f>
        <v>0.57723745813135374</v>
      </c>
      <c r="I24" s="85">
        <f>IRR(I18:I23)</f>
        <v>1.0895391365513944</v>
      </c>
      <c r="J24" s="45"/>
      <c r="K24" s="45"/>
      <c r="L24" s="45"/>
      <c r="M24" s="45"/>
      <c r="N24" s="45"/>
      <c r="O24" s="45"/>
      <c r="P24" s="45"/>
      <c r="Q24" s="45"/>
    </row>
    <row r="25" spans="2:17" ht="15.75" x14ac:dyDescent="0.25">
      <c r="B25" s="45"/>
      <c r="C25" s="45"/>
      <c r="D25" s="45"/>
      <c r="E25" s="45"/>
      <c r="F25" s="45"/>
      <c r="G25" s="63" t="s">
        <v>254</v>
      </c>
      <c r="H25" s="243">
        <f>NPV(D2,H19:H23)+H18</f>
        <v>89135139.069133371</v>
      </c>
      <c r="I25" s="244">
        <f>NPV(D2,I19:I23)+I18</f>
        <v>215380778.13826674</v>
      </c>
      <c r="J25" s="45"/>
      <c r="K25" s="45"/>
      <c r="L25" s="45"/>
      <c r="M25" s="45"/>
      <c r="N25" s="45"/>
      <c r="O25" s="45"/>
      <c r="P25" s="45"/>
      <c r="Q25" s="45"/>
    </row>
    <row r="26" spans="2:17" ht="15.75" x14ac:dyDescent="0.25">
      <c r="G26" s="63" t="s">
        <v>255</v>
      </c>
      <c r="H26" s="243">
        <f>PMT(D2,-6,H25:H25,,0)</f>
        <v>12778647.82642631</v>
      </c>
      <c r="I26" s="244">
        <f>PMT(D2,-6,I25:I25,,0)</f>
        <v>30877554.476870228</v>
      </c>
    </row>
    <row r="27" spans="2:17" ht="16.5" thickBot="1" x14ac:dyDescent="0.3">
      <c r="G27" s="65" t="s">
        <v>256</v>
      </c>
      <c r="H27" s="86">
        <f>MIRR(H18:H23,,0.1)</f>
        <v>0.37009612355607824</v>
      </c>
      <c r="I27" s="87">
        <f>MIRR(I18:I23,,0.1)</f>
        <v>0.57382716331668138</v>
      </c>
    </row>
  </sheetData>
  <mergeCells count="6">
    <mergeCell ref="B4:O4"/>
    <mergeCell ref="G17:G18"/>
    <mergeCell ref="G16:I16"/>
    <mergeCell ref="E2:K2"/>
    <mergeCell ref="C16:E18"/>
    <mergeCell ref="B10:H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40"/>
  <sheetViews>
    <sheetView topLeftCell="A3" zoomScaleNormal="100" workbookViewId="0">
      <selection activeCell="H18" sqref="H18"/>
    </sheetView>
  </sheetViews>
  <sheetFormatPr baseColWidth="10" defaultRowHeight="15" x14ac:dyDescent="0.25"/>
  <cols>
    <col min="1" max="1" width="3" customWidth="1"/>
    <col min="2" max="2" width="35" customWidth="1"/>
    <col min="3" max="3" width="11.42578125" customWidth="1"/>
    <col min="4" max="4" width="13" bestFit="1" customWidth="1"/>
    <col min="5" max="5" width="47.7109375" customWidth="1"/>
    <col min="6" max="6" width="3" customWidth="1"/>
    <col min="7" max="7" width="6.85546875" customWidth="1"/>
    <col min="8" max="8" width="6.42578125" customWidth="1"/>
    <col min="9" max="9" width="5.85546875" customWidth="1"/>
    <col min="10" max="10" width="3" customWidth="1"/>
    <col min="11" max="11" width="12" bestFit="1" customWidth="1"/>
    <col min="12" max="12" width="20.28515625" bestFit="1" customWidth="1"/>
    <col min="13" max="13" width="14.28515625" bestFit="1" customWidth="1"/>
    <col min="14" max="14" width="18.28515625" bestFit="1" customWidth="1"/>
  </cols>
  <sheetData>
    <row r="2" spans="2:15" ht="15.75" thickBot="1" x14ac:dyDescent="0.3"/>
    <row r="3" spans="2:15" ht="16.5" thickBot="1" x14ac:dyDescent="0.3">
      <c r="B3" s="298" t="s">
        <v>166</v>
      </c>
      <c r="C3" s="299"/>
      <c r="D3" s="299"/>
      <c r="E3" s="300"/>
    </row>
    <row r="4" spans="2:15" ht="16.5" thickBot="1" x14ac:dyDescent="0.3">
      <c r="B4" s="295" t="s">
        <v>9</v>
      </c>
      <c r="C4" s="296"/>
      <c r="D4" s="296"/>
      <c r="E4" s="297"/>
      <c r="K4" s="78" t="s">
        <v>242</v>
      </c>
      <c r="L4" s="92" t="s">
        <v>240</v>
      </c>
      <c r="M4" s="92" t="s">
        <v>241</v>
      </c>
      <c r="N4" s="232" t="s">
        <v>243</v>
      </c>
      <c r="O4" s="209" t="s">
        <v>257</v>
      </c>
    </row>
    <row r="5" spans="2:15" ht="34.5" customHeight="1" x14ac:dyDescent="0.25">
      <c r="B5" s="125" t="s">
        <v>76</v>
      </c>
      <c r="C5" s="126" t="s">
        <v>10</v>
      </c>
      <c r="D5" s="126" t="s">
        <v>7</v>
      </c>
      <c r="E5" s="127" t="s">
        <v>14</v>
      </c>
      <c r="K5" s="29" t="s">
        <v>69</v>
      </c>
      <c r="L5" s="19">
        <v>7000</v>
      </c>
      <c r="M5" s="19">
        <v>9000</v>
      </c>
      <c r="N5" s="233">
        <v>8000</v>
      </c>
      <c r="O5" s="236">
        <v>200</v>
      </c>
    </row>
    <row r="6" spans="2:15" ht="16.5" thickBot="1" x14ac:dyDescent="0.3">
      <c r="B6" s="304" t="s">
        <v>141</v>
      </c>
      <c r="C6" s="305"/>
      <c r="D6" s="305"/>
      <c r="E6" s="307"/>
      <c r="K6" s="29" t="s">
        <v>70</v>
      </c>
      <c r="L6" s="19">
        <v>6500</v>
      </c>
      <c r="M6" s="19">
        <v>9000</v>
      </c>
      <c r="N6" s="233">
        <v>8000</v>
      </c>
      <c r="O6" s="236">
        <v>400</v>
      </c>
    </row>
    <row r="7" spans="2:15" ht="32.25" thickBot="1" x14ac:dyDescent="0.3">
      <c r="B7" s="128" t="s">
        <v>122</v>
      </c>
      <c r="C7" s="54" t="s">
        <v>11</v>
      </c>
      <c r="D7" s="99">
        <v>8000</v>
      </c>
      <c r="E7" s="129" t="s">
        <v>259</v>
      </c>
      <c r="F7" s="36"/>
      <c r="G7" s="308" t="s">
        <v>239</v>
      </c>
      <c r="H7" s="309"/>
      <c r="I7" s="310"/>
      <c r="J7" s="36"/>
      <c r="K7" s="206" t="s">
        <v>71</v>
      </c>
      <c r="L7" s="207">
        <v>7000</v>
      </c>
      <c r="M7" s="207">
        <v>10000</v>
      </c>
      <c r="N7" s="234">
        <v>8000</v>
      </c>
      <c r="O7" s="235">
        <v>600</v>
      </c>
    </row>
    <row r="8" spans="2:15" ht="48" thickBot="1" x14ac:dyDescent="0.3">
      <c r="B8" s="128" t="s">
        <v>15</v>
      </c>
      <c r="C8" s="130" t="s">
        <v>11</v>
      </c>
      <c r="D8" s="99">
        <v>150</v>
      </c>
      <c r="E8" s="129" t="s">
        <v>23</v>
      </c>
      <c r="K8" s="237"/>
      <c r="L8" s="237"/>
      <c r="M8" s="237"/>
      <c r="N8" s="238" t="s">
        <v>258</v>
      </c>
      <c r="O8" s="239">
        <f>SUM(O5:O7)</f>
        <v>1200</v>
      </c>
    </row>
    <row r="9" spans="2:15" ht="15.75" x14ac:dyDescent="0.25">
      <c r="B9" s="131" t="s">
        <v>140</v>
      </c>
      <c r="C9" s="130" t="s">
        <v>11</v>
      </c>
      <c r="D9" s="106">
        <f>SUM(D7:D8)</f>
        <v>8150</v>
      </c>
      <c r="E9" s="132"/>
    </row>
    <row r="10" spans="2:15" ht="15.75" x14ac:dyDescent="0.25">
      <c r="B10" s="304" t="s">
        <v>68</v>
      </c>
      <c r="C10" s="305"/>
      <c r="D10" s="306"/>
      <c r="E10" s="129" t="s">
        <v>22</v>
      </c>
    </row>
    <row r="11" spans="2:15" ht="15.75" x14ac:dyDescent="0.25">
      <c r="B11" s="128" t="s">
        <v>63</v>
      </c>
      <c r="C11" s="130" t="s">
        <v>11</v>
      </c>
      <c r="D11" s="99">
        <v>11890</v>
      </c>
      <c r="E11" s="129" t="s">
        <v>197</v>
      </c>
      <c r="L11" s="1"/>
      <c r="N11" s="2"/>
    </row>
    <row r="12" spans="2:15" ht="15.75" x14ac:dyDescent="0.25">
      <c r="B12" s="128" t="s">
        <v>64</v>
      </c>
      <c r="C12" s="130" t="s">
        <v>11</v>
      </c>
      <c r="D12" s="99">
        <v>435</v>
      </c>
      <c r="E12" s="129" t="s">
        <v>196</v>
      </c>
      <c r="L12" s="1"/>
      <c r="N12" s="2"/>
    </row>
    <row r="13" spans="2:15" ht="15.75" x14ac:dyDescent="0.25">
      <c r="B13" s="128" t="s">
        <v>65</v>
      </c>
      <c r="C13" s="130" t="s">
        <v>11</v>
      </c>
      <c r="D13" s="99">
        <v>362.5</v>
      </c>
      <c r="E13" s="129" t="s">
        <v>198</v>
      </c>
      <c r="L13" s="1"/>
      <c r="N13" s="2"/>
    </row>
    <row r="14" spans="2:15" ht="15.75" x14ac:dyDescent="0.25">
      <c r="B14" s="128" t="s">
        <v>66</v>
      </c>
      <c r="C14" s="130" t="s">
        <v>11</v>
      </c>
      <c r="D14" s="99">
        <v>725</v>
      </c>
      <c r="E14" s="129" t="s">
        <v>199</v>
      </c>
      <c r="L14" s="1"/>
      <c r="N14" s="2"/>
    </row>
    <row r="15" spans="2:15" ht="15.75" x14ac:dyDescent="0.25">
      <c r="B15" s="128" t="s">
        <v>67</v>
      </c>
      <c r="C15" s="130" t="s">
        <v>11</v>
      </c>
      <c r="D15" s="99">
        <v>580</v>
      </c>
      <c r="E15" s="129" t="s">
        <v>200</v>
      </c>
      <c r="L15" s="1"/>
      <c r="N15" s="2"/>
    </row>
    <row r="16" spans="2:15" ht="31.5" x14ac:dyDescent="0.25">
      <c r="B16" s="133" t="s">
        <v>142</v>
      </c>
      <c r="C16" s="130" t="s">
        <v>11</v>
      </c>
      <c r="D16" s="134">
        <f>SUM(D11:D15)</f>
        <v>13992.5</v>
      </c>
      <c r="E16" s="129" t="s">
        <v>201</v>
      </c>
    </row>
    <row r="17" spans="2:12" ht="15.75" x14ac:dyDescent="0.25">
      <c r="B17" s="304" t="s">
        <v>143</v>
      </c>
      <c r="C17" s="305"/>
      <c r="D17" s="305"/>
      <c r="E17" s="307"/>
    </row>
    <row r="18" spans="2:12" ht="47.25" x14ac:dyDescent="0.25">
      <c r="B18" s="128" t="s">
        <v>13</v>
      </c>
      <c r="C18" s="130" t="s">
        <v>11</v>
      </c>
      <c r="D18" s="99">
        <v>1800</v>
      </c>
      <c r="E18" s="129" t="s">
        <v>261</v>
      </c>
      <c r="L18" t="s">
        <v>61</v>
      </c>
    </row>
    <row r="19" spans="2:12" ht="31.5" x14ac:dyDescent="0.25">
      <c r="B19" s="128" t="s">
        <v>12</v>
      </c>
      <c r="C19" s="130" t="s">
        <v>11</v>
      </c>
      <c r="D19" s="99">
        <v>400</v>
      </c>
      <c r="E19" s="129" t="s">
        <v>260</v>
      </c>
      <c r="L19" t="s">
        <v>62</v>
      </c>
    </row>
    <row r="20" spans="2:12" ht="15.75" x14ac:dyDescent="0.25">
      <c r="B20" s="131" t="s">
        <v>144</v>
      </c>
      <c r="C20" s="130" t="s">
        <v>11</v>
      </c>
      <c r="D20" s="106">
        <f>SUM(D18:D19)</f>
        <v>2200</v>
      </c>
      <c r="E20" s="129"/>
    </row>
    <row r="21" spans="2:12" ht="15.75" x14ac:dyDescent="0.25">
      <c r="B21" s="135" t="s">
        <v>16</v>
      </c>
      <c r="C21" s="136" t="s">
        <v>11</v>
      </c>
      <c r="D21" s="137">
        <f>D9+D16+D20</f>
        <v>24342.5</v>
      </c>
      <c r="E21" s="138"/>
    </row>
    <row r="22" spans="2:12" ht="63.75" thickBot="1" x14ac:dyDescent="0.3">
      <c r="B22" s="203" t="s">
        <v>93</v>
      </c>
      <c r="C22" s="95" t="s">
        <v>92</v>
      </c>
      <c r="D22" s="204">
        <f>D21/(1-0.2)</f>
        <v>30428.125</v>
      </c>
      <c r="E22" s="205" t="s">
        <v>74</v>
      </c>
      <c r="H22" s="2"/>
    </row>
    <row r="23" spans="2:12" ht="15.75" thickBot="1" x14ac:dyDescent="0.3">
      <c r="B23" s="6"/>
      <c r="C23" s="7"/>
      <c r="D23" s="7"/>
      <c r="E23" s="8"/>
    </row>
    <row r="24" spans="2:12" ht="15.75" thickBot="1" x14ac:dyDescent="0.3">
      <c r="B24" s="292" t="s">
        <v>27</v>
      </c>
      <c r="C24" s="293"/>
      <c r="D24" s="293"/>
      <c r="E24" s="294"/>
    </row>
    <row r="25" spans="2:12" ht="32.25" customHeight="1" x14ac:dyDescent="0.25">
      <c r="B25" s="20" t="s">
        <v>76</v>
      </c>
      <c r="C25" s="23" t="s">
        <v>25</v>
      </c>
      <c r="D25" s="21" t="s">
        <v>77</v>
      </c>
      <c r="E25" s="22" t="s">
        <v>14</v>
      </c>
    </row>
    <row r="26" spans="2:12" x14ac:dyDescent="0.25">
      <c r="B26" s="9" t="s">
        <v>17</v>
      </c>
      <c r="C26" s="10" t="s">
        <v>24</v>
      </c>
      <c r="D26" s="11">
        <v>60000</v>
      </c>
      <c r="E26" s="12" t="s">
        <v>78</v>
      </c>
    </row>
    <row r="27" spans="2:12" x14ac:dyDescent="0.25">
      <c r="B27" s="9" t="s">
        <v>18</v>
      </c>
      <c r="C27" s="10" t="s">
        <v>24</v>
      </c>
      <c r="D27" s="11">
        <v>75000</v>
      </c>
      <c r="E27" s="12" t="s">
        <v>78</v>
      </c>
    </row>
    <row r="28" spans="2:12" x14ac:dyDescent="0.25">
      <c r="B28" s="9" t="s">
        <v>19</v>
      </c>
      <c r="C28" s="10" t="s">
        <v>24</v>
      </c>
      <c r="D28" s="11">
        <v>75000</v>
      </c>
      <c r="E28" s="12" t="s">
        <v>78</v>
      </c>
    </row>
    <row r="29" spans="2:12" x14ac:dyDescent="0.25">
      <c r="B29" s="9" t="s">
        <v>124</v>
      </c>
      <c r="C29" s="10" t="s">
        <v>24</v>
      </c>
      <c r="D29" s="11">
        <v>1200000</v>
      </c>
      <c r="E29" s="12" t="s">
        <v>190</v>
      </c>
    </row>
    <row r="30" spans="2:12" x14ac:dyDescent="0.25">
      <c r="B30" s="9" t="s">
        <v>125</v>
      </c>
      <c r="C30" s="10" t="s">
        <v>24</v>
      </c>
      <c r="D30" s="11">
        <v>1200000</v>
      </c>
      <c r="E30" s="12" t="s">
        <v>190</v>
      </c>
    </row>
    <row r="31" spans="2:12" x14ac:dyDescent="0.25">
      <c r="B31" s="9" t="s">
        <v>20</v>
      </c>
      <c r="C31" s="10" t="s">
        <v>24</v>
      </c>
      <c r="D31" s="11">
        <v>80000</v>
      </c>
      <c r="E31" s="12" t="s">
        <v>79</v>
      </c>
    </row>
    <row r="32" spans="2:12" x14ac:dyDescent="0.25">
      <c r="B32" s="9" t="s">
        <v>21</v>
      </c>
      <c r="C32" s="10" t="s">
        <v>24</v>
      </c>
      <c r="D32" s="11">
        <v>900000</v>
      </c>
      <c r="E32" s="12" t="s">
        <v>78</v>
      </c>
    </row>
    <row r="33" spans="2:11" ht="15.75" thickBot="1" x14ac:dyDescent="0.3">
      <c r="B33" s="13" t="s">
        <v>26</v>
      </c>
      <c r="C33" s="14" t="s">
        <v>24</v>
      </c>
      <c r="D33" s="15">
        <f>SUM(D26:D32)</f>
        <v>3590000</v>
      </c>
      <c r="E33" s="16"/>
    </row>
    <row r="34" spans="2:11" x14ac:dyDescent="0.25">
      <c r="D34" s="3"/>
    </row>
    <row r="35" spans="2:11" ht="15.75" thickBot="1" x14ac:dyDescent="0.3"/>
    <row r="36" spans="2:11" ht="91.5" customHeight="1" thickBot="1" x14ac:dyDescent="0.3">
      <c r="B36" s="301" t="s">
        <v>126</v>
      </c>
      <c r="C36" s="302"/>
      <c r="D36" s="302"/>
      <c r="E36" s="302"/>
      <c r="F36" s="302"/>
      <c r="G36" s="302"/>
      <c r="H36" s="302"/>
      <c r="I36" s="303"/>
    </row>
    <row r="37" spans="2:11" x14ac:dyDescent="0.25">
      <c r="B37" s="24"/>
      <c r="C37" s="24"/>
      <c r="D37" s="24"/>
      <c r="E37" s="24"/>
    </row>
    <row r="38" spans="2:11" x14ac:dyDescent="0.25">
      <c r="B38" s="291" t="s">
        <v>123</v>
      </c>
      <c r="C38" s="291"/>
      <c r="D38" s="291"/>
      <c r="E38" s="291"/>
      <c r="F38" s="291"/>
      <c r="G38" s="291"/>
      <c r="H38" s="291"/>
      <c r="I38" s="291"/>
      <c r="J38" s="291"/>
      <c r="K38" s="291"/>
    </row>
    <row r="39" spans="2:11" x14ac:dyDescent="0.25">
      <c r="B39" s="291"/>
      <c r="C39" s="291"/>
      <c r="D39" s="291"/>
      <c r="E39" s="291"/>
      <c r="F39" s="291"/>
      <c r="G39" s="291"/>
      <c r="H39" s="291"/>
      <c r="I39" s="291"/>
      <c r="J39" s="291"/>
      <c r="K39" s="291"/>
    </row>
    <row r="40" spans="2:11" x14ac:dyDescent="0.25">
      <c r="B40" s="291"/>
      <c r="C40" s="291"/>
      <c r="D40" s="291"/>
      <c r="E40" s="291"/>
      <c r="F40" s="291"/>
      <c r="G40" s="291"/>
      <c r="H40" s="291"/>
      <c r="I40" s="291"/>
      <c r="J40" s="291"/>
      <c r="K40" s="291"/>
    </row>
  </sheetData>
  <mergeCells count="9">
    <mergeCell ref="B38:K40"/>
    <mergeCell ref="B24:E24"/>
    <mergeCell ref="B4:E4"/>
    <mergeCell ref="B3:E3"/>
    <mergeCell ref="B36:I36"/>
    <mergeCell ref="B10:D10"/>
    <mergeCell ref="B6:E6"/>
    <mergeCell ref="B17:E17"/>
    <mergeCell ref="G7:I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8"/>
  <sheetViews>
    <sheetView workbookViewId="0">
      <selection activeCell="F8" sqref="F8"/>
    </sheetView>
  </sheetViews>
  <sheetFormatPr baseColWidth="10" defaultRowHeight="15" x14ac:dyDescent="0.25"/>
  <cols>
    <col min="2" max="2" width="43.7109375" customWidth="1"/>
    <col min="3" max="3" width="21.42578125" customWidth="1"/>
    <col min="4" max="4" width="25.140625" customWidth="1"/>
    <col min="6" max="6" width="14.5703125" bestFit="1" customWidth="1"/>
    <col min="7" max="7" width="11.5703125" customWidth="1"/>
    <col min="8" max="8" width="11.85546875" bestFit="1" customWidth="1"/>
    <col min="11" max="11" width="15.5703125" bestFit="1" customWidth="1"/>
  </cols>
  <sheetData>
    <row r="1" spans="2:11" ht="15.75" thickBot="1" x14ac:dyDescent="0.3"/>
    <row r="2" spans="2:11" ht="16.5" thickBot="1" x14ac:dyDescent="0.3">
      <c r="B2" s="311" t="s">
        <v>87</v>
      </c>
      <c r="C2" s="312"/>
      <c r="D2" s="312"/>
      <c r="E2" s="312"/>
      <c r="F2" s="312"/>
      <c r="G2" s="312"/>
      <c r="H2" s="312"/>
      <c r="I2" s="313"/>
    </row>
    <row r="3" spans="2:11" ht="16.5" thickBot="1" x14ac:dyDescent="0.3">
      <c r="B3" s="139"/>
      <c r="C3" s="140"/>
      <c r="D3" s="141"/>
      <c r="E3" s="141" t="s">
        <v>88</v>
      </c>
      <c r="F3" s="314">
        <f>C4</f>
        <v>3590000</v>
      </c>
      <c r="G3" s="314"/>
      <c r="H3" s="314"/>
      <c r="I3" s="142"/>
    </row>
    <row r="4" spans="2:11" ht="15.75" x14ac:dyDescent="0.25">
      <c r="B4" s="143" t="s">
        <v>27</v>
      </c>
      <c r="C4" s="144">
        <f>Costos!D33</f>
        <v>3590000</v>
      </c>
      <c r="D4" s="145"/>
      <c r="E4" s="145"/>
      <c r="F4" s="146">
        <f>C6</f>
        <v>30428.125</v>
      </c>
      <c r="G4" s="147" t="s">
        <v>205</v>
      </c>
      <c r="H4" s="148">
        <f>C5</f>
        <v>24342.5</v>
      </c>
      <c r="I4" s="149"/>
    </row>
    <row r="5" spans="2:11" ht="15.75" x14ac:dyDescent="0.25">
      <c r="B5" s="150" t="s">
        <v>89</v>
      </c>
      <c r="C5" s="144">
        <f>Costos!D21</f>
        <v>24342.5</v>
      </c>
      <c r="D5" s="145"/>
      <c r="E5" s="145"/>
      <c r="F5" s="151"/>
      <c r="G5" s="145"/>
      <c r="H5" s="145"/>
      <c r="I5" s="149"/>
    </row>
    <row r="6" spans="2:11" ht="15.75" x14ac:dyDescent="0.25">
      <c r="B6" s="150" t="s">
        <v>90</v>
      </c>
      <c r="C6" s="144">
        <f>Costos!D22</f>
        <v>30428.125</v>
      </c>
      <c r="D6" s="145"/>
      <c r="E6" s="145"/>
      <c r="F6" s="151"/>
      <c r="G6" s="145"/>
      <c r="H6" s="145"/>
      <c r="I6" s="149"/>
    </row>
    <row r="7" spans="2:11" ht="16.5" thickBot="1" x14ac:dyDescent="0.3">
      <c r="B7" s="152"/>
      <c r="C7" s="145"/>
      <c r="D7" s="145"/>
      <c r="E7" s="153"/>
      <c r="F7" s="153"/>
      <c r="G7" s="145"/>
      <c r="H7" s="145"/>
      <c r="I7" s="149"/>
    </row>
    <row r="8" spans="2:11" ht="32.25" thickBot="1" x14ac:dyDescent="0.3">
      <c r="B8" s="152"/>
      <c r="C8" s="145"/>
      <c r="D8" s="153"/>
      <c r="E8" s="216" t="s">
        <v>88</v>
      </c>
      <c r="F8" s="240">
        <f>C4/(C6-C5)</f>
        <v>589.9147581390572</v>
      </c>
      <c r="G8" s="217" t="s">
        <v>91</v>
      </c>
      <c r="H8" s="145"/>
      <c r="I8" s="149"/>
    </row>
    <row r="9" spans="2:11" ht="16.5" thickBot="1" x14ac:dyDescent="0.3">
      <c r="B9" s="154"/>
      <c r="C9" s="155"/>
      <c r="D9" s="156"/>
      <c r="E9" s="156"/>
      <c r="F9" s="157"/>
      <c r="G9" s="158"/>
      <c r="H9" s="159"/>
      <c r="I9" s="160"/>
    </row>
    <row r="14" spans="2:11" x14ac:dyDescent="0.25">
      <c r="K14" s="1"/>
    </row>
    <row r="18" spans="6:6" x14ac:dyDescent="0.25">
      <c r="F18" s="36"/>
    </row>
  </sheetData>
  <mergeCells count="2">
    <mergeCell ref="B2:I2"/>
    <mergeCell ref="F3:H3"/>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G23"/>
  <sheetViews>
    <sheetView topLeftCell="A4" workbookViewId="0">
      <selection activeCell="C26" sqref="C26"/>
    </sheetView>
  </sheetViews>
  <sheetFormatPr baseColWidth="10" defaultRowHeight="15" x14ac:dyDescent="0.25"/>
  <cols>
    <col min="2" max="2" width="23.42578125" bestFit="1" customWidth="1"/>
    <col min="3" max="3" width="25.28515625" bestFit="1" customWidth="1"/>
    <col min="4" max="4" width="17.140625" bestFit="1" customWidth="1"/>
    <col min="5" max="6" width="14.5703125" bestFit="1" customWidth="1"/>
    <col min="7" max="7" width="16.42578125" bestFit="1" customWidth="1"/>
    <col min="8" max="8" width="17.28515625" customWidth="1"/>
  </cols>
  <sheetData>
    <row r="1" spans="2:7" ht="15.75" thickBot="1" x14ac:dyDescent="0.3"/>
    <row r="2" spans="2:7" ht="30" x14ac:dyDescent="0.25">
      <c r="B2" s="208" t="s">
        <v>132</v>
      </c>
      <c r="C2" s="209" t="s">
        <v>133</v>
      </c>
      <c r="E2" s="78" t="s">
        <v>127</v>
      </c>
      <c r="F2" s="27" t="s">
        <v>128</v>
      </c>
      <c r="G2" s="28" t="s">
        <v>129</v>
      </c>
    </row>
    <row r="3" spans="2:7" ht="24.75" customHeight="1" thickBot="1" x14ac:dyDescent="0.3">
      <c r="B3" s="37">
        <f>'Punto de Equilibrio'!C6</f>
        <v>30428.125</v>
      </c>
      <c r="C3" s="38">
        <v>1200</v>
      </c>
      <c r="E3" s="29">
        <v>2007</v>
      </c>
      <c r="F3" s="80">
        <v>4.8500000000000001E-2</v>
      </c>
      <c r="G3" s="82"/>
    </row>
    <row r="4" spans="2:7" x14ac:dyDescent="0.25">
      <c r="C4" s="210" t="s">
        <v>134</v>
      </c>
      <c r="E4" s="91">
        <v>2008</v>
      </c>
      <c r="F4" s="80">
        <v>4.8000000000000001E-2</v>
      </c>
      <c r="G4" s="82"/>
    </row>
    <row r="5" spans="2:7" ht="15.75" thickBot="1" x14ac:dyDescent="0.3">
      <c r="C5" s="43">
        <f>D22/12</f>
        <v>1243.1857142857141</v>
      </c>
      <c r="E5" s="91">
        <v>2009</v>
      </c>
      <c r="F5" s="80">
        <v>5.6899999999999999E-2</v>
      </c>
      <c r="G5" s="82">
        <v>1.7000000000000001E-2</v>
      </c>
    </row>
    <row r="6" spans="2:7" x14ac:dyDescent="0.25">
      <c r="C6" s="210" t="s">
        <v>135</v>
      </c>
      <c r="E6" s="91">
        <v>2010</v>
      </c>
      <c r="F6" s="80">
        <v>7.6700000000000004E-2</v>
      </c>
      <c r="G6" s="82">
        <v>0.04</v>
      </c>
    </row>
    <row r="7" spans="2:7" ht="15.75" thickBot="1" x14ac:dyDescent="0.3">
      <c r="C7" s="43">
        <f>E22/12</f>
        <v>1287.2448079931971</v>
      </c>
      <c r="E7" s="91">
        <v>2011</v>
      </c>
      <c r="F7" s="80">
        <v>0.02</v>
      </c>
      <c r="G7" s="82">
        <v>6.6000000000000003E-2</v>
      </c>
    </row>
    <row r="8" spans="2:7" x14ac:dyDescent="0.25">
      <c r="C8" s="210" t="s">
        <v>136</v>
      </c>
      <c r="E8" s="91">
        <v>2012</v>
      </c>
      <c r="F8" s="80">
        <v>3.1699999999999999E-2</v>
      </c>
      <c r="G8" s="82">
        <v>0.04</v>
      </c>
    </row>
    <row r="9" spans="2:7" ht="15.75" thickBot="1" x14ac:dyDescent="0.3">
      <c r="C9" s="43">
        <f>F22/12</f>
        <v>1332.1604571863882</v>
      </c>
      <c r="E9" s="91">
        <v>2013</v>
      </c>
      <c r="F9" s="81">
        <v>3.73E-2</v>
      </c>
      <c r="G9" s="82">
        <v>4.9000000000000002E-2</v>
      </c>
    </row>
    <row r="10" spans="2:7" x14ac:dyDescent="0.25">
      <c r="C10" s="210" t="s">
        <v>137</v>
      </c>
      <c r="E10" s="91">
        <v>2014</v>
      </c>
      <c r="F10" s="81">
        <v>1.9400000000000001E-2</v>
      </c>
      <c r="G10" s="82">
        <v>4.3999999999999997E-2</v>
      </c>
    </row>
    <row r="11" spans="2:7" ht="15.75" thickBot="1" x14ac:dyDescent="0.3">
      <c r="C11" s="43">
        <f>G22/12</f>
        <v>1377.9138252695159</v>
      </c>
      <c r="E11" s="91">
        <v>2015</v>
      </c>
      <c r="F11" s="81">
        <v>3.6600000000000001E-2</v>
      </c>
      <c r="G11" s="82">
        <v>3.1E-2</v>
      </c>
    </row>
    <row r="12" spans="2:7" x14ac:dyDescent="0.25">
      <c r="E12" s="91">
        <v>2016</v>
      </c>
      <c r="F12" s="81">
        <v>6.7699999999999996E-2</v>
      </c>
      <c r="G12" s="82">
        <v>2.5000000000000001E-2</v>
      </c>
    </row>
    <row r="13" spans="2:7" x14ac:dyDescent="0.25">
      <c r="E13" s="29">
        <v>2017</v>
      </c>
      <c r="F13" s="25">
        <f>FORECAST(E13,F3:F12,E3:E12)</f>
        <v>3.7580000000000169E-2</v>
      </c>
      <c r="G13" s="214">
        <f>FORECAST(E13,G5:G12,E5:E12)</f>
        <v>3.6535714285714116E-2</v>
      </c>
    </row>
    <row r="14" spans="2:7" x14ac:dyDescent="0.25">
      <c r="E14" s="29">
        <v>2018</v>
      </c>
      <c r="F14" s="25">
        <f>FORECAST(E14,F3:F13,E3:E13)</f>
        <v>3.6361818181818606E-2</v>
      </c>
      <c r="G14" s="214">
        <f>FORECAST(E14,G5:G13,E5:E13)</f>
        <v>3.5988095238095097E-2</v>
      </c>
    </row>
    <row r="15" spans="2:7" x14ac:dyDescent="0.25">
      <c r="E15" s="29">
        <v>2019</v>
      </c>
      <c r="F15" s="25">
        <f>FORECAST(E15,F3:F14,E3:E14)</f>
        <v>3.5143636363636155E-2</v>
      </c>
      <c r="G15" s="214">
        <f>FORECAST(E15,G5:G14,E5:E14)</f>
        <v>3.5440476190476078E-2</v>
      </c>
    </row>
    <row r="16" spans="2:7" x14ac:dyDescent="0.25">
      <c r="E16" s="29">
        <v>2020</v>
      </c>
      <c r="F16" s="25">
        <f>FORECAST(E16,F3:F15,E3:E15)</f>
        <v>3.3925454545455036E-2</v>
      </c>
      <c r="G16" s="214">
        <f>FORECAST(E16,G5:G15,E5:E15)</f>
        <v>3.4892857142857059E-2</v>
      </c>
    </row>
    <row r="17" spans="2:7" ht="15.75" thickBot="1" x14ac:dyDescent="0.3">
      <c r="E17" s="26">
        <v>2021</v>
      </c>
      <c r="F17" s="30">
        <f>FORECAST(E17,F3:F16,E3:E16)</f>
        <v>3.2707272727273029E-2</v>
      </c>
      <c r="G17" s="215">
        <f>FORECAST(E17,G5:G16,E5:E16)</f>
        <v>3.434523809523804E-2</v>
      </c>
    </row>
    <row r="18" spans="2:7" x14ac:dyDescent="0.25">
      <c r="E18" s="32"/>
      <c r="F18" s="31"/>
      <c r="G18" s="31"/>
    </row>
    <row r="19" spans="2:7" ht="15.75" thickBot="1" x14ac:dyDescent="0.3"/>
    <row r="20" spans="2:7" x14ac:dyDescent="0.25">
      <c r="B20" s="211"/>
      <c r="C20" s="92">
        <v>2017</v>
      </c>
      <c r="D20" s="92">
        <v>2018</v>
      </c>
      <c r="E20" s="92">
        <v>2019</v>
      </c>
      <c r="F20" s="92">
        <v>2020</v>
      </c>
      <c r="G20" s="79">
        <v>2021</v>
      </c>
    </row>
    <row r="21" spans="2:7" x14ac:dyDescent="0.25">
      <c r="B21" s="212" t="s">
        <v>130</v>
      </c>
      <c r="C21" s="33">
        <f>B3</f>
        <v>30428.125</v>
      </c>
      <c r="D21" s="33">
        <f>C21+(C21*F14)</f>
        <v>31534.546948863648</v>
      </c>
      <c r="E21" s="33">
        <f>D21+(D21*F15)</f>
        <v>32642.785599726525</v>
      </c>
      <c r="F21" s="33">
        <f>E21+(E21*F16)</f>
        <v>33750.206938827083</v>
      </c>
      <c r="G21" s="34">
        <f>F21+(F21*F17)</f>
        <v>34854.084161777202</v>
      </c>
    </row>
    <row r="22" spans="2:7" x14ac:dyDescent="0.25">
      <c r="B22" s="212" t="s">
        <v>8</v>
      </c>
      <c r="C22" s="197">
        <f>C3*12</f>
        <v>14400</v>
      </c>
      <c r="D22" s="197">
        <f>C22+(C22*G14)</f>
        <v>14918.22857142857</v>
      </c>
      <c r="E22" s="197">
        <f>D22+(D22*G15)</f>
        <v>15446.937695918365</v>
      </c>
      <c r="F22" s="197">
        <f>E22+(E22*G16)</f>
        <v>15985.925486236658</v>
      </c>
      <c r="G22" s="57">
        <f>F22+(F22*G17)</f>
        <v>16534.965903234192</v>
      </c>
    </row>
    <row r="23" spans="2:7" ht="15.75" thickBot="1" x14ac:dyDescent="0.3">
      <c r="B23" s="213" t="s">
        <v>131</v>
      </c>
      <c r="C23" s="35">
        <f>C21*C22</f>
        <v>438165000</v>
      </c>
      <c r="D23" s="35">
        <f t="shared" ref="D23:G23" si="0">D21*D22</f>
        <v>470439579.27959329</v>
      </c>
      <c r="E23" s="35">
        <f t="shared" si="0"/>
        <v>504231075.38019681</v>
      </c>
      <c r="F23" s="35">
        <f t="shared" si="0"/>
        <v>539528293.26915717</v>
      </c>
      <c r="G23" s="18">
        <f t="shared" si="0"/>
        <v>576311093.2034409</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29"/>
  <sheetViews>
    <sheetView topLeftCell="A13" zoomScaleNormal="100" workbookViewId="0">
      <selection activeCell="E17" sqref="E17"/>
    </sheetView>
  </sheetViews>
  <sheetFormatPr baseColWidth="10" defaultRowHeight="15" x14ac:dyDescent="0.25"/>
  <cols>
    <col min="2" max="2" width="34.140625" bestFit="1" customWidth="1"/>
    <col min="3" max="4" width="17.42578125" bestFit="1" customWidth="1"/>
    <col min="5" max="7" width="15.5703125" bestFit="1" customWidth="1"/>
    <col min="8" max="8" width="16.7109375" bestFit="1" customWidth="1"/>
    <col min="9" max="9" width="12" bestFit="1" customWidth="1"/>
    <col min="10" max="11" width="13" bestFit="1" customWidth="1"/>
  </cols>
  <sheetData>
    <row r="1" spans="2:11" ht="15.75" thickBot="1" x14ac:dyDescent="0.3"/>
    <row r="2" spans="2:11" ht="15" customHeight="1" x14ac:dyDescent="0.25">
      <c r="B2" s="315" t="s">
        <v>168</v>
      </c>
      <c r="C2" s="316"/>
      <c r="D2" s="316"/>
      <c r="E2" s="316"/>
      <c r="F2" s="316"/>
      <c r="G2" s="316"/>
      <c r="H2" s="317"/>
    </row>
    <row r="3" spans="2:11" ht="15" customHeight="1" thickBot="1" x14ac:dyDescent="0.3">
      <c r="B3" s="318"/>
      <c r="C3" s="319"/>
      <c r="D3" s="319"/>
      <c r="E3" s="319"/>
      <c r="F3" s="319"/>
      <c r="G3" s="319"/>
      <c r="H3" s="320"/>
    </row>
    <row r="4" spans="2:11" ht="15.75" x14ac:dyDescent="0.25">
      <c r="B4" s="249" t="s">
        <v>184</v>
      </c>
      <c r="C4" s="268" t="s">
        <v>301</v>
      </c>
      <c r="D4" s="268" t="s">
        <v>296</v>
      </c>
      <c r="E4" s="268" t="s">
        <v>297</v>
      </c>
      <c r="F4" s="268" t="s">
        <v>298</v>
      </c>
      <c r="G4" s="268" t="s">
        <v>299</v>
      </c>
      <c r="H4" s="268" t="s">
        <v>300</v>
      </c>
    </row>
    <row r="5" spans="2:11" ht="15.75" x14ac:dyDescent="0.25">
      <c r="B5" s="47" t="s">
        <v>191</v>
      </c>
      <c r="C5" s="50">
        <v>0</v>
      </c>
      <c r="D5" s="50">
        <f>'Estado de Flujo de Caja'!O21</f>
        <v>29401597.922875617</v>
      </c>
      <c r="E5" s="50">
        <f>'Estado de Flujo de Caja'!O48</f>
        <v>65116053.385489322</v>
      </c>
      <c r="F5" s="50">
        <f>'Estado de Flujo de Caja'!O75</f>
        <v>128726688.12703174</v>
      </c>
      <c r="G5" s="50">
        <f>'Estado de Flujo de Caja'!O97</f>
        <v>206405505.01891077</v>
      </c>
      <c r="H5" s="269">
        <f>'Estado de Flujo de Caja'!O129</f>
        <v>299666884.05967551</v>
      </c>
    </row>
    <row r="6" spans="2:11" ht="15.75" x14ac:dyDescent="0.25">
      <c r="B6" s="47" t="s">
        <v>192</v>
      </c>
      <c r="C6" s="49"/>
      <c r="D6" s="49">
        <f>'Inversion Inicial '!E24+'Inversion Inicial '!E27+'Inversion Inicial '!E43+'Inversion Inicial '!E55+'Inversion Inicial '!E60</f>
        <v>0</v>
      </c>
      <c r="E6" s="49"/>
      <c r="F6" s="49"/>
      <c r="G6" s="49"/>
      <c r="H6" s="250"/>
      <c r="K6" s="2"/>
    </row>
    <row r="7" spans="2:11" ht="15.75" x14ac:dyDescent="0.25">
      <c r="B7" s="47" t="s">
        <v>193</v>
      </c>
      <c r="C7" s="49"/>
      <c r="D7" s="49"/>
      <c r="E7" s="49"/>
      <c r="F7" s="49"/>
      <c r="G7" s="49"/>
      <c r="H7" s="250"/>
    </row>
    <row r="8" spans="2:11" ht="15.75" x14ac:dyDescent="0.25">
      <c r="B8" s="48" t="s">
        <v>185</v>
      </c>
      <c r="C8" s="49">
        <f>C5+C6+C7</f>
        <v>0</v>
      </c>
      <c r="D8" s="49">
        <f t="shared" ref="D8:H8" si="0">D5+D6+D7</f>
        <v>29401597.922875617</v>
      </c>
      <c r="E8" s="49">
        <f t="shared" si="0"/>
        <v>65116053.385489322</v>
      </c>
      <c r="F8" s="49">
        <f t="shared" si="0"/>
        <v>128726688.12703174</v>
      </c>
      <c r="G8" s="49">
        <f t="shared" si="0"/>
        <v>206405505.01891077</v>
      </c>
      <c r="H8" s="66">
        <f t="shared" si="0"/>
        <v>299666884.05967551</v>
      </c>
    </row>
    <row r="9" spans="2:11" ht="15.75" x14ac:dyDescent="0.25">
      <c r="B9" s="48" t="s">
        <v>186</v>
      </c>
      <c r="C9" s="49"/>
      <c r="D9" s="49"/>
      <c r="E9" s="53"/>
      <c r="F9" s="53"/>
      <c r="G9" s="53"/>
      <c r="H9" s="250"/>
      <c r="J9" s="2"/>
    </row>
    <row r="10" spans="2:11" ht="15.75" x14ac:dyDescent="0.25">
      <c r="B10" s="47" t="s">
        <v>194</v>
      </c>
      <c r="C10" s="49">
        <f>'Inversion Inicial '!$D$40</f>
        <v>25500000</v>
      </c>
      <c r="D10" s="49">
        <f>'Inversion Inicial '!$D$40</f>
        <v>25500000</v>
      </c>
      <c r="E10" s="49">
        <f>'Inversion Inicial '!$D$40</f>
        <v>25500000</v>
      </c>
      <c r="F10" s="49">
        <f>'Inversion Inicial '!$D$40</f>
        <v>25500000</v>
      </c>
      <c r="G10" s="49">
        <f>'Inversion Inicial '!$D$40</f>
        <v>25500000</v>
      </c>
      <c r="H10" s="66">
        <f>'Inversion Inicial '!$D$40</f>
        <v>25500000</v>
      </c>
      <c r="I10" s="2"/>
      <c r="J10" s="2"/>
    </row>
    <row r="11" spans="2:11" ht="15.75" x14ac:dyDescent="0.25">
      <c r="B11" s="47" t="s">
        <v>169</v>
      </c>
      <c r="C11" s="49">
        <f>'Inversion Inicial '!$D$36</f>
        <v>3890000</v>
      </c>
      <c r="D11" s="49">
        <f>'Inversion Inicial '!$D$36</f>
        <v>3890000</v>
      </c>
      <c r="E11" s="49">
        <f>'Inversion Inicial '!$D$36</f>
        <v>3890000</v>
      </c>
      <c r="F11" s="49">
        <f>'Inversion Inicial '!$D$36</f>
        <v>3890000</v>
      </c>
      <c r="G11" s="49">
        <f>'Inversion Inicial '!$D$36</f>
        <v>3890000</v>
      </c>
      <c r="H11" s="66">
        <f>'Inversion Inicial '!$D$36</f>
        <v>3890000</v>
      </c>
      <c r="I11" s="2"/>
      <c r="J11" s="2"/>
    </row>
    <row r="12" spans="2:11" ht="15.75" x14ac:dyDescent="0.25">
      <c r="B12" s="47" t="s">
        <v>170</v>
      </c>
      <c r="C12" s="49">
        <v>0</v>
      </c>
      <c r="D12" s="49">
        <f>Depreciación!$F$12</f>
        <v>5414000</v>
      </c>
      <c r="E12" s="49">
        <f>Depreciación!$F$12*2</f>
        <v>10828000</v>
      </c>
      <c r="F12" s="49">
        <f>Depreciación!$F$12*3</f>
        <v>16242000</v>
      </c>
      <c r="G12" s="49">
        <f>Depreciación!$F$12*4</f>
        <v>21656000</v>
      </c>
      <c r="H12" s="66">
        <f>Depreciación!$F$12*5</f>
        <v>27070000</v>
      </c>
      <c r="I12" s="2"/>
    </row>
    <row r="13" spans="2:11" ht="15.75" x14ac:dyDescent="0.25">
      <c r="B13" s="48" t="s">
        <v>187</v>
      </c>
      <c r="C13" s="50">
        <f>C10+C11-C12</f>
        <v>29390000</v>
      </c>
      <c r="D13" s="50">
        <f>D10+D11-D12</f>
        <v>23976000</v>
      </c>
      <c r="E13" s="50">
        <f>E10+E11-E12</f>
        <v>18562000</v>
      </c>
      <c r="F13" s="50">
        <f t="shared" ref="F13:H13" si="1">F10+F11-F12</f>
        <v>13148000</v>
      </c>
      <c r="G13" s="50">
        <f t="shared" si="1"/>
        <v>7734000</v>
      </c>
      <c r="H13" s="245">
        <f t="shared" si="1"/>
        <v>2320000</v>
      </c>
    </row>
    <row r="14" spans="2:11" ht="15.75" x14ac:dyDescent="0.25">
      <c r="B14" s="59" t="s">
        <v>171</v>
      </c>
      <c r="C14" s="39">
        <f>C8+C13</f>
        <v>29390000</v>
      </c>
      <c r="D14" s="39">
        <f t="shared" ref="D14:H14" si="2">D8+D13</f>
        <v>53377597.922875613</v>
      </c>
      <c r="E14" s="39">
        <f t="shared" si="2"/>
        <v>83678053.385489315</v>
      </c>
      <c r="F14" s="39">
        <f t="shared" si="2"/>
        <v>141874688.12703174</v>
      </c>
      <c r="G14" s="39">
        <f t="shared" si="2"/>
        <v>214139505.01891077</v>
      </c>
      <c r="H14" s="246">
        <f t="shared" si="2"/>
        <v>301986884.05967551</v>
      </c>
    </row>
    <row r="15" spans="2:11" ht="15.75" x14ac:dyDescent="0.25">
      <c r="B15" s="48" t="s">
        <v>172</v>
      </c>
      <c r="C15" s="49"/>
      <c r="D15" s="49"/>
      <c r="E15" s="53"/>
      <c r="F15" s="53"/>
      <c r="G15" s="53"/>
      <c r="H15" s="250"/>
    </row>
    <row r="16" spans="2:11" s="44" customFormat="1" ht="15.75" x14ac:dyDescent="0.25">
      <c r="B16" s="47" t="s">
        <v>275</v>
      </c>
      <c r="C16" s="49"/>
      <c r="D16" s="49">
        <f>+'Estado de Resultados'!C13</f>
        <v>11649273.761673382</v>
      </c>
      <c r="E16" s="49">
        <f>+'Estado de Resultados'!D13</f>
        <v>18360044.196890261</v>
      </c>
      <c r="F16" s="49">
        <f>+'Estado de Resultados'!E13</f>
        <v>25263704.049682751</v>
      </c>
      <c r="G16" s="49">
        <f>+'Estado de Resultados'!F13</f>
        <v>32184411.910715472</v>
      </c>
      <c r="H16" s="66">
        <f>+'Estado de Resultados'!G13</f>
        <v>39610491.013988391</v>
      </c>
    </row>
    <row r="17" spans="2:8" ht="15.75" x14ac:dyDescent="0.25">
      <c r="B17" s="47" t="s">
        <v>173</v>
      </c>
      <c r="C17" s="49">
        <f>Financiación!C4</f>
        <v>25000000</v>
      </c>
      <c r="D17" s="49">
        <f>C17-SUM(Financiación!I12:I23)</f>
        <v>13686768.342047188</v>
      </c>
      <c r="E17" s="53">
        <f>D17-SUM(Financiación!I24:I35)</f>
        <v>0</v>
      </c>
      <c r="F17" s="53">
        <v>0</v>
      </c>
      <c r="G17" s="53">
        <v>0</v>
      </c>
      <c r="H17" s="51">
        <v>0</v>
      </c>
    </row>
    <row r="18" spans="2:8" ht="15.75" x14ac:dyDescent="0.25">
      <c r="B18" s="48" t="s">
        <v>174</v>
      </c>
      <c r="C18" s="49">
        <f>SUM(C17:C17)</f>
        <v>25000000</v>
      </c>
      <c r="D18" s="49">
        <f>SUM(D16:D17)</f>
        <v>25336042.103720568</v>
      </c>
      <c r="E18" s="49">
        <f t="shared" ref="E18:H18" si="3">SUM(E16:E17)</f>
        <v>18360044.196890261</v>
      </c>
      <c r="F18" s="49">
        <f t="shared" si="3"/>
        <v>25263704.049682751</v>
      </c>
      <c r="G18" s="49">
        <f t="shared" si="3"/>
        <v>32184411.910715472</v>
      </c>
      <c r="H18" s="66">
        <f t="shared" si="3"/>
        <v>39610491.013988391</v>
      </c>
    </row>
    <row r="19" spans="2:8" ht="15.75" x14ac:dyDescent="0.25">
      <c r="B19" s="48" t="s">
        <v>175</v>
      </c>
      <c r="C19" s="49"/>
      <c r="D19" s="49"/>
      <c r="E19" s="49"/>
      <c r="F19" s="49"/>
      <c r="G19" s="49"/>
      <c r="H19" s="250"/>
    </row>
    <row r="20" spans="2:8" ht="15.75" x14ac:dyDescent="0.25">
      <c r="B20" s="47" t="s">
        <v>176</v>
      </c>
      <c r="C20" s="49">
        <v>0</v>
      </c>
      <c r="D20" s="49">
        <v>0</v>
      </c>
      <c r="E20" s="49">
        <v>0</v>
      </c>
      <c r="F20" s="49">
        <v>0</v>
      </c>
      <c r="G20" s="49">
        <v>0</v>
      </c>
      <c r="H20" s="66">
        <v>0</v>
      </c>
    </row>
    <row r="21" spans="2:8" ht="15.75" x14ac:dyDescent="0.25">
      <c r="B21" s="47" t="s">
        <v>177</v>
      </c>
      <c r="C21" s="49">
        <v>0</v>
      </c>
      <c r="D21" s="49">
        <v>0</v>
      </c>
      <c r="E21" s="49">
        <v>0</v>
      </c>
      <c r="F21" s="49">
        <v>0</v>
      </c>
      <c r="G21" s="49">
        <v>0</v>
      </c>
      <c r="H21" s="66">
        <v>0</v>
      </c>
    </row>
    <row r="22" spans="2:8" ht="15.75" x14ac:dyDescent="0.25">
      <c r="B22" s="47" t="s">
        <v>178</v>
      </c>
      <c r="C22" s="49">
        <v>0</v>
      </c>
      <c r="D22" s="49">
        <v>0</v>
      </c>
      <c r="E22" s="49">
        <v>0</v>
      </c>
      <c r="F22" s="49">
        <v>0</v>
      </c>
      <c r="G22" s="49">
        <v>0</v>
      </c>
      <c r="H22" s="66">
        <v>0</v>
      </c>
    </row>
    <row r="23" spans="2:8" ht="15.75" x14ac:dyDescent="0.25">
      <c r="B23" s="48" t="s">
        <v>179</v>
      </c>
      <c r="C23" s="49">
        <f>SUM(C20:C22)</f>
        <v>0</v>
      </c>
      <c r="D23" s="49">
        <f t="shared" ref="D23:F23" si="4">SUM(D20:D22)</f>
        <v>0</v>
      </c>
      <c r="E23" s="49">
        <f t="shared" si="4"/>
        <v>0</v>
      </c>
      <c r="F23" s="49">
        <f t="shared" si="4"/>
        <v>0</v>
      </c>
      <c r="G23" s="49">
        <v>0</v>
      </c>
      <c r="H23" s="66">
        <v>0</v>
      </c>
    </row>
    <row r="24" spans="2:8" ht="15.75" x14ac:dyDescent="0.25">
      <c r="B24" s="59" t="s">
        <v>180</v>
      </c>
      <c r="C24" s="40">
        <f>C17+C23</f>
        <v>25000000</v>
      </c>
      <c r="D24" s="40">
        <f t="shared" ref="D24:H24" si="5">D18+D23</f>
        <v>25336042.103720568</v>
      </c>
      <c r="E24" s="40">
        <f t="shared" si="5"/>
        <v>18360044.196890261</v>
      </c>
      <c r="F24" s="40">
        <f t="shared" si="5"/>
        <v>25263704.049682751</v>
      </c>
      <c r="G24" s="40">
        <f t="shared" si="5"/>
        <v>32184411.910715472</v>
      </c>
      <c r="H24" s="247">
        <f t="shared" si="5"/>
        <v>39610491.013988391</v>
      </c>
    </row>
    <row r="25" spans="2:8" ht="15.75" x14ac:dyDescent="0.25">
      <c r="B25" s="48" t="s">
        <v>181</v>
      </c>
      <c r="C25" s="49"/>
      <c r="D25" s="49"/>
      <c r="E25" s="53"/>
      <c r="F25" s="53"/>
      <c r="G25" s="53"/>
      <c r="H25" s="250"/>
    </row>
    <row r="26" spans="2:8" ht="15.75" x14ac:dyDescent="0.25">
      <c r="B26" s="47" t="s">
        <v>195</v>
      </c>
      <c r="C26" s="49">
        <f>Financiación!$C$3</f>
        <v>12110500</v>
      </c>
      <c r="D26" s="49">
        <f>Financiación!$C$3</f>
        <v>12110500</v>
      </c>
      <c r="E26" s="49">
        <f>Financiación!$C$3</f>
        <v>12110500</v>
      </c>
      <c r="F26" s="49">
        <f>Financiación!$C$3</f>
        <v>12110500</v>
      </c>
      <c r="G26" s="49">
        <f>Financiación!$C$3</f>
        <v>12110500</v>
      </c>
      <c r="H26" s="66">
        <f>Financiación!$C$3</f>
        <v>12110500</v>
      </c>
    </row>
    <row r="27" spans="2:8" s="44" customFormat="1" ht="15.75" x14ac:dyDescent="0.25">
      <c r="B27" s="47" t="s">
        <v>271</v>
      </c>
      <c r="C27" s="49">
        <v>-7720500</v>
      </c>
      <c r="D27" s="49">
        <f>'Estado de Resultados'!C14+C27</f>
        <v>15931055.819155045</v>
      </c>
      <c r="E27" s="49">
        <f>'Estado de Resultados'!D14+D27</f>
        <v>53207509.188598908</v>
      </c>
      <c r="F27" s="49">
        <f>'Estado de Resultados'!E14+E27</f>
        <v>104500484.07734874</v>
      </c>
      <c r="G27" s="49">
        <f>'Estado de Resultados'!F14+F27</f>
        <v>169844593.1081953</v>
      </c>
      <c r="H27" s="66">
        <f>'Estado de Resultados'!G14+G27</f>
        <v>250265893.0456869</v>
      </c>
    </row>
    <row r="28" spans="2:8" ht="15.75" x14ac:dyDescent="0.25">
      <c r="B28" s="59" t="s">
        <v>182</v>
      </c>
      <c r="C28" s="39">
        <f>SUM(C26:C27)</f>
        <v>4390000</v>
      </c>
      <c r="D28" s="39">
        <f>SUM(D26:D27)</f>
        <v>28041555.819155045</v>
      </c>
      <c r="E28" s="39">
        <f t="shared" ref="E28:H28" si="6">SUM(E26:E27)</f>
        <v>65318009.188598908</v>
      </c>
      <c r="F28" s="39">
        <f t="shared" si="6"/>
        <v>116610984.07734874</v>
      </c>
      <c r="G28" s="39">
        <f t="shared" si="6"/>
        <v>181955093.1081953</v>
      </c>
      <c r="H28" s="246">
        <f t="shared" si="6"/>
        <v>262376393.0456869</v>
      </c>
    </row>
    <row r="29" spans="2:8" ht="16.5" thickBot="1" x14ac:dyDescent="0.3">
      <c r="B29" s="60" t="s">
        <v>183</v>
      </c>
      <c r="C29" s="41">
        <f t="shared" ref="C29:H29" si="7">C24+C28</f>
        <v>29390000</v>
      </c>
      <c r="D29" s="41">
        <f t="shared" si="7"/>
        <v>53377597.922875613</v>
      </c>
      <c r="E29" s="41">
        <f t="shared" si="7"/>
        <v>83678053.385489166</v>
      </c>
      <c r="F29" s="41">
        <f t="shared" si="7"/>
        <v>141874688.12703151</v>
      </c>
      <c r="G29" s="41">
        <f t="shared" si="7"/>
        <v>214139505.01891077</v>
      </c>
      <c r="H29" s="248">
        <f t="shared" si="7"/>
        <v>301986884.05967528</v>
      </c>
    </row>
  </sheetData>
  <mergeCells count="1">
    <mergeCell ref="B2:H3"/>
  </mergeCells>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9"/>
  <sheetViews>
    <sheetView workbookViewId="0">
      <selection activeCell="C13" sqref="C13"/>
    </sheetView>
  </sheetViews>
  <sheetFormatPr baseColWidth="10" defaultRowHeight="15" x14ac:dyDescent="0.25"/>
  <cols>
    <col min="2" max="2" width="35.7109375" bestFit="1" customWidth="1"/>
    <col min="3" max="7" width="15.5703125" bestFit="1" customWidth="1"/>
    <col min="12" max="12" width="14" bestFit="1" customWidth="1"/>
  </cols>
  <sheetData>
    <row r="1" spans="2:12" ht="15.75" thickBot="1" x14ac:dyDescent="0.3"/>
    <row r="2" spans="2:12" x14ac:dyDescent="0.25">
      <c r="B2" s="315" t="s">
        <v>167</v>
      </c>
      <c r="C2" s="321"/>
      <c r="D2" s="321"/>
      <c r="E2" s="321"/>
      <c r="F2" s="321"/>
      <c r="G2" s="322"/>
    </row>
    <row r="3" spans="2:12" ht="15.75" thickBot="1" x14ac:dyDescent="0.3">
      <c r="B3" s="323"/>
      <c r="C3" s="324"/>
      <c r="D3" s="324"/>
      <c r="E3" s="324"/>
      <c r="F3" s="324"/>
      <c r="G3" s="325"/>
    </row>
    <row r="4" spans="2:12" ht="15.75" x14ac:dyDescent="0.25">
      <c r="B4" s="223"/>
      <c r="C4" s="275" t="s">
        <v>296</v>
      </c>
      <c r="D4" s="275" t="s">
        <v>297</v>
      </c>
      <c r="E4" s="275" t="s">
        <v>298</v>
      </c>
      <c r="F4" s="275" t="s">
        <v>299</v>
      </c>
      <c r="G4" s="276" t="s">
        <v>300</v>
      </c>
    </row>
    <row r="5" spans="2:12" ht="15.75" x14ac:dyDescent="0.25">
      <c r="B5" s="59" t="s">
        <v>138</v>
      </c>
      <c r="C5" s="53">
        <f>'Proyección de ventas'!C23</f>
        <v>438165000</v>
      </c>
      <c r="D5" s="53">
        <f>'Proyección de ventas'!D23</f>
        <v>470439579.27959329</v>
      </c>
      <c r="E5" s="53">
        <f>'Proyección de ventas'!E23</f>
        <v>504231075.38019681</v>
      </c>
      <c r="F5" s="53">
        <f>'Proyección de ventas'!F23</f>
        <v>539528293.26915717</v>
      </c>
      <c r="G5" s="51">
        <f>'Proyección de ventas'!G23</f>
        <v>576311093.2034409</v>
      </c>
      <c r="L5" s="2"/>
    </row>
    <row r="6" spans="2:12" ht="15.75" x14ac:dyDescent="0.25">
      <c r="B6" s="59" t="s">
        <v>94</v>
      </c>
      <c r="C6" s="53">
        <f>(Costos!D21*'Proyección de ventas'!C22)</f>
        <v>350532000</v>
      </c>
      <c r="D6" s="53">
        <f>(C6*'Proyección de ventas'!F14)+'Estado de Resultados'!C6</f>
        <v>363277980.85090923</v>
      </c>
      <c r="E6" s="53">
        <f>(D6*'Proyección de ventas'!F15)+'Estado de Resultados'!D6</f>
        <v>376044890.10884959</v>
      </c>
      <c r="F6" s="53">
        <f>(E6*'Proyección de ventas'!F16)+'Estado de Resultados'!E6</f>
        <v>388802383.93528801</v>
      </c>
      <c r="G6" s="51">
        <f>(F6*'Proyección de ventas'!F17)+'Estado de Resultados'!F6</f>
        <v>401519049.5436734</v>
      </c>
    </row>
    <row r="7" spans="2:12" ht="15.75" x14ac:dyDescent="0.25">
      <c r="B7" s="59" t="s">
        <v>139</v>
      </c>
      <c r="C7" s="53">
        <f>C5-C6</f>
        <v>87633000</v>
      </c>
      <c r="D7" s="53">
        <f>D5-D6</f>
        <v>107161598.42868406</v>
      </c>
      <c r="E7" s="53">
        <f t="shared" ref="E7:G7" si="0">E5-E6</f>
        <v>128186185.27134722</v>
      </c>
      <c r="F7" s="53">
        <f t="shared" si="0"/>
        <v>150725909.33386916</v>
      </c>
      <c r="G7" s="51">
        <f t="shared" si="0"/>
        <v>174792043.65976751</v>
      </c>
    </row>
    <row r="8" spans="2:12" ht="15.75" x14ac:dyDescent="0.25">
      <c r="B8" s="59" t="s">
        <v>303</v>
      </c>
      <c r="C8" s="53">
        <f>Costos!D33*12</f>
        <v>43080000</v>
      </c>
      <c r="D8" s="53">
        <f>(C8*'Proyección de ventas'!F14)+'Estado de Resultados'!C8</f>
        <v>44646467.127272747</v>
      </c>
      <c r="E8" s="53">
        <f>(D8*'Proyección de ventas'!F15)+'Estado de Resultados'!D8</f>
        <v>46215506.332914658</v>
      </c>
      <c r="F8" s="53">
        <f>(E8*'Proyección de ventas'!F16)+'Estado de Resultados'!E8</f>
        <v>47783388.39230714</v>
      </c>
      <c r="G8" s="51">
        <f>(F8*'Proyección de ventas'!F17)+'Estado de Resultados'!F8</f>
        <v>49346252.708287545</v>
      </c>
    </row>
    <row r="9" spans="2:12" ht="15.75" x14ac:dyDescent="0.25">
      <c r="B9" s="59" t="s">
        <v>145</v>
      </c>
      <c r="C9" s="53">
        <f>Depreciación!F12</f>
        <v>5414000</v>
      </c>
      <c r="D9" s="53">
        <f>Depreciación!F12</f>
        <v>5414000</v>
      </c>
      <c r="E9" s="53">
        <f>Depreciación!F12</f>
        <v>5414000</v>
      </c>
      <c r="F9" s="53">
        <f>Depreciación!F12</f>
        <v>5414000</v>
      </c>
      <c r="G9" s="51">
        <f>Depreciación!F12</f>
        <v>5414000</v>
      </c>
    </row>
    <row r="10" spans="2:12" ht="15.75" x14ac:dyDescent="0.25">
      <c r="B10" s="59" t="s">
        <v>162</v>
      </c>
      <c r="C10" s="53">
        <f>C7-C8-C9</f>
        <v>39139000</v>
      </c>
      <c r="D10" s="53">
        <f t="shared" ref="D10:G10" si="1">D7-D8-D9</f>
        <v>57101131.301411308</v>
      </c>
      <c r="E10" s="53">
        <f t="shared" si="1"/>
        <v>76556678.938432574</v>
      </c>
      <c r="F10" s="53">
        <f t="shared" si="1"/>
        <v>97528520.941562027</v>
      </c>
      <c r="G10" s="51">
        <f t="shared" si="1"/>
        <v>120031790.95147997</v>
      </c>
    </row>
    <row r="11" spans="2:12" ht="15.75" x14ac:dyDescent="0.25">
      <c r="B11" s="59" t="s">
        <v>161</v>
      </c>
      <c r="C11" s="53">
        <f>SUM(Financiación!H12:H23)</f>
        <v>3838170.4191715722</v>
      </c>
      <c r="D11" s="53">
        <f>SUM(Financiación!H24:H35)</f>
        <v>1464633.73507719</v>
      </c>
      <c r="E11" s="53">
        <v>0</v>
      </c>
      <c r="F11" s="53">
        <v>0</v>
      </c>
      <c r="G11" s="51">
        <v>0</v>
      </c>
    </row>
    <row r="12" spans="2:12" ht="15.75" x14ac:dyDescent="0.25">
      <c r="B12" s="59" t="s">
        <v>165</v>
      </c>
      <c r="C12" s="53">
        <f>C10-C11</f>
        <v>35300829.580828428</v>
      </c>
      <c r="D12" s="53">
        <f t="shared" ref="D12:G12" si="2">D10-D11</f>
        <v>55636497.566334121</v>
      </c>
      <c r="E12" s="53">
        <f t="shared" si="2"/>
        <v>76556678.938432574</v>
      </c>
      <c r="F12" s="53">
        <f t="shared" si="2"/>
        <v>97528520.941562027</v>
      </c>
      <c r="G12" s="51">
        <f t="shared" si="2"/>
        <v>120031790.95147997</v>
      </c>
    </row>
    <row r="13" spans="2:12" ht="15.75" x14ac:dyDescent="0.25">
      <c r="B13" s="59" t="s">
        <v>163</v>
      </c>
      <c r="C13" s="53">
        <f>C12*0.33</f>
        <v>11649273.761673382</v>
      </c>
      <c r="D13" s="53">
        <f t="shared" ref="D13:G13" si="3">D12*0.33</f>
        <v>18360044.196890261</v>
      </c>
      <c r="E13" s="53">
        <f t="shared" si="3"/>
        <v>25263704.049682751</v>
      </c>
      <c r="F13" s="53">
        <f t="shared" si="3"/>
        <v>32184411.910715472</v>
      </c>
      <c r="G13" s="51">
        <f t="shared" si="3"/>
        <v>39610491.013988391</v>
      </c>
    </row>
    <row r="14" spans="2:12" ht="16.5" thickBot="1" x14ac:dyDescent="0.3">
      <c r="B14" s="60" t="s">
        <v>164</v>
      </c>
      <c r="C14" s="55">
        <f>C12-C13</f>
        <v>23651555.819155045</v>
      </c>
      <c r="D14" s="55">
        <f t="shared" ref="D14:G14" si="4">D12-D13</f>
        <v>37276453.369443864</v>
      </c>
      <c r="E14" s="55">
        <f t="shared" si="4"/>
        <v>51292974.888749823</v>
      </c>
      <c r="F14" s="55">
        <f t="shared" si="4"/>
        <v>65344109.030846551</v>
      </c>
      <c r="G14" s="58">
        <f t="shared" si="4"/>
        <v>80421299.937491581</v>
      </c>
    </row>
    <row r="17" spans="3:3" x14ac:dyDescent="0.25">
      <c r="C17" s="42"/>
    </row>
    <row r="19" spans="3:3" x14ac:dyDescent="0.25">
      <c r="C19" s="2"/>
    </row>
  </sheetData>
  <mergeCells count="1">
    <mergeCell ref="B2:G3"/>
  </mergeCells>
  <pageMargins left="0.7" right="0.7" top="0.75" bottom="0.75" header="0.3" footer="0.3"/>
  <pageSetup orientation="portrait" r:id="rId1"/>
  <ignoredErrors>
    <ignoredError sqref="C13:G13"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37"/>
  <sheetViews>
    <sheetView tabSelected="1" topLeftCell="A52" zoomScaleNormal="100" workbookViewId="0">
      <selection activeCell="B133" sqref="B133:O133"/>
    </sheetView>
  </sheetViews>
  <sheetFormatPr baseColWidth="10" defaultRowHeight="15" x14ac:dyDescent="0.25"/>
  <cols>
    <col min="1" max="1" width="0.85546875" customWidth="1"/>
    <col min="2" max="2" width="17.42578125" customWidth="1"/>
    <col min="3" max="13" width="14.140625" bestFit="1" customWidth="1"/>
    <col min="14" max="14" width="17.42578125" bestFit="1" customWidth="1"/>
    <col min="15" max="15" width="14.140625" bestFit="1" customWidth="1"/>
  </cols>
  <sheetData>
    <row r="1" spans="2:15" s="44" customFormat="1" x14ac:dyDescent="0.25"/>
    <row r="2" spans="2:15" x14ac:dyDescent="0.25">
      <c r="B2" s="326" t="s">
        <v>278</v>
      </c>
      <c r="C2" s="327"/>
      <c r="D2" s="327"/>
      <c r="E2" s="327"/>
      <c r="F2" s="327"/>
      <c r="G2" s="327"/>
      <c r="H2" s="327"/>
      <c r="I2" s="327"/>
      <c r="J2" s="327"/>
      <c r="K2" s="327"/>
      <c r="L2" s="327"/>
      <c r="M2" s="327"/>
      <c r="N2" s="327"/>
      <c r="O2" s="327"/>
    </row>
    <row r="3" spans="2:15" x14ac:dyDescent="0.25">
      <c r="B3" s="256"/>
      <c r="C3" s="267" t="s">
        <v>279</v>
      </c>
      <c r="D3" s="267" t="s">
        <v>280</v>
      </c>
      <c r="E3" s="267" t="s">
        <v>281</v>
      </c>
      <c r="F3" s="267" t="s">
        <v>282</v>
      </c>
      <c r="G3" s="267" t="s">
        <v>283</v>
      </c>
      <c r="H3" s="267" t="s">
        <v>284</v>
      </c>
      <c r="I3" s="267" t="s">
        <v>285</v>
      </c>
      <c r="J3" s="267" t="s">
        <v>286</v>
      </c>
      <c r="K3" s="267" t="s">
        <v>287</v>
      </c>
      <c r="L3" s="267" t="s">
        <v>288</v>
      </c>
      <c r="M3" s="267" t="s">
        <v>289</v>
      </c>
      <c r="N3" s="267" t="s">
        <v>290</v>
      </c>
      <c r="O3" s="257" t="s">
        <v>272</v>
      </c>
    </row>
    <row r="4" spans="2:15" x14ac:dyDescent="0.25">
      <c r="B4" s="258" t="s">
        <v>216</v>
      </c>
      <c r="C4" s="259">
        <v>0</v>
      </c>
      <c r="D4" s="260">
        <f>C25</f>
        <v>1998966.4935729683</v>
      </c>
      <c r="E4" s="260">
        <f t="shared" ref="E4:N4" si="0">D25</f>
        <v>3997932.9871459338</v>
      </c>
      <c r="F4" s="260">
        <f t="shared" si="0"/>
        <v>5996899.4807188986</v>
      </c>
      <c r="G4" s="260">
        <f t="shared" si="0"/>
        <v>7995865.9742918639</v>
      </c>
      <c r="H4" s="260">
        <f t="shared" si="0"/>
        <v>9994832.46786483</v>
      </c>
      <c r="I4" s="260">
        <f t="shared" si="0"/>
        <v>11993798.961437795</v>
      </c>
      <c r="J4" s="260">
        <f t="shared" si="0"/>
        <v>13992765.455010761</v>
      </c>
      <c r="K4" s="260">
        <f t="shared" si="0"/>
        <v>15991731.948583726</v>
      </c>
      <c r="L4" s="260">
        <f t="shared" si="0"/>
        <v>17990698.442156687</v>
      </c>
      <c r="M4" s="260">
        <f t="shared" si="0"/>
        <v>19989664.935729653</v>
      </c>
      <c r="N4" s="260">
        <f t="shared" si="0"/>
        <v>21988631.429302618</v>
      </c>
      <c r="O4" s="260">
        <f>C4</f>
        <v>0</v>
      </c>
    </row>
    <row r="5" spans="2:15" x14ac:dyDescent="0.25">
      <c r="B5" s="261" t="s">
        <v>131</v>
      </c>
      <c r="C5" s="251"/>
      <c r="D5" s="251"/>
      <c r="E5" s="251"/>
      <c r="F5" s="251"/>
      <c r="G5" s="251"/>
      <c r="H5" s="251"/>
      <c r="I5" s="251"/>
      <c r="J5" s="251"/>
      <c r="K5" s="251"/>
      <c r="L5" s="251"/>
      <c r="M5" s="251"/>
      <c r="N5" s="251"/>
      <c r="O5" s="251"/>
    </row>
    <row r="6" spans="2:15" ht="30" x14ac:dyDescent="0.25">
      <c r="B6" s="262" t="s">
        <v>208</v>
      </c>
      <c r="C6" s="263">
        <f>'Estado de Resultados'!$C$5/12</f>
        <v>36513750</v>
      </c>
      <c r="D6" s="263">
        <f>'Proyección de ventas'!$C$23/12</f>
        <v>36513750</v>
      </c>
      <c r="E6" s="263">
        <f>'Proyección de ventas'!$C$23/12</f>
        <v>36513750</v>
      </c>
      <c r="F6" s="263">
        <f>'Proyección de ventas'!$C$23/12</f>
        <v>36513750</v>
      </c>
      <c r="G6" s="263">
        <f>'Proyección de ventas'!$C$23/12</f>
        <v>36513750</v>
      </c>
      <c r="H6" s="263">
        <f>'Proyección de ventas'!$C$23/12</f>
        <v>36513750</v>
      </c>
      <c r="I6" s="263">
        <f>'Proyección de ventas'!$C$23/12</f>
        <v>36513750</v>
      </c>
      <c r="J6" s="263">
        <f>'Proyección de ventas'!$C$23/12</f>
        <v>36513750</v>
      </c>
      <c r="K6" s="263">
        <f>'Proyección de ventas'!$C$23/12</f>
        <v>36513750</v>
      </c>
      <c r="L6" s="263">
        <f>'Proyección de ventas'!$C$23/12</f>
        <v>36513750</v>
      </c>
      <c r="M6" s="263">
        <f>'Proyección de ventas'!$C$23/12</f>
        <v>36513750</v>
      </c>
      <c r="N6" s="263">
        <f>'Proyección de ventas'!$C$23/12</f>
        <v>36513750</v>
      </c>
      <c r="O6" s="252">
        <f>SUM(C6:N6)</f>
        <v>438165000</v>
      </c>
    </row>
    <row r="7" spans="2:15" x14ac:dyDescent="0.25">
      <c r="B7" s="258" t="s">
        <v>209</v>
      </c>
      <c r="C7" s="260">
        <f>C4+C6</f>
        <v>36513750</v>
      </c>
      <c r="D7" s="260">
        <f t="shared" ref="D7:O7" si="1">D4+D6</f>
        <v>38512716.493572965</v>
      </c>
      <c r="E7" s="260">
        <f t="shared" si="1"/>
        <v>40511682.987145931</v>
      </c>
      <c r="F7" s="260">
        <f t="shared" si="1"/>
        <v>42510649.480718896</v>
      </c>
      <c r="G7" s="260">
        <f t="shared" si="1"/>
        <v>44509615.974291861</v>
      </c>
      <c r="H7" s="260">
        <f t="shared" si="1"/>
        <v>46508582.467864826</v>
      </c>
      <c r="I7" s="260">
        <f t="shared" si="1"/>
        <v>48507548.961437792</v>
      </c>
      <c r="J7" s="260">
        <f t="shared" si="1"/>
        <v>50506515.455010757</v>
      </c>
      <c r="K7" s="260">
        <f t="shared" si="1"/>
        <v>52505481.948583722</v>
      </c>
      <c r="L7" s="260">
        <f t="shared" si="1"/>
        <v>54504448.442156687</v>
      </c>
      <c r="M7" s="260">
        <f t="shared" si="1"/>
        <v>56503414.935729653</v>
      </c>
      <c r="N7" s="260">
        <f t="shared" si="1"/>
        <v>58502381.429302618</v>
      </c>
      <c r="O7" s="260">
        <f t="shared" si="1"/>
        <v>438165000</v>
      </c>
    </row>
    <row r="8" spans="2:15" x14ac:dyDescent="0.25">
      <c r="B8" s="261" t="s">
        <v>210</v>
      </c>
      <c r="C8" s="251"/>
      <c r="D8" s="251"/>
      <c r="E8" s="251"/>
      <c r="F8" s="251"/>
      <c r="G8" s="251"/>
      <c r="H8" s="251"/>
      <c r="I8" s="251"/>
      <c r="J8" s="251"/>
      <c r="K8" s="251"/>
      <c r="L8" s="251"/>
      <c r="M8" s="251"/>
      <c r="N8" s="251"/>
      <c r="O8" s="251"/>
    </row>
    <row r="9" spans="2:15" ht="30" x14ac:dyDescent="0.25">
      <c r="B9" s="262" t="s">
        <v>217</v>
      </c>
      <c r="C9" s="263">
        <f>'Estado de Resultados'!$C$6/12</f>
        <v>29211000</v>
      </c>
      <c r="D9" s="263">
        <f>'Estado de Resultados'!$C$6/12</f>
        <v>29211000</v>
      </c>
      <c r="E9" s="263">
        <f>'Estado de Resultados'!$C$6/12</f>
        <v>29211000</v>
      </c>
      <c r="F9" s="263">
        <f>'Estado de Resultados'!$C$6/12</f>
        <v>29211000</v>
      </c>
      <c r="G9" s="263">
        <f>'Estado de Resultados'!$C$6/12</f>
        <v>29211000</v>
      </c>
      <c r="H9" s="263">
        <f>'Estado de Resultados'!$C$6/12</f>
        <v>29211000</v>
      </c>
      <c r="I9" s="263">
        <f>'Estado de Resultados'!$C$6/12</f>
        <v>29211000</v>
      </c>
      <c r="J9" s="263">
        <f>'Estado de Resultados'!$C$6/12</f>
        <v>29211000</v>
      </c>
      <c r="K9" s="263">
        <f>'Estado de Resultados'!$C$6/12</f>
        <v>29211000</v>
      </c>
      <c r="L9" s="263">
        <f>'Estado de Resultados'!$C$6/12</f>
        <v>29211000</v>
      </c>
      <c r="M9" s="263">
        <f>'Estado de Resultados'!$C$6/12</f>
        <v>29211000</v>
      </c>
      <c r="N9" s="263">
        <f>'Estado de Resultados'!$C$6/12</f>
        <v>29211000</v>
      </c>
      <c r="O9" s="252">
        <f>SUM(C9:N9)</f>
        <v>350532000</v>
      </c>
    </row>
    <row r="10" spans="2:15" ht="30" x14ac:dyDescent="0.25">
      <c r="B10" s="262" t="s">
        <v>218</v>
      </c>
      <c r="C10" s="263">
        <f>(Costos!$D$29+Costos!$D$30)</f>
        <v>2400000</v>
      </c>
      <c r="D10" s="263">
        <f>(Costos!$D$29+Costos!$D$30)</f>
        <v>2400000</v>
      </c>
      <c r="E10" s="263">
        <f>(Costos!$D$29+Costos!$D$30)</f>
        <v>2400000</v>
      </c>
      <c r="F10" s="263">
        <f>(Costos!$D$29+Costos!$D$30)</f>
        <v>2400000</v>
      </c>
      <c r="G10" s="263">
        <f>(Costos!$D$29+Costos!$D$30)</f>
        <v>2400000</v>
      </c>
      <c r="H10" s="263">
        <f>(Costos!$D$29+Costos!$D$30)</f>
        <v>2400000</v>
      </c>
      <c r="I10" s="263">
        <f>(Costos!$D$29+Costos!$D$30)</f>
        <v>2400000</v>
      </c>
      <c r="J10" s="263">
        <f>(Costos!$D$29+Costos!$D$30)</f>
        <v>2400000</v>
      </c>
      <c r="K10" s="263">
        <f>(Costos!$D$29+Costos!$D$30)</f>
        <v>2400000</v>
      </c>
      <c r="L10" s="263">
        <f>(Costos!$D$29+Costos!$D$30)</f>
        <v>2400000</v>
      </c>
      <c r="M10" s="263">
        <f>(Costos!$D$29+Costos!$D$30)</f>
        <v>2400000</v>
      </c>
      <c r="N10" s="263">
        <f>(Costos!$D$29+Costos!$D$30)</f>
        <v>2400000</v>
      </c>
      <c r="O10" s="252">
        <f t="shared" ref="O10:O14" si="2">SUM(C10:N10)</f>
        <v>28800000</v>
      </c>
    </row>
    <row r="11" spans="2:15" ht="30" x14ac:dyDescent="0.25">
      <c r="B11" s="262" t="s">
        <v>211</v>
      </c>
      <c r="C11" s="263"/>
      <c r="D11" s="263"/>
      <c r="E11" s="263"/>
      <c r="F11" s="263"/>
      <c r="G11" s="263"/>
      <c r="H11" s="263"/>
      <c r="I11" s="263"/>
      <c r="J11" s="263"/>
      <c r="K11" s="263"/>
      <c r="L11" s="263"/>
      <c r="M11" s="263"/>
      <c r="N11" s="263"/>
      <c r="O11" s="252">
        <f t="shared" si="2"/>
        <v>0</v>
      </c>
    </row>
    <row r="12" spans="2:15" ht="30" x14ac:dyDescent="0.25">
      <c r="B12" s="262" t="s">
        <v>220</v>
      </c>
      <c r="C12" s="263">
        <f>Costos!$D$26+Costos!$D$27+Costos!$D$28</f>
        <v>210000</v>
      </c>
      <c r="D12" s="263">
        <f>Costos!$D$26+Costos!$D$27+Costos!$D$28</f>
        <v>210000</v>
      </c>
      <c r="E12" s="263">
        <f>Costos!$D$26+Costos!$D$27+Costos!$D$28</f>
        <v>210000</v>
      </c>
      <c r="F12" s="263">
        <f>Costos!$D$26+Costos!$D$27+Costos!$D$28</f>
        <v>210000</v>
      </c>
      <c r="G12" s="263">
        <f>Costos!$D$26+Costos!$D$27+Costos!$D$28</f>
        <v>210000</v>
      </c>
      <c r="H12" s="263">
        <f>Costos!$D$26+Costos!$D$27+Costos!$D$28</f>
        <v>210000</v>
      </c>
      <c r="I12" s="263">
        <f>Costos!$D$26+Costos!$D$27+Costos!$D$28</f>
        <v>210000</v>
      </c>
      <c r="J12" s="263">
        <f>Costos!$D$26+Costos!$D$27+Costos!$D$28</f>
        <v>210000</v>
      </c>
      <c r="K12" s="263">
        <f>Costos!$D$26+Costos!$D$27+Costos!$D$28</f>
        <v>210000</v>
      </c>
      <c r="L12" s="263">
        <f>Costos!$D$26+Costos!$D$27+Costos!$D$28</f>
        <v>210000</v>
      </c>
      <c r="M12" s="263">
        <f>Costos!$D$26+Costos!$D$27+Costos!$D$28</f>
        <v>210000</v>
      </c>
      <c r="N12" s="263">
        <f>Costos!$D$26+Costos!$D$27+Costos!$D$28</f>
        <v>210000</v>
      </c>
      <c r="O12" s="252">
        <f t="shared" si="2"/>
        <v>2520000</v>
      </c>
    </row>
    <row r="13" spans="2:15" ht="30" x14ac:dyDescent="0.25">
      <c r="B13" s="262" t="s">
        <v>212</v>
      </c>
      <c r="C13" s="263">
        <f>Costos!$D$32</f>
        <v>900000</v>
      </c>
      <c r="D13" s="263">
        <f>Costos!$D$32</f>
        <v>900000</v>
      </c>
      <c r="E13" s="263">
        <f>Costos!$D$32</f>
        <v>900000</v>
      </c>
      <c r="F13" s="263">
        <f>Costos!$D$32</f>
        <v>900000</v>
      </c>
      <c r="G13" s="263">
        <f>Costos!$D$32</f>
        <v>900000</v>
      </c>
      <c r="H13" s="263">
        <f>Costos!$D$32</f>
        <v>900000</v>
      </c>
      <c r="I13" s="263">
        <f>Costos!$D$32</f>
        <v>900000</v>
      </c>
      <c r="J13" s="263">
        <f>Costos!$D$32</f>
        <v>900000</v>
      </c>
      <c r="K13" s="263">
        <f>Costos!$D$32</f>
        <v>900000</v>
      </c>
      <c r="L13" s="263">
        <f>Costos!$D$32</f>
        <v>900000</v>
      </c>
      <c r="M13" s="263">
        <f>Costos!$D$32</f>
        <v>900000</v>
      </c>
      <c r="N13" s="263">
        <f>Costos!$D$32</f>
        <v>900000</v>
      </c>
      <c r="O13" s="252">
        <f t="shared" si="2"/>
        <v>10800000</v>
      </c>
    </row>
    <row r="14" spans="2:15" ht="45" x14ac:dyDescent="0.25">
      <c r="B14" s="262" t="s">
        <v>219</v>
      </c>
      <c r="C14" s="263">
        <f>Costos!$D$31</f>
        <v>80000</v>
      </c>
      <c r="D14" s="263">
        <f>Costos!$D$31</f>
        <v>80000</v>
      </c>
      <c r="E14" s="263">
        <f>Costos!$D$31</f>
        <v>80000</v>
      </c>
      <c r="F14" s="263">
        <f>Costos!$D$31</f>
        <v>80000</v>
      </c>
      <c r="G14" s="263">
        <f>Costos!$D$31</f>
        <v>80000</v>
      </c>
      <c r="H14" s="263">
        <f>Costos!$D$31</f>
        <v>80000</v>
      </c>
      <c r="I14" s="263">
        <f>Costos!$D$31</f>
        <v>80000</v>
      </c>
      <c r="J14" s="263">
        <f>Costos!$D$31</f>
        <v>80000</v>
      </c>
      <c r="K14" s="263">
        <f>Costos!$D$31</f>
        <v>80000</v>
      </c>
      <c r="L14" s="263">
        <f>Costos!$D$31</f>
        <v>80000</v>
      </c>
      <c r="M14" s="263">
        <f>Costos!$D$31</f>
        <v>80000</v>
      </c>
      <c r="N14" s="263">
        <f>Costos!$D$31</f>
        <v>80000</v>
      </c>
      <c r="O14" s="252">
        <f t="shared" si="2"/>
        <v>960000</v>
      </c>
    </row>
    <row r="15" spans="2:15" x14ac:dyDescent="0.25">
      <c r="B15" s="258" t="s">
        <v>213</v>
      </c>
      <c r="C15" s="260">
        <f t="shared" ref="C15:O15" si="3">SUM(C9:C14)</f>
        <v>32801000</v>
      </c>
      <c r="D15" s="260">
        <f t="shared" si="3"/>
        <v>32801000</v>
      </c>
      <c r="E15" s="260">
        <f t="shared" si="3"/>
        <v>32801000</v>
      </c>
      <c r="F15" s="260">
        <f t="shared" si="3"/>
        <v>32801000</v>
      </c>
      <c r="G15" s="260">
        <f t="shared" si="3"/>
        <v>32801000</v>
      </c>
      <c r="H15" s="260">
        <f t="shared" si="3"/>
        <v>32801000</v>
      </c>
      <c r="I15" s="260">
        <f t="shared" si="3"/>
        <v>32801000</v>
      </c>
      <c r="J15" s="260">
        <f t="shared" si="3"/>
        <v>32801000</v>
      </c>
      <c r="K15" s="260">
        <f t="shared" si="3"/>
        <v>32801000</v>
      </c>
      <c r="L15" s="260">
        <f t="shared" si="3"/>
        <v>32801000</v>
      </c>
      <c r="M15" s="260">
        <f t="shared" si="3"/>
        <v>32801000</v>
      </c>
      <c r="N15" s="260">
        <f t="shared" si="3"/>
        <v>32801000</v>
      </c>
      <c r="O15" s="260">
        <f t="shared" si="3"/>
        <v>393612000</v>
      </c>
    </row>
    <row r="16" spans="2:15" ht="30" x14ac:dyDescent="0.25">
      <c r="B16" s="264" t="s">
        <v>221</v>
      </c>
      <c r="C16" s="265">
        <f t="shared" ref="C16:O16" si="4">C7-C15</f>
        <v>3712750</v>
      </c>
      <c r="D16" s="265">
        <f t="shared" si="4"/>
        <v>5711716.4935729653</v>
      </c>
      <c r="E16" s="265">
        <f t="shared" si="4"/>
        <v>7710682.9871459305</v>
      </c>
      <c r="F16" s="265">
        <f t="shared" si="4"/>
        <v>9709649.4807188958</v>
      </c>
      <c r="G16" s="265">
        <f t="shared" si="4"/>
        <v>11708615.974291861</v>
      </c>
      <c r="H16" s="265">
        <f t="shared" si="4"/>
        <v>13707582.467864826</v>
      </c>
      <c r="I16" s="265">
        <f t="shared" si="4"/>
        <v>15706548.961437792</v>
      </c>
      <c r="J16" s="265">
        <f t="shared" si="4"/>
        <v>17705515.455010757</v>
      </c>
      <c r="K16" s="265">
        <f t="shared" si="4"/>
        <v>19704481.948583722</v>
      </c>
      <c r="L16" s="265">
        <f t="shared" si="4"/>
        <v>21703448.442156687</v>
      </c>
      <c r="M16" s="265">
        <f t="shared" si="4"/>
        <v>23702414.935729653</v>
      </c>
      <c r="N16" s="265">
        <f t="shared" si="4"/>
        <v>25701381.429302618</v>
      </c>
      <c r="O16" s="265">
        <f t="shared" si="4"/>
        <v>44553000</v>
      </c>
    </row>
    <row r="17" spans="2:15" x14ac:dyDescent="0.25">
      <c r="B17" s="262" t="s">
        <v>80</v>
      </c>
      <c r="C17" s="251"/>
      <c r="D17" s="251"/>
      <c r="E17" s="251"/>
      <c r="F17" s="251"/>
      <c r="G17" s="251"/>
      <c r="H17" s="251"/>
      <c r="I17" s="251"/>
      <c r="J17" s="251"/>
      <c r="K17" s="251"/>
      <c r="L17" s="251"/>
      <c r="M17" s="251"/>
      <c r="N17" s="251"/>
      <c r="O17" s="251"/>
    </row>
    <row r="18" spans="2:15" s="44" customFormat="1" x14ac:dyDescent="0.25">
      <c r="B18" s="262" t="s">
        <v>273</v>
      </c>
      <c r="C18" s="253">
        <v>862666.8397603652</v>
      </c>
      <c r="D18" s="263">
        <v>876467.78386285156</v>
      </c>
      <c r="E18" s="263">
        <v>890489.5154690895</v>
      </c>
      <c r="F18" s="263">
        <v>904735.56673756405</v>
      </c>
      <c r="G18" s="263">
        <v>919209.52633423149</v>
      </c>
      <c r="H18" s="263">
        <v>933915.04033652646</v>
      </c>
      <c r="I18" s="263">
        <v>948855.81315183034</v>
      </c>
      <c r="J18" s="263">
        <v>964035.60845063324</v>
      </c>
      <c r="K18" s="263">
        <v>979458.25011462648</v>
      </c>
      <c r="L18" s="263">
        <v>995127.62319996022</v>
      </c>
      <c r="M18" s="263">
        <v>1011047.6749159133</v>
      </c>
      <c r="N18" s="263">
        <v>1027222.415619218</v>
      </c>
      <c r="O18" s="253">
        <f t="shared" ref="O18:O24" si="5">SUM(C18:N18)</f>
        <v>11313231.657952812</v>
      </c>
    </row>
    <row r="19" spans="2:15" x14ac:dyDescent="0.25">
      <c r="B19" s="262" t="s">
        <v>274</v>
      </c>
      <c r="C19" s="263">
        <v>399949.99999999994</v>
      </c>
      <c r="D19" s="263">
        <v>386149.05589751364</v>
      </c>
      <c r="E19" s="263">
        <v>372127.3242912757</v>
      </c>
      <c r="F19" s="263">
        <v>357881.27302280121</v>
      </c>
      <c r="G19" s="263">
        <v>343407.31342613371</v>
      </c>
      <c r="H19" s="263">
        <v>328701.79942383867</v>
      </c>
      <c r="I19" s="263">
        <v>313761.02660853491</v>
      </c>
      <c r="J19" s="263">
        <v>298581.23130973196</v>
      </c>
      <c r="K19" s="263">
        <v>283158.58964573877</v>
      </c>
      <c r="L19" s="263">
        <v>267489.21656040498</v>
      </c>
      <c r="M19" s="263">
        <v>251569.164844452</v>
      </c>
      <c r="N19" s="263">
        <v>235394.4241411472</v>
      </c>
      <c r="O19" s="252">
        <f t="shared" si="5"/>
        <v>3838170.4191715722</v>
      </c>
    </row>
    <row r="20" spans="2:15" ht="30" x14ac:dyDescent="0.25">
      <c r="B20" s="258" t="s">
        <v>214</v>
      </c>
      <c r="C20" s="260">
        <f>C18+C19</f>
        <v>1262616.8397603652</v>
      </c>
      <c r="D20" s="260">
        <f t="shared" ref="D20:N20" si="6">D18+D19</f>
        <v>1262616.8397603652</v>
      </c>
      <c r="E20" s="260">
        <f t="shared" si="6"/>
        <v>1262616.8397603652</v>
      </c>
      <c r="F20" s="260">
        <f t="shared" si="6"/>
        <v>1262616.8397603652</v>
      </c>
      <c r="G20" s="260">
        <f t="shared" si="6"/>
        <v>1262616.8397603652</v>
      </c>
      <c r="H20" s="260">
        <f t="shared" si="6"/>
        <v>1262616.8397603652</v>
      </c>
      <c r="I20" s="260">
        <f t="shared" si="6"/>
        <v>1262616.8397603652</v>
      </c>
      <c r="J20" s="260">
        <f t="shared" si="6"/>
        <v>1262616.8397603652</v>
      </c>
      <c r="K20" s="260">
        <f t="shared" si="6"/>
        <v>1262616.8397603652</v>
      </c>
      <c r="L20" s="260">
        <f t="shared" si="6"/>
        <v>1262616.8397603652</v>
      </c>
      <c r="M20" s="260">
        <f t="shared" si="6"/>
        <v>1262616.8397603652</v>
      </c>
      <c r="N20" s="260">
        <f t="shared" si="6"/>
        <v>1262616.8397603652</v>
      </c>
      <c r="O20" s="260">
        <f>O18+O19</f>
        <v>15151402.077124383</v>
      </c>
    </row>
    <row r="21" spans="2:15" ht="30" x14ac:dyDescent="0.25">
      <c r="B21" s="264" t="s">
        <v>215</v>
      </c>
      <c r="C21" s="265">
        <f t="shared" ref="C21:O21" si="7">C16-C20</f>
        <v>2450133.160239635</v>
      </c>
      <c r="D21" s="265">
        <f t="shared" si="7"/>
        <v>4449099.6538126003</v>
      </c>
      <c r="E21" s="265">
        <f t="shared" si="7"/>
        <v>6448066.1473855656</v>
      </c>
      <c r="F21" s="265">
        <f t="shared" si="7"/>
        <v>8447032.6409585308</v>
      </c>
      <c r="G21" s="265">
        <f t="shared" si="7"/>
        <v>10445999.134531496</v>
      </c>
      <c r="H21" s="265">
        <f t="shared" si="7"/>
        <v>12444965.628104461</v>
      </c>
      <c r="I21" s="265">
        <f t="shared" si="7"/>
        <v>14443932.121677427</v>
      </c>
      <c r="J21" s="265">
        <f t="shared" si="7"/>
        <v>16442898.615250392</v>
      </c>
      <c r="K21" s="265">
        <f t="shared" si="7"/>
        <v>18441865.108823355</v>
      </c>
      <c r="L21" s="265">
        <f t="shared" si="7"/>
        <v>20440831.602396321</v>
      </c>
      <c r="M21" s="265">
        <f t="shared" si="7"/>
        <v>22439798.095969286</v>
      </c>
      <c r="N21" s="265">
        <f t="shared" si="7"/>
        <v>24438764.589542251</v>
      </c>
      <c r="O21" s="265">
        <f t="shared" si="7"/>
        <v>29401597.922875617</v>
      </c>
    </row>
    <row r="22" spans="2:15" x14ac:dyDescent="0.25">
      <c r="B22" s="262" t="s">
        <v>146</v>
      </c>
      <c r="C22" s="263"/>
      <c r="D22" s="263"/>
      <c r="E22" s="263"/>
      <c r="F22" s="263"/>
      <c r="G22" s="263"/>
      <c r="H22" s="263"/>
      <c r="I22" s="263"/>
      <c r="J22" s="263"/>
      <c r="K22" s="263"/>
      <c r="L22" s="263"/>
      <c r="M22" s="263"/>
      <c r="N22" s="263"/>
      <c r="O22" s="251"/>
    </row>
    <row r="23" spans="2:15" ht="30" x14ac:dyDescent="0.25">
      <c r="B23" s="258" t="s">
        <v>222</v>
      </c>
      <c r="C23" s="259">
        <f>'Estado de Resultados'!$C$9/12</f>
        <v>451166.66666666669</v>
      </c>
      <c r="D23" s="259">
        <f>'Estado de Resultados'!$C$9/12</f>
        <v>451166.66666666669</v>
      </c>
      <c r="E23" s="259">
        <f>'Estado de Resultados'!$C$9/12</f>
        <v>451166.66666666669</v>
      </c>
      <c r="F23" s="259">
        <f>'Estado de Resultados'!$C$9/12</f>
        <v>451166.66666666669</v>
      </c>
      <c r="G23" s="259">
        <f>'Estado de Resultados'!$C$9/12</f>
        <v>451166.66666666669</v>
      </c>
      <c r="H23" s="259">
        <f>'Estado de Resultados'!$C$9/12</f>
        <v>451166.66666666669</v>
      </c>
      <c r="I23" s="259">
        <f>'Estado de Resultados'!$C$9/12</f>
        <v>451166.66666666669</v>
      </c>
      <c r="J23" s="259">
        <f>'Estado de Resultados'!$C$9/12</f>
        <v>451166.66666666669</v>
      </c>
      <c r="K23" s="259">
        <f>'Estado de Resultados'!$C$9/12</f>
        <v>451166.66666666669</v>
      </c>
      <c r="L23" s="259">
        <f>'Estado de Resultados'!$C$9/12</f>
        <v>451166.66666666669</v>
      </c>
      <c r="M23" s="259">
        <f>'Estado de Resultados'!$C$9/12</f>
        <v>451166.66666666669</v>
      </c>
      <c r="N23" s="259">
        <f>'Estado de Resultados'!$C$9/12</f>
        <v>451166.66666666669</v>
      </c>
      <c r="O23" s="252">
        <f t="shared" si="5"/>
        <v>5414000</v>
      </c>
    </row>
    <row r="24" spans="2:15" x14ac:dyDescent="0.25">
      <c r="B24" s="262" t="s">
        <v>276</v>
      </c>
      <c r="C24" s="251"/>
      <c r="D24" s="251"/>
      <c r="E24" s="251"/>
      <c r="F24" s="251"/>
      <c r="G24" s="251"/>
      <c r="H24" s="251"/>
      <c r="I24" s="251"/>
      <c r="J24" s="251"/>
      <c r="K24" s="251"/>
      <c r="L24" s="251"/>
      <c r="M24" s="251"/>
      <c r="N24" s="253">
        <v>11649273.761673378</v>
      </c>
      <c r="O24" s="252">
        <f t="shared" si="5"/>
        <v>11649273.761673378</v>
      </c>
    </row>
    <row r="25" spans="2:15" ht="15.75" thickBot="1" x14ac:dyDescent="0.3">
      <c r="B25" s="272" t="s">
        <v>223</v>
      </c>
      <c r="C25" s="273">
        <f t="shared" ref="C25:O25" si="8">C21-C23</f>
        <v>1998966.4935729683</v>
      </c>
      <c r="D25" s="273">
        <f t="shared" si="8"/>
        <v>3997932.9871459338</v>
      </c>
      <c r="E25" s="273">
        <f t="shared" si="8"/>
        <v>5996899.4807188986</v>
      </c>
      <c r="F25" s="273">
        <f t="shared" si="8"/>
        <v>7995865.9742918639</v>
      </c>
      <c r="G25" s="273">
        <f t="shared" si="8"/>
        <v>9994832.46786483</v>
      </c>
      <c r="H25" s="273">
        <f t="shared" si="8"/>
        <v>11993798.961437795</v>
      </c>
      <c r="I25" s="273">
        <f t="shared" si="8"/>
        <v>13992765.455010761</v>
      </c>
      <c r="J25" s="273">
        <f t="shared" si="8"/>
        <v>15991731.948583726</v>
      </c>
      <c r="K25" s="273">
        <f t="shared" si="8"/>
        <v>17990698.442156687</v>
      </c>
      <c r="L25" s="273">
        <f t="shared" si="8"/>
        <v>19989664.935729653</v>
      </c>
      <c r="M25" s="273">
        <f t="shared" si="8"/>
        <v>21988631.429302618</v>
      </c>
      <c r="N25" s="274">
        <f t="shared" si="8"/>
        <v>23987597.922875583</v>
      </c>
      <c r="O25" s="274">
        <f t="shared" si="8"/>
        <v>23987597.922875617</v>
      </c>
    </row>
    <row r="26" spans="2:15" ht="15.75" thickBot="1" x14ac:dyDescent="0.3">
      <c r="B26" s="96"/>
      <c r="C26" s="96"/>
      <c r="D26" s="96"/>
      <c r="E26" s="96"/>
      <c r="F26" s="96"/>
      <c r="G26" s="96"/>
      <c r="H26" s="96"/>
      <c r="I26" s="96"/>
      <c r="J26" s="96"/>
      <c r="K26" s="96"/>
      <c r="L26" s="96"/>
      <c r="M26" s="96"/>
      <c r="N26" s="255" t="s">
        <v>277</v>
      </c>
      <c r="O26" s="254">
        <f>+O6-O9-O10-O12-O13-O14-O19-O23-O24</f>
        <v>23651555.819155052</v>
      </c>
    </row>
    <row r="27" spans="2:15" x14ac:dyDescent="0.25">
      <c r="B27" s="96"/>
      <c r="C27" s="96"/>
      <c r="D27" s="96"/>
      <c r="E27" s="96"/>
      <c r="F27" s="96"/>
      <c r="G27" s="96"/>
      <c r="H27" s="96"/>
      <c r="I27" s="96"/>
      <c r="J27" s="96"/>
      <c r="K27" s="96"/>
      <c r="L27" s="96"/>
      <c r="M27" s="96"/>
      <c r="N27" s="96"/>
      <c r="O27" s="96"/>
    </row>
    <row r="28" spans="2:15" x14ac:dyDescent="0.25">
      <c r="B28" s="96"/>
      <c r="C28" s="96"/>
      <c r="D28" s="96"/>
      <c r="E28" s="96"/>
      <c r="F28" s="96"/>
      <c r="G28" s="96"/>
      <c r="H28" s="96"/>
      <c r="I28" s="96"/>
      <c r="J28" s="96"/>
      <c r="K28" s="96"/>
      <c r="L28" s="96"/>
      <c r="M28" s="96"/>
      <c r="N28" s="96"/>
      <c r="O28" s="96"/>
    </row>
    <row r="29" spans="2:15" x14ac:dyDescent="0.25">
      <c r="B29" s="326" t="s">
        <v>291</v>
      </c>
      <c r="C29" s="327"/>
      <c r="D29" s="327"/>
      <c r="E29" s="327"/>
      <c r="F29" s="327"/>
      <c r="G29" s="327"/>
      <c r="H29" s="327"/>
      <c r="I29" s="327"/>
      <c r="J29" s="327"/>
      <c r="K29" s="327"/>
      <c r="L29" s="327"/>
      <c r="M29" s="327"/>
      <c r="N29" s="327"/>
      <c r="O29" s="327"/>
    </row>
    <row r="30" spans="2:15" x14ac:dyDescent="0.25">
      <c r="B30" s="256"/>
      <c r="C30" s="267" t="s">
        <v>292</v>
      </c>
      <c r="D30" s="267" t="s">
        <v>280</v>
      </c>
      <c r="E30" s="267" t="s">
        <v>281</v>
      </c>
      <c r="F30" s="267" t="s">
        <v>282</v>
      </c>
      <c r="G30" s="267" t="s">
        <v>283</v>
      </c>
      <c r="H30" s="267" t="s">
        <v>284</v>
      </c>
      <c r="I30" s="267" t="s">
        <v>285</v>
      </c>
      <c r="J30" s="267" t="s">
        <v>286</v>
      </c>
      <c r="K30" s="267" t="s">
        <v>287</v>
      </c>
      <c r="L30" s="267" t="s">
        <v>288</v>
      </c>
      <c r="M30" s="267" t="s">
        <v>289</v>
      </c>
      <c r="N30" s="267" t="s">
        <v>290</v>
      </c>
      <c r="O30" s="257" t="s">
        <v>272</v>
      </c>
    </row>
    <row r="31" spans="2:15" x14ac:dyDescent="0.25">
      <c r="B31" s="258" t="s">
        <v>216</v>
      </c>
      <c r="C31" s="259">
        <f>O21</f>
        <v>29401597.922875617</v>
      </c>
      <c r="D31" s="260">
        <f>C52</f>
        <v>32897408.691566192</v>
      </c>
      <c r="E31" s="260">
        <f t="shared" ref="E31" si="9">D52</f>
        <v>36393219.46025677</v>
      </c>
      <c r="F31" s="260">
        <f t="shared" ref="F31" si="10">E52</f>
        <v>39889030.228947356</v>
      </c>
      <c r="G31" s="260">
        <f t="shared" ref="G31" si="11">F52</f>
        <v>43384840.997637942</v>
      </c>
      <c r="H31" s="260">
        <f t="shared" ref="H31" si="12">G52</f>
        <v>46880651.766328529</v>
      </c>
      <c r="I31" s="260">
        <f t="shared" ref="I31" si="13">H52</f>
        <v>50376462.535019115</v>
      </c>
      <c r="J31" s="260">
        <f t="shared" ref="J31" si="14">I52</f>
        <v>53872273.303709701</v>
      </c>
      <c r="K31" s="260">
        <f t="shared" ref="K31" si="15">J52</f>
        <v>57368084.072400287</v>
      </c>
      <c r="L31" s="260">
        <f t="shared" ref="L31" si="16">K52</f>
        <v>60863894.841090873</v>
      </c>
      <c r="M31" s="260">
        <f t="shared" ref="M31" si="17">L52</f>
        <v>64359705.609781459</v>
      </c>
      <c r="N31" s="260">
        <f t="shared" ref="N31" si="18">M52</f>
        <v>67855516.378472045</v>
      </c>
      <c r="O31" s="260">
        <f>C31</f>
        <v>29401597.922875617</v>
      </c>
    </row>
    <row r="32" spans="2:15" x14ac:dyDescent="0.25">
      <c r="B32" s="261" t="s">
        <v>131</v>
      </c>
      <c r="C32" s="251"/>
      <c r="D32" s="251"/>
      <c r="E32" s="251"/>
      <c r="F32" s="251"/>
      <c r="G32" s="251"/>
      <c r="H32" s="251"/>
      <c r="I32" s="251"/>
      <c r="J32" s="251"/>
      <c r="K32" s="251"/>
      <c r="L32" s="251"/>
      <c r="M32" s="251"/>
      <c r="N32" s="251"/>
      <c r="O32" s="251"/>
    </row>
    <row r="33" spans="2:15" x14ac:dyDescent="0.25">
      <c r="B33" s="262" t="s">
        <v>208</v>
      </c>
      <c r="C33" s="263">
        <f>'Estado de Resultados'!$D$5/12</f>
        <v>39203298.273299441</v>
      </c>
      <c r="D33" s="263">
        <f>'Estado de Resultados'!$D$5/12</f>
        <v>39203298.273299441</v>
      </c>
      <c r="E33" s="263">
        <f>'Estado de Resultados'!$D$5/12</f>
        <v>39203298.273299441</v>
      </c>
      <c r="F33" s="263">
        <f>'Estado de Resultados'!$D$5/12</f>
        <v>39203298.273299441</v>
      </c>
      <c r="G33" s="263">
        <f>'Estado de Resultados'!$D$5/12</f>
        <v>39203298.273299441</v>
      </c>
      <c r="H33" s="263">
        <f>'Estado de Resultados'!$D$5/12</f>
        <v>39203298.273299441</v>
      </c>
      <c r="I33" s="263">
        <f>'Estado de Resultados'!$D$5/12</f>
        <v>39203298.273299441</v>
      </c>
      <c r="J33" s="263">
        <f>'Estado de Resultados'!$D$5/12</f>
        <v>39203298.273299441</v>
      </c>
      <c r="K33" s="263">
        <f>'Estado de Resultados'!$D$5/12</f>
        <v>39203298.273299441</v>
      </c>
      <c r="L33" s="263">
        <f>'Estado de Resultados'!$D$5/12</f>
        <v>39203298.273299441</v>
      </c>
      <c r="M33" s="263">
        <f>'Estado de Resultados'!$D$5/12</f>
        <v>39203298.273299441</v>
      </c>
      <c r="N33" s="263">
        <f>'Estado de Resultados'!$D$5/12</f>
        <v>39203298.273299441</v>
      </c>
      <c r="O33" s="252">
        <f>SUM(C33:N33)</f>
        <v>470439579.27959341</v>
      </c>
    </row>
    <row r="34" spans="2:15" x14ac:dyDescent="0.25">
      <c r="B34" s="258" t="s">
        <v>209</v>
      </c>
      <c r="C34" s="260">
        <f>C31+C33</f>
        <v>68604896.196175054</v>
      </c>
      <c r="D34" s="260">
        <f t="shared" ref="D34:O34" si="19">D31+D33</f>
        <v>72100706.964865625</v>
      </c>
      <c r="E34" s="260">
        <f t="shared" si="19"/>
        <v>75596517.733556211</v>
      </c>
      <c r="F34" s="260">
        <f t="shared" si="19"/>
        <v>79092328.502246797</v>
      </c>
      <c r="G34" s="260">
        <f t="shared" si="19"/>
        <v>82588139.270937383</v>
      </c>
      <c r="H34" s="260">
        <f t="shared" si="19"/>
        <v>86083950.039627969</v>
      </c>
      <c r="I34" s="260">
        <f t="shared" si="19"/>
        <v>89579760.808318555</v>
      </c>
      <c r="J34" s="260">
        <f t="shared" si="19"/>
        <v>93075571.577009141</v>
      </c>
      <c r="K34" s="260">
        <f t="shared" si="19"/>
        <v>96571382.345699728</v>
      </c>
      <c r="L34" s="260">
        <f t="shared" si="19"/>
        <v>100067193.11439031</v>
      </c>
      <c r="M34" s="260">
        <f t="shared" si="19"/>
        <v>103563003.8830809</v>
      </c>
      <c r="N34" s="260">
        <f t="shared" si="19"/>
        <v>107058814.65177149</v>
      </c>
      <c r="O34" s="260">
        <f t="shared" si="19"/>
        <v>499841177.20246905</v>
      </c>
    </row>
    <row r="35" spans="2:15" x14ac:dyDescent="0.25">
      <c r="B35" s="261" t="s">
        <v>210</v>
      </c>
      <c r="C35" s="251"/>
      <c r="D35" s="251"/>
      <c r="E35" s="251"/>
      <c r="F35" s="251"/>
      <c r="G35" s="251"/>
      <c r="H35" s="251"/>
      <c r="I35" s="251"/>
      <c r="J35" s="251"/>
      <c r="K35" s="251"/>
      <c r="L35" s="251"/>
      <c r="M35" s="251"/>
      <c r="N35" s="251"/>
      <c r="O35" s="251"/>
    </row>
    <row r="36" spans="2:15" ht="30" x14ac:dyDescent="0.25">
      <c r="B36" s="262" t="s">
        <v>217</v>
      </c>
      <c r="C36" s="263">
        <f>'Estado de Resultados'!$D$6/12</f>
        <v>30273165.070909102</v>
      </c>
      <c r="D36" s="263">
        <f>'Estado de Resultados'!$D$6/12</f>
        <v>30273165.070909102</v>
      </c>
      <c r="E36" s="263">
        <f>'Estado de Resultados'!$D$6/12</f>
        <v>30273165.070909102</v>
      </c>
      <c r="F36" s="263">
        <f>'Estado de Resultados'!$D$6/12</f>
        <v>30273165.070909102</v>
      </c>
      <c r="G36" s="263">
        <f>'Estado de Resultados'!$D$6/12</f>
        <v>30273165.070909102</v>
      </c>
      <c r="H36" s="263">
        <f>'Estado de Resultados'!$D$6/12</f>
        <v>30273165.070909102</v>
      </c>
      <c r="I36" s="263">
        <f>'Estado de Resultados'!$D$6/12</f>
        <v>30273165.070909102</v>
      </c>
      <c r="J36" s="263">
        <f>'Estado de Resultados'!$D$6/12</f>
        <v>30273165.070909102</v>
      </c>
      <c r="K36" s="263">
        <f>'Estado de Resultados'!$D$6/12</f>
        <v>30273165.070909102</v>
      </c>
      <c r="L36" s="263">
        <f>'Estado de Resultados'!$D$6/12</f>
        <v>30273165.070909102</v>
      </c>
      <c r="M36" s="263">
        <f>'Estado de Resultados'!$D$6/12</f>
        <v>30273165.070909102</v>
      </c>
      <c r="N36" s="263">
        <f>'Estado de Resultados'!$D$6/12</f>
        <v>30273165.070909102</v>
      </c>
      <c r="O36" s="252">
        <f>SUM(C36:N36)</f>
        <v>363277980.85090917</v>
      </c>
    </row>
    <row r="37" spans="2:15" x14ac:dyDescent="0.25">
      <c r="B37" s="262" t="s">
        <v>218</v>
      </c>
      <c r="C37" s="263">
        <f>((Costos!$D$29+Costos!$D$30)*'Proyección de ventas'!$F$14)+(Costos!$D$29+Costos!$D$30)</f>
        <v>2487268.3636363647</v>
      </c>
      <c r="D37" s="263">
        <f>((Costos!$D$29+Costos!$D$30)*'Proyección de ventas'!$F$14)+(Costos!$D$29+Costos!$D$30)</f>
        <v>2487268.3636363647</v>
      </c>
      <c r="E37" s="263">
        <f>((Costos!$D$29+Costos!$D$30)*'Proyección de ventas'!$F$14)+(Costos!$D$29+Costos!$D$30)</f>
        <v>2487268.3636363647</v>
      </c>
      <c r="F37" s="263">
        <f>((Costos!$D$29+Costos!$D$30)*'Proyección de ventas'!$F$14)+(Costos!$D$29+Costos!$D$30)</f>
        <v>2487268.3636363647</v>
      </c>
      <c r="G37" s="263">
        <f>((Costos!$D$29+Costos!$D$30)*'Proyección de ventas'!$F$14)+(Costos!$D$29+Costos!$D$30)</f>
        <v>2487268.3636363647</v>
      </c>
      <c r="H37" s="263">
        <f>((Costos!$D$29+Costos!$D$30)*'Proyección de ventas'!$F$14)+(Costos!$D$29+Costos!$D$30)</f>
        <v>2487268.3636363647</v>
      </c>
      <c r="I37" s="263">
        <f>((Costos!$D$29+Costos!$D$30)*'Proyección de ventas'!$F$14)+(Costos!$D$29+Costos!$D$30)</f>
        <v>2487268.3636363647</v>
      </c>
      <c r="J37" s="263">
        <f>((Costos!$D$29+Costos!$D$30)*'Proyección de ventas'!$F$14)+(Costos!$D$29+Costos!$D$30)</f>
        <v>2487268.3636363647</v>
      </c>
      <c r="K37" s="263">
        <f>((Costos!$D$29+Costos!$D$30)*'Proyección de ventas'!$F$14)+(Costos!$D$29+Costos!$D$30)</f>
        <v>2487268.3636363647</v>
      </c>
      <c r="L37" s="263">
        <f>((Costos!$D$29+Costos!$D$30)*'Proyección de ventas'!$F$14)+(Costos!$D$29+Costos!$D$30)</f>
        <v>2487268.3636363647</v>
      </c>
      <c r="M37" s="263">
        <f>((Costos!$D$29+Costos!$D$30)*'Proyección de ventas'!$F$14)+(Costos!$D$29+Costos!$D$30)</f>
        <v>2487268.3636363647</v>
      </c>
      <c r="N37" s="263">
        <f>((Costos!$D$29+Costos!$D$30)*'Proyección de ventas'!$F$14)+(Costos!$D$29+Costos!$D$30)</f>
        <v>2487268.3636363647</v>
      </c>
      <c r="O37" s="252">
        <f t="shared" ref="O37:O41" si="20">SUM(C37:N37)</f>
        <v>29847220.363636371</v>
      </c>
    </row>
    <row r="38" spans="2:15" x14ac:dyDescent="0.25">
      <c r="B38" s="262" t="s">
        <v>211</v>
      </c>
      <c r="C38" s="263"/>
      <c r="D38" s="263"/>
      <c r="E38" s="263"/>
      <c r="F38" s="263"/>
      <c r="G38" s="263"/>
      <c r="H38" s="263"/>
      <c r="I38" s="263"/>
      <c r="J38" s="263"/>
      <c r="K38" s="263"/>
      <c r="L38" s="263"/>
      <c r="M38" s="263"/>
      <c r="N38" s="263">
        <v>11649273.761673378</v>
      </c>
      <c r="O38" s="252">
        <f t="shared" si="20"/>
        <v>11649273.761673378</v>
      </c>
    </row>
    <row r="39" spans="2:15" ht="30" x14ac:dyDescent="0.25">
      <c r="B39" s="262" t="s">
        <v>220</v>
      </c>
      <c r="C39" s="263">
        <f>((Costos!$D$26+Costos!$D$27+Costos!$D$28)*'Proyección de ventas'!$F$14)+(Costos!$D$26+Costos!$D$27+Costos!$D$28)</f>
        <v>217635.9818181819</v>
      </c>
      <c r="D39" s="263">
        <f>((Costos!$D$26+Costos!$D$27+Costos!$D$28)*'Proyección de ventas'!$F$14)+(Costos!$D$26+Costos!$D$27+Costos!$D$28)</f>
        <v>217635.9818181819</v>
      </c>
      <c r="E39" s="263">
        <f>((Costos!$D$26+Costos!$D$27+Costos!$D$28)*'Proyección de ventas'!$F$14)+(Costos!$D$26+Costos!$D$27+Costos!$D$28)</f>
        <v>217635.9818181819</v>
      </c>
      <c r="F39" s="263">
        <f>((Costos!$D$26+Costos!$D$27+Costos!$D$28)*'Proyección de ventas'!$F$14)+(Costos!$D$26+Costos!$D$27+Costos!$D$28)</f>
        <v>217635.9818181819</v>
      </c>
      <c r="G39" s="263">
        <f>((Costos!$D$26+Costos!$D$27+Costos!$D$28)*'Proyección de ventas'!$F$14)+(Costos!$D$26+Costos!$D$27+Costos!$D$28)</f>
        <v>217635.9818181819</v>
      </c>
      <c r="H39" s="263">
        <f>((Costos!$D$26+Costos!$D$27+Costos!$D$28)*'Proyección de ventas'!$F$14)+(Costos!$D$26+Costos!$D$27+Costos!$D$28)</f>
        <v>217635.9818181819</v>
      </c>
      <c r="I39" s="263">
        <f>((Costos!$D$26+Costos!$D$27+Costos!$D$28)*'Proyección de ventas'!$F$14)+(Costos!$D$26+Costos!$D$27+Costos!$D$28)</f>
        <v>217635.9818181819</v>
      </c>
      <c r="J39" s="263">
        <f>((Costos!$D$26+Costos!$D$27+Costos!$D$28)*'Proyección de ventas'!$F$14)+(Costos!$D$26+Costos!$D$27+Costos!$D$28)</f>
        <v>217635.9818181819</v>
      </c>
      <c r="K39" s="263">
        <f>((Costos!$D$26+Costos!$D$27+Costos!$D$28)*'Proyección de ventas'!$F$14)+(Costos!$D$26+Costos!$D$27+Costos!$D$28)</f>
        <v>217635.9818181819</v>
      </c>
      <c r="L39" s="263">
        <f>((Costos!$D$26+Costos!$D$27+Costos!$D$28)*'Proyección de ventas'!$F$14)+(Costos!$D$26+Costos!$D$27+Costos!$D$28)</f>
        <v>217635.9818181819</v>
      </c>
      <c r="M39" s="263">
        <f>((Costos!$D$26+Costos!$D$27+Costos!$D$28)*'Proyección de ventas'!$F$14)+(Costos!$D$26+Costos!$D$27+Costos!$D$28)</f>
        <v>217635.9818181819</v>
      </c>
      <c r="N39" s="263">
        <f>((Costos!$D$26+Costos!$D$27+Costos!$D$28)*'Proyección de ventas'!$F$14)+(Costos!$D$26+Costos!$D$27+Costos!$D$28)</f>
        <v>217635.9818181819</v>
      </c>
      <c r="O39" s="252">
        <f t="shared" si="20"/>
        <v>2611631.7818181827</v>
      </c>
    </row>
    <row r="40" spans="2:15" x14ac:dyDescent="0.25">
      <c r="B40" s="262" t="s">
        <v>212</v>
      </c>
      <c r="C40" s="263">
        <f>((Costos!$D$32*'Proyección de ventas'!$F$14)+Costos!$D$32)</f>
        <v>932725.6363636367</v>
      </c>
      <c r="D40" s="263">
        <f>((Costos!$D$32*'Proyección de ventas'!$F$14)+Costos!$D$32)</f>
        <v>932725.6363636367</v>
      </c>
      <c r="E40" s="263">
        <f>((Costos!$D$32*'Proyección de ventas'!$F$14)+Costos!$D$32)</f>
        <v>932725.6363636367</v>
      </c>
      <c r="F40" s="263">
        <f>((Costos!$D$32*'Proyección de ventas'!$F$14)+Costos!$D$32)</f>
        <v>932725.6363636367</v>
      </c>
      <c r="G40" s="263">
        <f>((Costos!$D$32*'Proyección de ventas'!$F$14)+Costos!$D$32)</f>
        <v>932725.6363636367</v>
      </c>
      <c r="H40" s="263">
        <f>((Costos!$D$32*'Proyección de ventas'!$F$14)+Costos!$D$32)</f>
        <v>932725.6363636367</v>
      </c>
      <c r="I40" s="263">
        <f>((Costos!$D$32*'Proyección de ventas'!$F$14)+Costos!$D$32)</f>
        <v>932725.6363636367</v>
      </c>
      <c r="J40" s="263">
        <f>((Costos!$D$32*'Proyección de ventas'!$F$14)+Costos!$D$32)</f>
        <v>932725.6363636367</v>
      </c>
      <c r="K40" s="263">
        <f>((Costos!$D$32*'Proyección de ventas'!$F$14)+Costos!$D$32)</f>
        <v>932725.6363636367</v>
      </c>
      <c r="L40" s="263">
        <f>((Costos!$D$32*'Proyección de ventas'!$F$14)+Costos!$D$32)</f>
        <v>932725.6363636367</v>
      </c>
      <c r="M40" s="263">
        <f>((Costos!$D$32*'Proyección de ventas'!$F$14)+Costos!$D$32)</f>
        <v>932725.6363636367</v>
      </c>
      <c r="N40" s="263">
        <f>((Costos!$D$32*'Proyección de ventas'!$F$14)+Costos!$D$32)</f>
        <v>932725.6363636367</v>
      </c>
      <c r="O40" s="252">
        <f t="shared" si="20"/>
        <v>11192707.63636364</v>
      </c>
    </row>
    <row r="41" spans="2:15" ht="30" x14ac:dyDescent="0.25">
      <c r="B41" s="262" t="s">
        <v>219</v>
      </c>
      <c r="C41" s="263">
        <f>(Costos!$D$31*'Proyección de ventas'!$F$14)+Costos!$D$31</f>
        <v>82908.945454545494</v>
      </c>
      <c r="D41" s="263">
        <f>(Costos!$D$31*'Proyección de ventas'!$F$14)+Costos!$D$31</f>
        <v>82908.945454545494</v>
      </c>
      <c r="E41" s="263">
        <f>(Costos!$D$31*'Proyección de ventas'!$F$14)+Costos!$D$31</f>
        <v>82908.945454545494</v>
      </c>
      <c r="F41" s="263">
        <f>(Costos!$D$31*'Proyección de ventas'!$F$14)+Costos!$D$31</f>
        <v>82908.945454545494</v>
      </c>
      <c r="G41" s="263">
        <f>(Costos!$D$31*'Proyección de ventas'!$F$14)+Costos!$D$31</f>
        <v>82908.945454545494</v>
      </c>
      <c r="H41" s="263">
        <f>(Costos!$D$31*'Proyección de ventas'!$F$14)+Costos!$D$31</f>
        <v>82908.945454545494</v>
      </c>
      <c r="I41" s="263">
        <f>(Costos!$D$31*'Proyección de ventas'!$F$14)+Costos!$D$31</f>
        <v>82908.945454545494</v>
      </c>
      <c r="J41" s="263">
        <f>(Costos!$D$31*'Proyección de ventas'!$F$14)+Costos!$D$31</f>
        <v>82908.945454545494</v>
      </c>
      <c r="K41" s="263">
        <f>(Costos!$D$31*'Proyección de ventas'!$F$14)+Costos!$D$31</f>
        <v>82908.945454545494</v>
      </c>
      <c r="L41" s="263">
        <f>(Costos!$D$31*'Proyección de ventas'!$F$14)+Costos!$D$31</f>
        <v>82908.945454545494</v>
      </c>
      <c r="M41" s="263">
        <f>(Costos!$D$31*'Proyección de ventas'!$F$14)+Costos!$D$31</f>
        <v>82908.945454545494</v>
      </c>
      <c r="N41" s="263">
        <f>(Costos!$D$31*'Proyección de ventas'!$F$14)+Costos!$D$31</f>
        <v>82908.945454545494</v>
      </c>
      <c r="O41" s="252">
        <f t="shared" si="20"/>
        <v>994907.34545454616</v>
      </c>
    </row>
    <row r="42" spans="2:15" x14ac:dyDescent="0.25">
      <c r="B42" s="258" t="s">
        <v>213</v>
      </c>
      <c r="C42" s="260">
        <f t="shared" ref="C42" si="21">SUM(C36:C41)</f>
        <v>33993703.998181827</v>
      </c>
      <c r="D42" s="260">
        <f t="shared" ref="D42" si="22">SUM(D36:D41)</f>
        <v>33993703.998181827</v>
      </c>
      <c r="E42" s="260">
        <f t="shared" ref="E42" si="23">SUM(E36:E41)</f>
        <v>33993703.998181827</v>
      </c>
      <c r="F42" s="260">
        <f t="shared" ref="F42" si="24">SUM(F36:F41)</f>
        <v>33993703.998181827</v>
      </c>
      <c r="G42" s="260">
        <f t="shared" ref="G42" si="25">SUM(G36:G41)</f>
        <v>33993703.998181827</v>
      </c>
      <c r="H42" s="260">
        <f t="shared" ref="H42" si="26">SUM(H36:H41)</f>
        <v>33993703.998181827</v>
      </c>
      <c r="I42" s="260">
        <f t="shared" ref="I42" si="27">SUM(I36:I41)</f>
        <v>33993703.998181827</v>
      </c>
      <c r="J42" s="260">
        <f t="shared" ref="J42" si="28">SUM(J36:J41)</f>
        <v>33993703.998181827</v>
      </c>
      <c r="K42" s="260">
        <f t="shared" ref="K42" si="29">SUM(K36:K41)</f>
        <v>33993703.998181827</v>
      </c>
      <c r="L42" s="260">
        <f t="shared" ref="L42" si="30">SUM(L36:L41)</f>
        <v>33993703.998181827</v>
      </c>
      <c r="M42" s="260">
        <f t="shared" ref="M42" si="31">SUM(M36:M41)</f>
        <v>33993703.998181827</v>
      </c>
      <c r="N42" s="260">
        <f t="shared" ref="N42" si="32">SUM(N36:N41)</f>
        <v>45642977.759855203</v>
      </c>
      <c r="O42" s="260">
        <f t="shared" ref="O42" si="33">SUM(O36:O41)</f>
        <v>419573721.73985535</v>
      </c>
    </row>
    <row r="43" spans="2:15" ht="30" x14ac:dyDescent="0.25">
      <c r="B43" s="270" t="s">
        <v>221</v>
      </c>
      <c r="C43" s="271">
        <f t="shared" ref="C43" si="34">C34-C42</f>
        <v>34611192.197993226</v>
      </c>
      <c r="D43" s="271">
        <f t="shared" ref="D43" si="35">D34-D42</f>
        <v>38107002.966683798</v>
      </c>
      <c r="E43" s="271">
        <f t="shared" ref="E43" si="36">E34-E42</f>
        <v>41602813.735374384</v>
      </c>
      <c r="F43" s="271">
        <f t="shared" ref="F43" si="37">F34-F42</f>
        <v>45098624.50406497</v>
      </c>
      <c r="G43" s="271">
        <f t="shared" ref="G43" si="38">G34-G42</f>
        <v>48594435.272755556</v>
      </c>
      <c r="H43" s="271">
        <f t="shared" ref="H43" si="39">H34-H42</f>
        <v>52090246.041446142</v>
      </c>
      <c r="I43" s="271">
        <f t="shared" ref="I43" si="40">I34-I42</f>
        <v>55586056.810136728</v>
      </c>
      <c r="J43" s="271">
        <f t="shared" ref="J43" si="41">J34-J42</f>
        <v>59081867.578827314</v>
      </c>
      <c r="K43" s="271">
        <f t="shared" ref="K43" si="42">K34-K42</f>
        <v>62577678.3475179</v>
      </c>
      <c r="L43" s="271">
        <f t="shared" ref="L43" si="43">L34-L42</f>
        <v>66073489.116208486</v>
      </c>
      <c r="M43" s="271">
        <f t="shared" ref="M43" si="44">M34-M42</f>
        <v>69569299.88489908</v>
      </c>
      <c r="N43" s="271">
        <f t="shared" ref="N43" si="45">N34-N42</f>
        <v>61415836.891916282</v>
      </c>
      <c r="O43" s="271">
        <f t="shared" ref="O43" si="46">O34-O42</f>
        <v>80267455.462613702</v>
      </c>
    </row>
    <row r="44" spans="2:15" x14ac:dyDescent="0.25">
      <c r="B44" s="262" t="s">
        <v>80</v>
      </c>
      <c r="C44" s="251"/>
      <c r="D44" s="251"/>
      <c r="E44" s="251"/>
      <c r="F44" s="251"/>
      <c r="G44" s="251"/>
      <c r="H44" s="251"/>
      <c r="I44" s="251"/>
      <c r="J44" s="251"/>
      <c r="K44" s="251"/>
      <c r="L44" s="251"/>
      <c r="M44" s="251"/>
      <c r="N44" s="251"/>
      <c r="O44" s="251"/>
    </row>
    <row r="45" spans="2:15" x14ac:dyDescent="0.25">
      <c r="B45" s="262" t="s">
        <v>273</v>
      </c>
      <c r="C45" s="253">
        <v>1043655.9198242943</v>
      </c>
      <c r="D45" s="263">
        <v>1060352.3272296432</v>
      </c>
      <c r="E45" s="263">
        <v>1077315.8437606632</v>
      </c>
      <c r="F45" s="263">
        <v>1094550.7426291462</v>
      </c>
      <c r="G45" s="263">
        <v>1112061.3654097272</v>
      </c>
      <c r="H45" s="263">
        <v>1129852.123133552</v>
      </c>
      <c r="I45" s="263">
        <v>1147927.4973994426</v>
      </c>
      <c r="J45" s="263">
        <v>1166292.041502839</v>
      </c>
      <c r="K45" s="263">
        <v>1184950.3815828015</v>
      </c>
      <c r="L45" s="263">
        <v>1203907.2177873631</v>
      </c>
      <c r="M45" s="263">
        <v>1223167.3254575252</v>
      </c>
      <c r="N45" s="263">
        <v>1242735.5563301947</v>
      </c>
      <c r="O45" s="253">
        <f t="shared" ref="O45:O46" si="47">SUM(C45:N45)</f>
        <v>13686768.342047192</v>
      </c>
    </row>
    <row r="46" spans="2:15" x14ac:dyDescent="0.25">
      <c r="B46" s="262" t="s">
        <v>274</v>
      </c>
      <c r="C46" s="263">
        <v>218960.91993607095</v>
      </c>
      <c r="D46" s="263">
        <v>202264.5125307219</v>
      </c>
      <c r="E46" s="263">
        <v>185300.99599970205</v>
      </c>
      <c r="F46" s="263">
        <v>168066.09713121896</v>
      </c>
      <c r="G46" s="263">
        <v>150555.47435063787</v>
      </c>
      <c r="H46" s="263">
        <v>132764.71662681308</v>
      </c>
      <c r="I46" s="263">
        <v>114689.3423609225</v>
      </c>
      <c r="J46" s="263">
        <v>96324.798257526214</v>
      </c>
      <c r="K46" s="263">
        <v>77666.458177563807</v>
      </c>
      <c r="L46" s="263">
        <v>58709.621973002155</v>
      </c>
      <c r="M46" s="263">
        <v>39449.514302839918</v>
      </c>
      <c r="N46" s="263">
        <v>19881.283430170435</v>
      </c>
      <c r="O46" s="252">
        <f t="shared" si="47"/>
        <v>1464633.73507719</v>
      </c>
    </row>
    <row r="47" spans="2:15" ht="30" x14ac:dyDescent="0.25">
      <c r="B47" s="258" t="s">
        <v>214</v>
      </c>
      <c r="C47" s="260">
        <f>C45+C46</f>
        <v>1262616.8397603652</v>
      </c>
      <c r="D47" s="260">
        <f t="shared" ref="D47" si="48">D45+D46</f>
        <v>1262616.8397603652</v>
      </c>
      <c r="E47" s="260">
        <f t="shared" ref="E47" si="49">E45+E46</f>
        <v>1262616.8397603652</v>
      </c>
      <c r="F47" s="260">
        <f t="shared" ref="F47" si="50">F45+F46</f>
        <v>1262616.8397603652</v>
      </c>
      <c r="G47" s="260">
        <f t="shared" ref="G47" si="51">G45+G46</f>
        <v>1262616.839760365</v>
      </c>
      <c r="H47" s="260">
        <f t="shared" ref="H47" si="52">H45+H46</f>
        <v>1262616.8397603652</v>
      </c>
      <c r="I47" s="260">
        <f t="shared" ref="I47" si="53">I45+I46</f>
        <v>1262616.8397603652</v>
      </c>
      <c r="J47" s="260">
        <f t="shared" ref="J47" si="54">J45+J46</f>
        <v>1262616.8397603652</v>
      </c>
      <c r="K47" s="260">
        <f t="shared" ref="K47" si="55">K45+K46</f>
        <v>1262616.8397603652</v>
      </c>
      <c r="L47" s="260">
        <f t="shared" ref="L47" si="56">L45+L46</f>
        <v>1262616.8397603652</v>
      </c>
      <c r="M47" s="260">
        <f t="shared" ref="M47" si="57">M45+M46</f>
        <v>1262616.8397603652</v>
      </c>
      <c r="N47" s="260">
        <f t="shared" ref="N47" si="58">N45+N46</f>
        <v>1262616.8397603652</v>
      </c>
      <c r="O47" s="260">
        <f>O45+O46</f>
        <v>15151402.077124381</v>
      </c>
    </row>
    <row r="48" spans="2:15" ht="30" x14ac:dyDescent="0.25">
      <c r="B48" s="270" t="s">
        <v>215</v>
      </c>
      <c r="C48" s="271">
        <f t="shared" ref="C48" si="59">C43-C47</f>
        <v>33348575.35823286</v>
      </c>
      <c r="D48" s="271">
        <f t="shared" ref="D48" si="60">D43-D47</f>
        <v>36844386.126923434</v>
      </c>
      <c r="E48" s="271">
        <f t="shared" ref="E48" si="61">E43-E47</f>
        <v>40340196.895614021</v>
      </c>
      <c r="F48" s="271">
        <f t="shared" ref="F48" si="62">F43-F47</f>
        <v>43836007.664304607</v>
      </c>
      <c r="G48" s="271">
        <f t="shared" ref="G48" si="63">G43-G47</f>
        <v>47331818.432995193</v>
      </c>
      <c r="H48" s="271">
        <f t="shared" ref="H48" si="64">H43-H47</f>
        <v>50827629.201685779</v>
      </c>
      <c r="I48" s="271">
        <f t="shared" ref="I48" si="65">I43-I47</f>
        <v>54323439.970376365</v>
      </c>
      <c r="J48" s="271">
        <f t="shared" ref="J48" si="66">J43-J47</f>
        <v>57819250.739066951</v>
      </c>
      <c r="K48" s="271">
        <f t="shared" ref="K48" si="67">K43-K47</f>
        <v>61315061.507757537</v>
      </c>
      <c r="L48" s="271">
        <f t="shared" ref="L48" si="68">L43-L47</f>
        <v>64810872.276448123</v>
      </c>
      <c r="M48" s="271">
        <f t="shared" ref="M48" si="69">M43-M47</f>
        <v>68306683.045138717</v>
      </c>
      <c r="N48" s="271">
        <f t="shared" ref="N48" si="70">N43-N47</f>
        <v>60153220.052155919</v>
      </c>
      <c r="O48" s="271">
        <f t="shared" ref="O48" si="71">O43-O47</f>
        <v>65116053.385489322</v>
      </c>
    </row>
    <row r="49" spans="2:15" x14ac:dyDescent="0.25">
      <c r="B49" s="262" t="s">
        <v>146</v>
      </c>
      <c r="C49" s="263"/>
      <c r="D49" s="263"/>
      <c r="E49" s="263"/>
      <c r="F49" s="263"/>
      <c r="G49" s="263"/>
      <c r="H49" s="263"/>
      <c r="I49" s="263"/>
      <c r="J49" s="263"/>
      <c r="K49" s="263"/>
      <c r="L49" s="263"/>
      <c r="M49" s="263"/>
      <c r="N49" s="263"/>
      <c r="O49" s="251"/>
    </row>
    <row r="50" spans="2:15" ht="30" x14ac:dyDescent="0.25">
      <c r="B50" s="258" t="s">
        <v>222</v>
      </c>
      <c r="C50" s="259">
        <f>'Estado de Resultados'!$C$9/12</f>
        <v>451166.66666666669</v>
      </c>
      <c r="D50" s="259">
        <f>'Estado de Resultados'!$C$9/12</f>
        <v>451166.66666666669</v>
      </c>
      <c r="E50" s="259">
        <f>'Estado de Resultados'!$C$9/12</f>
        <v>451166.66666666669</v>
      </c>
      <c r="F50" s="259">
        <f>'Estado de Resultados'!$C$9/12</f>
        <v>451166.66666666669</v>
      </c>
      <c r="G50" s="259">
        <f>'Estado de Resultados'!$C$9/12</f>
        <v>451166.66666666669</v>
      </c>
      <c r="H50" s="259">
        <f>'Estado de Resultados'!$C$9/12</f>
        <v>451166.66666666669</v>
      </c>
      <c r="I50" s="259">
        <f>'Estado de Resultados'!$C$9/12</f>
        <v>451166.66666666669</v>
      </c>
      <c r="J50" s="259">
        <f>'Estado de Resultados'!$C$9/12</f>
        <v>451166.66666666669</v>
      </c>
      <c r="K50" s="259">
        <f>'Estado de Resultados'!$C$9/12</f>
        <v>451166.66666666669</v>
      </c>
      <c r="L50" s="259">
        <f>'Estado de Resultados'!$C$9/12</f>
        <v>451166.66666666669</v>
      </c>
      <c r="M50" s="259">
        <f>'Estado de Resultados'!$C$9/12</f>
        <v>451166.66666666669</v>
      </c>
      <c r="N50" s="259">
        <f>'Estado de Resultados'!$C$9/12</f>
        <v>451166.66666666669</v>
      </c>
      <c r="O50" s="252">
        <f t="shared" ref="O50:O51" si="72">SUM(C50:N50)</f>
        <v>5414000</v>
      </c>
    </row>
    <row r="51" spans="2:15" x14ac:dyDescent="0.25">
      <c r="B51" s="262" t="s">
        <v>276</v>
      </c>
      <c r="C51" s="251"/>
      <c r="D51" s="251"/>
      <c r="E51" s="251"/>
      <c r="F51" s="251"/>
      <c r="G51" s="251"/>
      <c r="H51" s="251"/>
      <c r="I51" s="251"/>
      <c r="J51" s="251"/>
      <c r="K51" s="251"/>
      <c r="L51" s="251"/>
      <c r="M51" s="251"/>
      <c r="N51" s="253">
        <v>18360044.196890261</v>
      </c>
      <c r="O51" s="252">
        <f t="shared" si="72"/>
        <v>18360044.196890261</v>
      </c>
    </row>
    <row r="52" spans="2:15" ht="15.75" thickBot="1" x14ac:dyDescent="0.3">
      <c r="B52" s="272" t="s">
        <v>223</v>
      </c>
      <c r="C52" s="273">
        <f t="shared" ref="C52:O52" si="73">C48-C50</f>
        <v>32897408.691566192</v>
      </c>
      <c r="D52" s="273">
        <f t="shared" si="73"/>
        <v>36393219.46025677</v>
      </c>
      <c r="E52" s="273">
        <f t="shared" si="73"/>
        <v>39889030.228947356</v>
      </c>
      <c r="F52" s="273">
        <f t="shared" si="73"/>
        <v>43384840.997637942</v>
      </c>
      <c r="G52" s="273">
        <f t="shared" si="73"/>
        <v>46880651.766328529</v>
      </c>
      <c r="H52" s="273">
        <f t="shared" si="73"/>
        <v>50376462.535019115</v>
      </c>
      <c r="I52" s="273">
        <f t="shared" si="73"/>
        <v>53872273.303709701</v>
      </c>
      <c r="J52" s="273">
        <f t="shared" si="73"/>
        <v>57368084.072400287</v>
      </c>
      <c r="K52" s="273">
        <f t="shared" si="73"/>
        <v>60863894.841090873</v>
      </c>
      <c r="L52" s="273">
        <f t="shared" si="73"/>
        <v>64359705.609781459</v>
      </c>
      <c r="M52" s="273">
        <f t="shared" si="73"/>
        <v>67855516.378472045</v>
      </c>
      <c r="N52" s="271">
        <f t="shared" si="73"/>
        <v>59702053.385489255</v>
      </c>
      <c r="O52" s="271">
        <f t="shared" si="73"/>
        <v>59702053.385489322</v>
      </c>
    </row>
    <row r="53" spans="2:15" ht="15.75" thickBot="1" x14ac:dyDescent="0.3">
      <c r="B53" s="96"/>
      <c r="C53" s="96"/>
      <c r="D53" s="96"/>
      <c r="E53" s="96"/>
      <c r="F53" s="96"/>
      <c r="G53" s="96"/>
      <c r="H53" s="96"/>
      <c r="I53" s="96"/>
      <c r="J53" s="96"/>
      <c r="K53" s="96"/>
      <c r="L53" s="96"/>
      <c r="M53" s="96"/>
      <c r="N53" s="255" t="s">
        <v>277</v>
      </c>
      <c r="O53" s="254">
        <f>O33-O36-O37-O39-O40-O41-O46-O50-O51</f>
        <v>37276453.369444042</v>
      </c>
    </row>
    <row r="54" spans="2:15" x14ac:dyDescent="0.25">
      <c r="B54" s="96"/>
      <c r="C54" s="96"/>
      <c r="D54" s="96"/>
      <c r="E54" s="96"/>
      <c r="F54" s="96"/>
      <c r="G54" s="96"/>
      <c r="H54" s="96"/>
      <c r="I54" s="96"/>
      <c r="J54" s="96"/>
      <c r="K54" s="96"/>
      <c r="L54" s="96"/>
      <c r="M54" s="96"/>
      <c r="N54" s="96"/>
      <c r="O54" s="96"/>
    </row>
    <row r="55" spans="2:15" x14ac:dyDescent="0.25">
      <c r="B55" s="96"/>
      <c r="C55" s="96"/>
      <c r="D55" s="96"/>
      <c r="E55" s="96"/>
      <c r="F55" s="96"/>
      <c r="G55" s="96"/>
      <c r="H55" s="96"/>
      <c r="I55" s="96"/>
      <c r="J55" s="96"/>
      <c r="K55" s="96"/>
      <c r="L55" s="96"/>
      <c r="M55" s="96"/>
      <c r="N55" s="96"/>
      <c r="O55" s="96"/>
    </row>
    <row r="56" spans="2:15" x14ac:dyDescent="0.25">
      <c r="B56" s="326" t="s">
        <v>293</v>
      </c>
      <c r="C56" s="327"/>
      <c r="D56" s="327"/>
      <c r="E56" s="327"/>
      <c r="F56" s="327"/>
      <c r="G56" s="327"/>
      <c r="H56" s="327"/>
      <c r="I56" s="327"/>
      <c r="J56" s="327"/>
      <c r="K56" s="327"/>
      <c r="L56" s="327"/>
      <c r="M56" s="327"/>
      <c r="N56" s="327"/>
      <c r="O56" s="327"/>
    </row>
    <row r="57" spans="2:15" x14ac:dyDescent="0.25">
      <c r="B57" s="256"/>
      <c r="C57" s="267" t="s">
        <v>292</v>
      </c>
      <c r="D57" s="267" t="s">
        <v>280</v>
      </c>
      <c r="E57" s="267" t="s">
        <v>281</v>
      </c>
      <c r="F57" s="267" t="s">
        <v>282</v>
      </c>
      <c r="G57" s="267" t="s">
        <v>283</v>
      </c>
      <c r="H57" s="267" t="s">
        <v>284</v>
      </c>
      <c r="I57" s="267" t="s">
        <v>285</v>
      </c>
      <c r="J57" s="267" t="s">
        <v>286</v>
      </c>
      <c r="K57" s="267" t="s">
        <v>287</v>
      </c>
      <c r="L57" s="267" t="s">
        <v>288</v>
      </c>
      <c r="M57" s="267" t="s">
        <v>289</v>
      </c>
      <c r="N57" s="267" t="s">
        <v>290</v>
      </c>
      <c r="O57" s="257" t="s">
        <v>272</v>
      </c>
    </row>
    <row r="58" spans="2:15" x14ac:dyDescent="0.25">
      <c r="B58" s="258" t="s">
        <v>216</v>
      </c>
      <c r="C58" s="259">
        <f>O48</f>
        <v>65116053.385489322</v>
      </c>
      <c r="D58" s="260">
        <f>C79</f>
        <v>71495776.630358696</v>
      </c>
      <c r="E58" s="260">
        <f t="shared" ref="E58" si="74">D79</f>
        <v>77875499.875228062</v>
      </c>
      <c r="F58" s="260">
        <f t="shared" ref="F58" si="75">E79</f>
        <v>84255223.120097443</v>
      </c>
      <c r="G58" s="260">
        <f t="shared" ref="G58" si="76">F79</f>
        <v>72274902.16807656</v>
      </c>
      <c r="H58" s="260">
        <f t="shared" ref="H58" si="77">G79</f>
        <v>78654625.412945941</v>
      </c>
      <c r="I58" s="260">
        <f t="shared" ref="I58" si="78">H79</f>
        <v>85034348.657815322</v>
      </c>
      <c r="J58" s="260">
        <f t="shared" ref="J58" si="79">I79</f>
        <v>91414071.902684703</v>
      </c>
      <c r="K58" s="260">
        <f t="shared" ref="K58" si="80">J79</f>
        <v>97793795.147554085</v>
      </c>
      <c r="L58" s="260">
        <f t="shared" ref="L58" si="81">K79</f>
        <v>104173518.39242347</v>
      </c>
      <c r="M58" s="260">
        <f t="shared" ref="M58" si="82">L79</f>
        <v>110553241.63729285</v>
      </c>
      <c r="N58" s="260">
        <f t="shared" ref="N58" si="83">M79</f>
        <v>116932964.88216223</v>
      </c>
      <c r="O58" s="260">
        <f>C58</f>
        <v>65116053.385489322</v>
      </c>
    </row>
    <row r="59" spans="2:15" x14ac:dyDescent="0.25">
      <c r="B59" s="261" t="s">
        <v>131</v>
      </c>
      <c r="C59" s="251"/>
      <c r="D59" s="251"/>
      <c r="E59" s="251"/>
      <c r="F59" s="251"/>
      <c r="G59" s="251"/>
      <c r="H59" s="251"/>
      <c r="I59" s="251"/>
      <c r="J59" s="251"/>
      <c r="K59" s="251"/>
      <c r="L59" s="251"/>
      <c r="M59" s="251"/>
      <c r="N59" s="251"/>
      <c r="O59" s="251"/>
    </row>
    <row r="60" spans="2:15" x14ac:dyDescent="0.25">
      <c r="B60" s="262" t="s">
        <v>208</v>
      </c>
      <c r="C60" s="263">
        <f>'Estado de Resultados'!$E$5/12</f>
        <v>42019256.281683065</v>
      </c>
      <c r="D60" s="263">
        <f>'Estado de Resultados'!$E$5/12</f>
        <v>42019256.281683065</v>
      </c>
      <c r="E60" s="263">
        <f>'Estado de Resultados'!$E$5/12</f>
        <v>42019256.281683065</v>
      </c>
      <c r="F60" s="263">
        <f>'Estado de Resultados'!$E$5/12</f>
        <v>42019256.281683065</v>
      </c>
      <c r="G60" s="263">
        <f>'Estado de Resultados'!$E$5/12</f>
        <v>42019256.281683065</v>
      </c>
      <c r="H60" s="263">
        <f>'Estado de Resultados'!$E$5/12</f>
        <v>42019256.281683065</v>
      </c>
      <c r="I60" s="263">
        <f>'Estado de Resultados'!$E$5/12</f>
        <v>42019256.281683065</v>
      </c>
      <c r="J60" s="263">
        <f>'Estado de Resultados'!$E$5/12</f>
        <v>42019256.281683065</v>
      </c>
      <c r="K60" s="263">
        <f>'Estado de Resultados'!$E$5/12</f>
        <v>42019256.281683065</v>
      </c>
      <c r="L60" s="263">
        <f>'Estado de Resultados'!$E$5/12</f>
        <v>42019256.281683065</v>
      </c>
      <c r="M60" s="263">
        <f>'Estado de Resultados'!$E$5/12</f>
        <v>42019256.281683065</v>
      </c>
      <c r="N60" s="263">
        <f>'Estado de Resultados'!$E$5/12</f>
        <v>42019256.281683065</v>
      </c>
      <c r="O60" s="252">
        <f>SUM(C60:N60)</f>
        <v>504231075.38019687</v>
      </c>
    </row>
    <row r="61" spans="2:15" x14ac:dyDescent="0.25">
      <c r="B61" s="258" t="s">
        <v>209</v>
      </c>
      <c r="C61" s="260">
        <f>C58+C60</f>
        <v>107135309.66717239</v>
      </c>
      <c r="D61" s="260">
        <f t="shared" ref="D61:O61" si="84">D58+D60</f>
        <v>113515032.91204175</v>
      </c>
      <c r="E61" s="260">
        <f t="shared" si="84"/>
        <v>119894756.15691113</v>
      </c>
      <c r="F61" s="260">
        <f t="shared" si="84"/>
        <v>126274479.40178052</v>
      </c>
      <c r="G61" s="260">
        <f t="shared" si="84"/>
        <v>114294158.44975963</v>
      </c>
      <c r="H61" s="260">
        <f t="shared" si="84"/>
        <v>120673881.69462901</v>
      </c>
      <c r="I61" s="260">
        <f t="shared" si="84"/>
        <v>127053604.93949839</v>
      </c>
      <c r="J61" s="260">
        <f t="shared" si="84"/>
        <v>133433328.18436778</v>
      </c>
      <c r="K61" s="260">
        <f t="shared" si="84"/>
        <v>139813051.42923716</v>
      </c>
      <c r="L61" s="260">
        <f t="shared" si="84"/>
        <v>146192774.67410654</v>
      </c>
      <c r="M61" s="260">
        <f t="shared" si="84"/>
        <v>152572497.91897592</v>
      </c>
      <c r="N61" s="260">
        <f t="shared" si="84"/>
        <v>158952221.1638453</v>
      </c>
      <c r="O61" s="260">
        <f t="shared" si="84"/>
        <v>569347128.76568615</v>
      </c>
    </row>
    <row r="62" spans="2:15" x14ac:dyDescent="0.25">
      <c r="B62" s="261" t="s">
        <v>210</v>
      </c>
      <c r="C62" s="251"/>
      <c r="D62" s="251"/>
      <c r="E62" s="251"/>
      <c r="F62" s="251"/>
      <c r="G62" s="251"/>
      <c r="H62" s="251"/>
      <c r="I62" s="251"/>
      <c r="J62" s="251"/>
      <c r="K62" s="251"/>
      <c r="L62" s="251"/>
      <c r="M62" s="251"/>
      <c r="N62" s="251"/>
      <c r="O62" s="251"/>
    </row>
    <row r="63" spans="2:15" ht="30" x14ac:dyDescent="0.25">
      <c r="B63" s="262" t="s">
        <v>217</v>
      </c>
      <c r="C63" s="263">
        <f>'Estado de Resultados'!$E$6/12</f>
        <v>31337074.175737467</v>
      </c>
      <c r="D63" s="263">
        <f>'Estado de Resultados'!$E$6/12</f>
        <v>31337074.175737467</v>
      </c>
      <c r="E63" s="263">
        <f>'Estado de Resultados'!$E$6/12</f>
        <v>31337074.175737467</v>
      </c>
      <c r="F63" s="263">
        <f>'Estado de Resultados'!$E$6/12</f>
        <v>31337074.175737467</v>
      </c>
      <c r="G63" s="263">
        <f>'Estado de Resultados'!$E$6/12</f>
        <v>31337074.175737467</v>
      </c>
      <c r="H63" s="263">
        <f>'Estado de Resultados'!$E$6/12</f>
        <v>31337074.175737467</v>
      </c>
      <c r="I63" s="263">
        <f>'Estado de Resultados'!$E$6/12</f>
        <v>31337074.175737467</v>
      </c>
      <c r="J63" s="263">
        <f>'Estado de Resultados'!$E$6/12</f>
        <v>31337074.175737467</v>
      </c>
      <c r="K63" s="263">
        <f>'Estado de Resultados'!$E$6/12</f>
        <v>31337074.175737467</v>
      </c>
      <c r="L63" s="263">
        <f>'Estado de Resultados'!$E$6/12</f>
        <v>31337074.175737467</v>
      </c>
      <c r="M63" s="263">
        <f>'Estado de Resultados'!$E$6/12</f>
        <v>31337074.175737467</v>
      </c>
      <c r="N63" s="263">
        <f>'Estado de Resultados'!$E$6/12</f>
        <v>31337074.175737467</v>
      </c>
      <c r="O63" s="252">
        <f>SUM(C63:N63)</f>
        <v>376044890.10884953</v>
      </c>
    </row>
    <row r="64" spans="2:15" x14ac:dyDescent="0.25">
      <c r="B64" s="262" t="s">
        <v>218</v>
      </c>
      <c r="C64" s="263">
        <f>(C37*'Proyección de ventas'!$F$15)+C37</f>
        <v>2574680.0185467773</v>
      </c>
      <c r="D64" s="263">
        <f>(D37*'Proyección de ventas'!$F$15)+D37</f>
        <v>2574680.0185467773</v>
      </c>
      <c r="E64" s="263">
        <f>(E37*'Proyección de ventas'!$F$15)+E37</f>
        <v>2574680.0185467773</v>
      </c>
      <c r="F64" s="263">
        <f>(F37*'Proyección de ventas'!$F$15)+F37</f>
        <v>2574680.0185467773</v>
      </c>
      <c r="G64" s="263">
        <f>(G37*'Proyección de ventas'!$F$15)+G37</f>
        <v>2574680.0185467773</v>
      </c>
      <c r="H64" s="263">
        <f>(H37*'Proyección de ventas'!$F$15)+H37</f>
        <v>2574680.0185467773</v>
      </c>
      <c r="I64" s="263">
        <f>(I37*'Proyección de ventas'!$F$15)+I37</f>
        <v>2574680.0185467773</v>
      </c>
      <c r="J64" s="263">
        <f>(J37*'Proyección de ventas'!$F$15)+J37</f>
        <v>2574680.0185467773</v>
      </c>
      <c r="K64" s="263">
        <f>(K37*'Proyección de ventas'!$F$15)+K37</f>
        <v>2574680.0185467773</v>
      </c>
      <c r="L64" s="263">
        <f>(L37*'Proyección de ventas'!$F$15)+L37</f>
        <v>2574680.0185467773</v>
      </c>
      <c r="M64" s="263">
        <f>(M37*'Proyección de ventas'!$F$15)+M37</f>
        <v>2574680.0185467773</v>
      </c>
      <c r="N64" s="263">
        <f>(N37*'Proyección de ventas'!$F$15)+N37</f>
        <v>2574680.0185467773</v>
      </c>
      <c r="O64" s="252">
        <f t="shared" ref="O64:O68" si="85">SUM(C64:N64)</f>
        <v>30896160.222561333</v>
      </c>
    </row>
    <row r="65" spans="2:15" x14ac:dyDescent="0.25">
      <c r="B65" s="262" t="s">
        <v>211</v>
      </c>
      <c r="C65" s="263"/>
      <c r="D65" s="263"/>
      <c r="E65" s="263"/>
      <c r="F65" s="263">
        <f>O51</f>
        <v>18360044.196890261</v>
      </c>
      <c r="G65" s="263"/>
      <c r="H65" s="263"/>
      <c r="I65" s="263"/>
      <c r="J65" s="263"/>
      <c r="K65" s="263"/>
      <c r="L65" s="263"/>
      <c r="M65" s="263"/>
      <c r="N65" s="263"/>
      <c r="O65" s="252">
        <f t="shared" si="85"/>
        <v>18360044.196890261</v>
      </c>
    </row>
    <row r="66" spans="2:15" ht="30" x14ac:dyDescent="0.25">
      <c r="B66" s="262" t="s">
        <v>220</v>
      </c>
      <c r="C66" s="263">
        <f>(C39*'Proyección de ventas'!$F$15)+C39</f>
        <v>225284.501622843</v>
      </c>
      <c r="D66" s="263">
        <f>(D39*'Proyección de ventas'!$F$15)+D39</f>
        <v>225284.501622843</v>
      </c>
      <c r="E66" s="263">
        <f>(E39*'Proyección de ventas'!$F$15)+E39</f>
        <v>225284.501622843</v>
      </c>
      <c r="F66" s="263">
        <f>(F39*'Proyección de ventas'!$F$15)+F39</f>
        <v>225284.501622843</v>
      </c>
      <c r="G66" s="263">
        <f>(G39*'Proyección de ventas'!$F$15)+G39</f>
        <v>225284.501622843</v>
      </c>
      <c r="H66" s="263">
        <f>(H39*'Proyección de ventas'!$F$15)+H39</f>
        <v>225284.501622843</v>
      </c>
      <c r="I66" s="263">
        <f>(I39*'Proyección de ventas'!$F$15)+I39</f>
        <v>225284.501622843</v>
      </c>
      <c r="J66" s="263">
        <f>(J39*'Proyección de ventas'!$F$15)+J39</f>
        <v>225284.501622843</v>
      </c>
      <c r="K66" s="263">
        <f>(K39*'Proyección de ventas'!$F$15)+K39</f>
        <v>225284.501622843</v>
      </c>
      <c r="L66" s="263">
        <f>(L39*'Proyección de ventas'!$F$15)+L39</f>
        <v>225284.501622843</v>
      </c>
      <c r="M66" s="263">
        <f>(M39*'Proyección de ventas'!$F$15)+M39</f>
        <v>225284.501622843</v>
      </c>
      <c r="N66" s="263">
        <f>(N39*'Proyección de ventas'!$F$15)+N39</f>
        <v>225284.501622843</v>
      </c>
      <c r="O66" s="252">
        <f t="shared" si="85"/>
        <v>2703414.0194741166</v>
      </c>
    </row>
    <row r="67" spans="2:15" x14ac:dyDescent="0.25">
      <c r="B67" s="262" t="s">
        <v>212</v>
      </c>
      <c r="C67" s="263">
        <f>(C40*'Proyección de ventas'!$F$15)+C40</f>
        <v>965505.00695504143</v>
      </c>
      <c r="D67" s="263">
        <f>(D40*'Proyección de ventas'!$F$15)+D40</f>
        <v>965505.00695504143</v>
      </c>
      <c r="E67" s="263">
        <f>(E40*'Proyección de ventas'!$F$15)+E40</f>
        <v>965505.00695504143</v>
      </c>
      <c r="F67" s="263">
        <f>(F40*'Proyección de ventas'!$F$15)+F40</f>
        <v>965505.00695504143</v>
      </c>
      <c r="G67" s="263">
        <f>(G40*'Proyección de ventas'!$F$15)+G40</f>
        <v>965505.00695504143</v>
      </c>
      <c r="H67" s="263">
        <f>(H40*'Proyección de ventas'!$F$15)+H40</f>
        <v>965505.00695504143</v>
      </c>
      <c r="I67" s="263">
        <f>(I40*'Proyección de ventas'!$F$15)+I40</f>
        <v>965505.00695504143</v>
      </c>
      <c r="J67" s="263">
        <f>(J40*'Proyección de ventas'!$F$15)+J40</f>
        <v>965505.00695504143</v>
      </c>
      <c r="K67" s="263">
        <f>(K40*'Proyección de ventas'!$F$15)+K40</f>
        <v>965505.00695504143</v>
      </c>
      <c r="L67" s="263">
        <f>(L40*'Proyección de ventas'!$F$15)+L40</f>
        <v>965505.00695504143</v>
      </c>
      <c r="M67" s="263">
        <f>(M40*'Proyección de ventas'!$F$15)+M40</f>
        <v>965505.00695504143</v>
      </c>
      <c r="N67" s="263">
        <f>(N40*'Proyección de ventas'!$F$15)+N40</f>
        <v>965505.00695504143</v>
      </c>
      <c r="O67" s="252">
        <f t="shared" si="85"/>
        <v>11586060.083460495</v>
      </c>
    </row>
    <row r="68" spans="2:15" ht="30" x14ac:dyDescent="0.25">
      <c r="B68" s="262" t="s">
        <v>219</v>
      </c>
      <c r="C68" s="263">
        <f>(C41*'Proyección de ventas'!$F$15)+C41</f>
        <v>85822.667284892581</v>
      </c>
      <c r="D68" s="263">
        <f>(D41*'Proyección de ventas'!$F$15)+D41</f>
        <v>85822.667284892581</v>
      </c>
      <c r="E68" s="263">
        <f>(E41*'Proyección de ventas'!$F$15)+E41</f>
        <v>85822.667284892581</v>
      </c>
      <c r="F68" s="263">
        <f>(F41*'Proyección de ventas'!$F$15)+F41</f>
        <v>85822.667284892581</v>
      </c>
      <c r="G68" s="263">
        <f>(G41*'Proyección de ventas'!$F$15)+G41</f>
        <v>85822.667284892581</v>
      </c>
      <c r="H68" s="263">
        <f>(H41*'Proyección de ventas'!$F$15)+H41</f>
        <v>85822.667284892581</v>
      </c>
      <c r="I68" s="263">
        <f>(I41*'Proyección de ventas'!$F$15)+I41</f>
        <v>85822.667284892581</v>
      </c>
      <c r="J68" s="263">
        <f>(J41*'Proyección de ventas'!$F$15)+J41</f>
        <v>85822.667284892581</v>
      </c>
      <c r="K68" s="263">
        <f>(K41*'Proyección de ventas'!$F$15)+K41</f>
        <v>85822.667284892581</v>
      </c>
      <c r="L68" s="263">
        <f>(L41*'Proyección de ventas'!$F$15)+L41</f>
        <v>85822.667284892581</v>
      </c>
      <c r="M68" s="263">
        <f>(M41*'Proyección de ventas'!$F$15)+M41</f>
        <v>85822.667284892581</v>
      </c>
      <c r="N68" s="263">
        <f>(N41*'Proyección de ventas'!$F$15)+N41</f>
        <v>85822.667284892581</v>
      </c>
      <c r="O68" s="252">
        <f t="shared" si="85"/>
        <v>1029872.0074187112</v>
      </c>
    </row>
    <row r="69" spans="2:15" x14ac:dyDescent="0.25">
      <c r="B69" s="258" t="s">
        <v>213</v>
      </c>
      <c r="C69" s="260">
        <f t="shared" ref="C69" si="86">SUM(C63:C68)</f>
        <v>35188366.37014702</v>
      </c>
      <c r="D69" s="260">
        <f t="shared" ref="D69" si="87">SUM(D63:D68)</f>
        <v>35188366.37014702</v>
      </c>
      <c r="E69" s="260">
        <f t="shared" ref="E69" si="88">SUM(E63:E68)</f>
        <v>35188366.37014702</v>
      </c>
      <c r="F69" s="260">
        <f t="shared" ref="F69" si="89">SUM(F63:F68)</f>
        <v>53548410.567037284</v>
      </c>
      <c r="G69" s="260">
        <f t="shared" ref="G69" si="90">SUM(G63:G68)</f>
        <v>35188366.37014702</v>
      </c>
      <c r="H69" s="260">
        <f t="shared" ref="H69" si="91">SUM(H63:H68)</f>
        <v>35188366.37014702</v>
      </c>
      <c r="I69" s="260">
        <f t="shared" ref="I69" si="92">SUM(I63:I68)</f>
        <v>35188366.37014702</v>
      </c>
      <c r="J69" s="260">
        <f t="shared" ref="J69" si="93">SUM(J63:J68)</f>
        <v>35188366.37014702</v>
      </c>
      <c r="K69" s="260">
        <f t="shared" ref="K69" si="94">SUM(K63:K68)</f>
        <v>35188366.37014702</v>
      </c>
      <c r="L69" s="260">
        <f t="shared" ref="L69" si="95">SUM(L63:L68)</f>
        <v>35188366.37014702</v>
      </c>
      <c r="M69" s="260">
        <f t="shared" ref="M69" si="96">SUM(M63:M68)</f>
        <v>35188366.37014702</v>
      </c>
      <c r="N69" s="260">
        <f t="shared" ref="N69" si="97">SUM(N63:N68)</f>
        <v>35188366.37014702</v>
      </c>
      <c r="O69" s="260">
        <f t="shared" ref="O69" si="98">SUM(O63:O68)</f>
        <v>440620440.63865441</v>
      </c>
    </row>
    <row r="70" spans="2:15" ht="30" x14ac:dyDescent="0.25">
      <c r="B70" s="270" t="s">
        <v>221</v>
      </c>
      <c r="C70" s="271">
        <f t="shared" ref="C70" si="99">C61-C69</f>
        <v>71946943.297025368</v>
      </c>
      <c r="D70" s="271">
        <f t="shared" ref="D70" si="100">D61-D69</f>
        <v>78326666.541894734</v>
      </c>
      <c r="E70" s="271">
        <f t="shared" ref="E70" si="101">E61-E69</f>
        <v>84706389.786764115</v>
      </c>
      <c r="F70" s="271">
        <f t="shared" ref="F70" si="102">F61-F69</f>
        <v>72726068.834743232</v>
      </c>
      <c r="G70" s="271">
        <f t="shared" ref="G70" si="103">G61-G69</f>
        <v>79105792.079612613</v>
      </c>
      <c r="H70" s="271">
        <f t="shared" ref="H70" si="104">H61-H69</f>
        <v>85485515.324481994</v>
      </c>
      <c r="I70" s="271">
        <f t="shared" ref="I70" si="105">I61-I69</f>
        <v>91865238.569351375</v>
      </c>
      <c r="J70" s="271">
        <f t="shared" ref="J70" si="106">J61-J69</f>
        <v>98244961.814220756</v>
      </c>
      <c r="K70" s="271">
        <f t="shared" ref="K70" si="107">K61-K69</f>
        <v>104624685.05909014</v>
      </c>
      <c r="L70" s="271">
        <f t="shared" ref="L70" si="108">L61-L69</f>
        <v>111004408.30395952</v>
      </c>
      <c r="M70" s="271">
        <f t="shared" ref="M70" si="109">M61-M69</f>
        <v>117384131.5488289</v>
      </c>
      <c r="N70" s="271">
        <f t="shared" ref="N70" si="110">N61-N69</f>
        <v>123763854.79369828</v>
      </c>
      <c r="O70" s="271">
        <f t="shared" ref="O70" si="111">O61-O69</f>
        <v>128726688.12703174</v>
      </c>
    </row>
    <row r="71" spans="2:15" x14ac:dyDescent="0.25">
      <c r="B71" s="262" t="s">
        <v>80</v>
      </c>
      <c r="C71" s="251"/>
      <c r="D71" s="251"/>
      <c r="E71" s="251"/>
      <c r="F71" s="251"/>
      <c r="G71" s="251"/>
      <c r="H71" s="251"/>
      <c r="I71" s="251"/>
      <c r="J71" s="251"/>
      <c r="K71" s="251"/>
      <c r="L71" s="251"/>
      <c r="M71" s="251"/>
      <c r="N71" s="251"/>
      <c r="O71" s="251"/>
    </row>
    <row r="72" spans="2:15" x14ac:dyDescent="0.25">
      <c r="B72" s="262" t="s">
        <v>273</v>
      </c>
      <c r="C72" s="253">
        <v>0</v>
      </c>
      <c r="D72" s="253">
        <v>0</v>
      </c>
      <c r="E72" s="253">
        <v>0</v>
      </c>
      <c r="F72" s="253">
        <v>0</v>
      </c>
      <c r="G72" s="253">
        <v>0</v>
      </c>
      <c r="H72" s="253">
        <v>0</v>
      </c>
      <c r="I72" s="253">
        <v>0</v>
      </c>
      <c r="J72" s="253">
        <v>0</v>
      </c>
      <c r="K72" s="253">
        <v>0</v>
      </c>
      <c r="L72" s="253">
        <v>0</v>
      </c>
      <c r="M72" s="253">
        <v>0</v>
      </c>
      <c r="N72" s="253">
        <v>0</v>
      </c>
      <c r="O72" s="253">
        <f t="shared" ref="O72:O73" si="112">SUM(C72:N72)</f>
        <v>0</v>
      </c>
    </row>
    <row r="73" spans="2:15" x14ac:dyDescent="0.25">
      <c r="B73" s="262" t="s">
        <v>274</v>
      </c>
      <c r="C73" s="263">
        <v>0</v>
      </c>
      <c r="D73" s="263">
        <v>0</v>
      </c>
      <c r="E73" s="263">
        <v>0</v>
      </c>
      <c r="F73" s="263">
        <v>0</v>
      </c>
      <c r="G73" s="263">
        <v>0</v>
      </c>
      <c r="H73" s="263">
        <v>0</v>
      </c>
      <c r="I73" s="263">
        <v>0</v>
      </c>
      <c r="J73" s="263">
        <v>0</v>
      </c>
      <c r="K73" s="263">
        <v>0</v>
      </c>
      <c r="L73" s="263">
        <v>0</v>
      </c>
      <c r="M73" s="263">
        <v>0</v>
      </c>
      <c r="N73" s="263">
        <v>0</v>
      </c>
      <c r="O73" s="252">
        <f t="shared" si="112"/>
        <v>0</v>
      </c>
    </row>
    <row r="74" spans="2:15" ht="30" x14ac:dyDescent="0.25">
      <c r="B74" s="258" t="s">
        <v>214</v>
      </c>
      <c r="C74" s="260">
        <f>C72+C73</f>
        <v>0</v>
      </c>
      <c r="D74" s="260">
        <f t="shared" ref="D74" si="113">D72+D73</f>
        <v>0</v>
      </c>
      <c r="E74" s="260">
        <f t="shared" ref="E74" si="114">E72+E73</f>
        <v>0</v>
      </c>
      <c r="F74" s="260">
        <f t="shared" ref="F74" si="115">F72+F73</f>
        <v>0</v>
      </c>
      <c r="G74" s="260">
        <f t="shared" ref="G74" si="116">G72+G73</f>
        <v>0</v>
      </c>
      <c r="H74" s="260">
        <f t="shared" ref="H74" si="117">H72+H73</f>
        <v>0</v>
      </c>
      <c r="I74" s="260">
        <f t="shared" ref="I74" si="118">I72+I73</f>
        <v>0</v>
      </c>
      <c r="J74" s="260">
        <f t="shared" ref="J74" si="119">J72+J73</f>
        <v>0</v>
      </c>
      <c r="K74" s="260">
        <f t="shared" ref="K74" si="120">K72+K73</f>
        <v>0</v>
      </c>
      <c r="L74" s="260">
        <f t="shared" ref="L74" si="121">L72+L73</f>
        <v>0</v>
      </c>
      <c r="M74" s="260">
        <f t="shared" ref="M74" si="122">M72+M73</f>
        <v>0</v>
      </c>
      <c r="N74" s="260">
        <f t="shared" ref="N74" si="123">N72+N73</f>
        <v>0</v>
      </c>
      <c r="O74" s="260">
        <f>O72+O73</f>
        <v>0</v>
      </c>
    </row>
    <row r="75" spans="2:15" ht="30" x14ac:dyDescent="0.25">
      <c r="B75" s="270" t="s">
        <v>215</v>
      </c>
      <c r="C75" s="271">
        <f t="shared" ref="C75" si="124">C70-C74</f>
        <v>71946943.297025368</v>
      </c>
      <c r="D75" s="271">
        <f t="shared" ref="D75" si="125">D70-D74</f>
        <v>78326666.541894734</v>
      </c>
      <c r="E75" s="271">
        <f t="shared" ref="E75" si="126">E70-E74</f>
        <v>84706389.786764115</v>
      </c>
      <c r="F75" s="271">
        <f t="shared" ref="F75" si="127">F70-F74</f>
        <v>72726068.834743232</v>
      </c>
      <c r="G75" s="271">
        <f t="shared" ref="G75" si="128">G70-G74</f>
        <v>79105792.079612613</v>
      </c>
      <c r="H75" s="271">
        <f t="shared" ref="H75" si="129">H70-H74</f>
        <v>85485515.324481994</v>
      </c>
      <c r="I75" s="271">
        <f t="shared" ref="I75" si="130">I70-I74</f>
        <v>91865238.569351375</v>
      </c>
      <c r="J75" s="271">
        <f t="shared" ref="J75" si="131">J70-J74</f>
        <v>98244961.814220756</v>
      </c>
      <c r="K75" s="271">
        <f t="shared" ref="K75" si="132">K70-K74</f>
        <v>104624685.05909014</v>
      </c>
      <c r="L75" s="271">
        <f t="shared" ref="L75" si="133">L70-L74</f>
        <v>111004408.30395952</v>
      </c>
      <c r="M75" s="271">
        <f t="shared" ref="M75" si="134">M70-M74</f>
        <v>117384131.5488289</v>
      </c>
      <c r="N75" s="271">
        <f t="shared" ref="N75" si="135">N70-N74</f>
        <v>123763854.79369828</v>
      </c>
      <c r="O75" s="271">
        <f t="shared" ref="O75" si="136">O70-O74</f>
        <v>128726688.12703174</v>
      </c>
    </row>
    <row r="76" spans="2:15" x14ac:dyDescent="0.25">
      <c r="B76" s="262" t="s">
        <v>146</v>
      </c>
      <c r="C76" s="263"/>
      <c r="D76" s="263"/>
      <c r="E76" s="263"/>
      <c r="F76" s="263"/>
      <c r="G76" s="263"/>
      <c r="H76" s="263"/>
      <c r="I76" s="263"/>
      <c r="J76" s="263"/>
      <c r="K76" s="263"/>
      <c r="L76" s="263"/>
      <c r="M76" s="263"/>
      <c r="N76" s="263"/>
      <c r="O76" s="251"/>
    </row>
    <row r="77" spans="2:15" ht="30" x14ac:dyDescent="0.25">
      <c r="B77" s="258" t="s">
        <v>222</v>
      </c>
      <c r="C77" s="259">
        <f>'Estado de Resultados'!$C$9/12</f>
        <v>451166.66666666669</v>
      </c>
      <c r="D77" s="259">
        <f>'Estado de Resultados'!$C$9/12</f>
        <v>451166.66666666669</v>
      </c>
      <c r="E77" s="259">
        <f>'Estado de Resultados'!$C$9/12</f>
        <v>451166.66666666669</v>
      </c>
      <c r="F77" s="259">
        <f>'Estado de Resultados'!$C$9/12</f>
        <v>451166.66666666669</v>
      </c>
      <c r="G77" s="259">
        <f>'Estado de Resultados'!$C$9/12</f>
        <v>451166.66666666669</v>
      </c>
      <c r="H77" s="259">
        <f>'Estado de Resultados'!$C$9/12</f>
        <v>451166.66666666669</v>
      </c>
      <c r="I77" s="259">
        <f>'Estado de Resultados'!$C$9/12</f>
        <v>451166.66666666669</v>
      </c>
      <c r="J77" s="259">
        <f>'Estado de Resultados'!$C$9/12</f>
        <v>451166.66666666669</v>
      </c>
      <c r="K77" s="259">
        <f>'Estado de Resultados'!$C$9/12</f>
        <v>451166.66666666669</v>
      </c>
      <c r="L77" s="259">
        <f>'Estado de Resultados'!$C$9/12</f>
        <v>451166.66666666669</v>
      </c>
      <c r="M77" s="259">
        <f>'Estado de Resultados'!$C$9/12</f>
        <v>451166.66666666669</v>
      </c>
      <c r="N77" s="259">
        <f>'Estado de Resultados'!$C$9/12</f>
        <v>451166.66666666669</v>
      </c>
      <c r="O77" s="252">
        <f t="shared" ref="O77:O78" si="137">SUM(C77:N77)</f>
        <v>5414000</v>
      </c>
    </row>
    <row r="78" spans="2:15" x14ac:dyDescent="0.25">
      <c r="B78" s="262" t="s">
        <v>276</v>
      </c>
      <c r="C78" s="251"/>
      <c r="D78" s="251"/>
      <c r="E78" s="251"/>
      <c r="F78" s="251"/>
      <c r="G78" s="251"/>
      <c r="H78" s="251"/>
      <c r="I78" s="251"/>
      <c r="J78" s="251"/>
      <c r="K78" s="251"/>
      <c r="L78" s="251"/>
      <c r="M78" s="251"/>
      <c r="N78" s="253">
        <f>'Estado de Resultados'!E13</f>
        <v>25263704.049682751</v>
      </c>
      <c r="O78" s="252">
        <f t="shared" si="137"/>
        <v>25263704.049682751</v>
      </c>
    </row>
    <row r="79" spans="2:15" ht="15.75" thickBot="1" x14ac:dyDescent="0.3">
      <c r="B79" s="272" t="s">
        <v>223</v>
      </c>
      <c r="C79" s="273">
        <f t="shared" ref="C79:O79" si="138">C75-C77</f>
        <v>71495776.630358696</v>
      </c>
      <c r="D79" s="273">
        <f t="shared" si="138"/>
        <v>77875499.875228062</v>
      </c>
      <c r="E79" s="273">
        <f t="shared" si="138"/>
        <v>84255223.120097443</v>
      </c>
      <c r="F79" s="273">
        <f t="shared" si="138"/>
        <v>72274902.16807656</v>
      </c>
      <c r="G79" s="273">
        <f t="shared" si="138"/>
        <v>78654625.412945941</v>
      </c>
      <c r="H79" s="273">
        <f t="shared" si="138"/>
        <v>85034348.657815322</v>
      </c>
      <c r="I79" s="273">
        <f t="shared" si="138"/>
        <v>91414071.902684703</v>
      </c>
      <c r="J79" s="273">
        <f t="shared" si="138"/>
        <v>97793795.147554085</v>
      </c>
      <c r="K79" s="273">
        <f t="shared" si="138"/>
        <v>104173518.39242347</v>
      </c>
      <c r="L79" s="273">
        <f t="shared" si="138"/>
        <v>110553241.63729285</v>
      </c>
      <c r="M79" s="273">
        <f t="shared" si="138"/>
        <v>116932964.88216223</v>
      </c>
      <c r="N79" s="271">
        <f t="shared" si="138"/>
        <v>123312688.12703161</v>
      </c>
      <c r="O79" s="271">
        <f t="shared" si="138"/>
        <v>123312688.12703174</v>
      </c>
    </row>
    <row r="80" spans="2:15" ht="15.75" thickBot="1" x14ac:dyDescent="0.3">
      <c r="B80" s="96"/>
      <c r="C80" s="96"/>
      <c r="D80" s="96"/>
      <c r="E80" s="96"/>
      <c r="F80" s="96"/>
      <c r="G80" s="96"/>
      <c r="H80" s="96"/>
      <c r="I80" s="96"/>
      <c r="J80" s="96"/>
      <c r="K80" s="96"/>
      <c r="L80" s="96"/>
      <c r="M80" s="96"/>
      <c r="N80" s="255" t="s">
        <v>277</v>
      </c>
      <c r="O80" s="254">
        <f>O60-O63-O64-O66-O67-O68-O73-O77-O78</f>
        <v>51292974.888749942</v>
      </c>
    </row>
    <row r="81" spans="2:15" x14ac:dyDescent="0.25">
      <c r="B81" s="96"/>
      <c r="C81" s="96"/>
      <c r="D81" s="96"/>
      <c r="E81" s="96"/>
      <c r="F81" s="96"/>
      <c r="G81" s="96"/>
      <c r="H81" s="96"/>
      <c r="I81" s="96"/>
      <c r="J81" s="96"/>
      <c r="K81" s="96"/>
      <c r="L81" s="96"/>
      <c r="M81" s="96"/>
      <c r="N81" s="96"/>
      <c r="O81" s="96"/>
    </row>
    <row r="82" spans="2:15" x14ac:dyDescent="0.25">
      <c r="B82" s="96"/>
      <c r="C82" s="96"/>
      <c r="D82" s="96"/>
      <c r="E82" s="96"/>
      <c r="F82" s="96"/>
      <c r="G82" s="96"/>
      <c r="H82" s="96"/>
      <c r="I82" s="96"/>
      <c r="J82" s="96"/>
      <c r="K82" s="96"/>
      <c r="L82" s="96"/>
      <c r="M82" s="96"/>
      <c r="N82" s="96"/>
      <c r="O82" s="96"/>
    </row>
    <row r="83" spans="2:15" x14ac:dyDescent="0.25">
      <c r="B83" s="326" t="s">
        <v>294</v>
      </c>
      <c r="C83" s="327"/>
      <c r="D83" s="327"/>
      <c r="E83" s="327"/>
      <c r="F83" s="327"/>
      <c r="G83" s="327"/>
      <c r="H83" s="327"/>
      <c r="I83" s="327"/>
      <c r="J83" s="327"/>
      <c r="K83" s="327"/>
      <c r="L83" s="327"/>
      <c r="M83" s="327"/>
      <c r="N83" s="327"/>
      <c r="O83" s="327"/>
    </row>
    <row r="84" spans="2:15" x14ac:dyDescent="0.25">
      <c r="B84" s="256"/>
      <c r="C84" s="267" t="s">
        <v>292</v>
      </c>
      <c r="D84" s="267" t="s">
        <v>280</v>
      </c>
      <c r="E84" s="267" t="s">
        <v>281</v>
      </c>
      <c r="F84" s="267" t="s">
        <v>282</v>
      </c>
      <c r="G84" s="267" t="s">
        <v>283</v>
      </c>
      <c r="H84" s="267" t="s">
        <v>284</v>
      </c>
      <c r="I84" s="267" t="s">
        <v>285</v>
      </c>
      <c r="J84" s="267" t="s">
        <v>286</v>
      </c>
      <c r="K84" s="267" t="s">
        <v>287</v>
      </c>
      <c r="L84" s="267" t="s">
        <v>288</v>
      </c>
      <c r="M84" s="267" t="s">
        <v>289</v>
      </c>
      <c r="N84" s="267" t="s">
        <v>290</v>
      </c>
      <c r="O84" s="257" t="s">
        <v>272</v>
      </c>
    </row>
    <row r="85" spans="2:15" x14ac:dyDescent="0.25">
      <c r="B85" s="258" t="s">
        <v>216</v>
      </c>
      <c r="C85" s="259">
        <f>O75</f>
        <v>128726688.12703174</v>
      </c>
      <c r="D85" s="260">
        <f>C106</f>
        <v>136854064.87216192</v>
      </c>
      <c r="E85" s="260">
        <f t="shared" ref="E85" si="139">D106</f>
        <v>144981441.61729211</v>
      </c>
      <c r="F85" s="260">
        <f t="shared" ref="F85" si="140">E106</f>
        <v>153108818.36242229</v>
      </c>
      <c r="G85" s="260">
        <f t="shared" ref="G85" si="141">F106</f>
        <v>135972491.05786973</v>
      </c>
      <c r="H85" s="260">
        <f t="shared" ref="H85" si="142">G106</f>
        <v>144099867.80299991</v>
      </c>
      <c r="I85" s="260">
        <f t="shared" ref="I85" si="143">H106</f>
        <v>152227244.5481301</v>
      </c>
      <c r="J85" s="260">
        <f t="shared" ref="J85" si="144">I106</f>
        <v>160354621.29326028</v>
      </c>
      <c r="K85" s="260">
        <f t="shared" ref="K85" si="145">J106</f>
        <v>168481998.03839046</v>
      </c>
      <c r="L85" s="260">
        <f t="shared" ref="L85" si="146">K106</f>
        <v>176609374.78352064</v>
      </c>
      <c r="M85" s="260">
        <f t="shared" ref="M85" si="147">L106</f>
        <v>184736751.52865082</v>
      </c>
      <c r="N85" s="260">
        <f t="shared" ref="N85" si="148">M106</f>
        <v>192864128.273781</v>
      </c>
      <c r="O85" s="260">
        <f>C85</f>
        <v>128726688.12703174</v>
      </c>
    </row>
    <row r="86" spans="2:15" x14ac:dyDescent="0.25">
      <c r="B86" s="261" t="s">
        <v>131</v>
      </c>
      <c r="C86" s="251"/>
      <c r="D86" s="251"/>
      <c r="E86" s="251"/>
      <c r="F86" s="251"/>
      <c r="G86" s="251"/>
      <c r="H86" s="251"/>
      <c r="I86" s="251"/>
      <c r="J86" s="251"/>
      <c r="K86" s="251"/>
      <c r="L86" s="251"/>
      <c r="M86" s="251"/>
      <c r="N86" s="251"/>
      <c r="O86" s="251"/>
    </row>
    <row r="87" spans="2:15" x14ac:dyDescent="0.25">
      <c r="B87" s="262" t="s">
        <v>208</v>
      </c>
      <c r="C87" s="263">
        <f>'Estado de Resultados'!$F$5/12</f>
        <v>44960691.1057631</v>
      </c>
      <c r="D87" s="263">
        <f>'Estado de Resultados'!$F$5/12</f>
        <v>44960691.1057631</v>
      </c>
      <c r="E87" s="263">
        <f>'Estado de Resultados'!$F$5/12</f>
        <v>44960691.1057631</v>
      </c>
      <c r="F87" s="263">
        <f>'Estado de Resultados'!$F$5/12</f>
        <v>44960691.1057631</v>
      </c>
      <c r="G87" s="263">
        <f>'Estado de Resultados'!$F$5/12</f>
        <v>44960691.1057631</v>
      </c>
      <c r="H87" s="263">
        <f>'Estado de Resultados'!$F$5/12</f>
        <v>44960691.1057631</v>
      </c>
      <c r="I87" s="263">
        <f>'Estado de Resultados'!$F$5/12</f>
        <v>44960691.1057631</v>
      </c>
      <c r="J87" s="263">
        <f>'Estado de Resultados'!$F$5/12</f>
        <v>44960691.1057631</v>
      </c>
      <c r="K87" s="263">
        <f>'Estado de Resultados'!$F$5/12</f>
        <v>44960691.1057631</v>
      </c>
      <c r="L87" s="263">
        <f>'Estado de Resultados'!$F$5/12</f>
        <v>44960691.1057631</v>
      </c>
      <c r="M87" s="263">
        <f>'Estado de Resultados'!$F$5/12</f>
        <v>44960691.1057631</v>
      </c>
      <c r="N87" s="263">
        <f>'Estado de Resultados'!$F$5/12</f>
        <v>44960691.1057631</v>
      </c>
      <c r="O87" s="252">
        <f>SUM(C87:N87)</f>
        <v>539528293.26915705</v>
      </c>
    </row>
    <row r="88" spans="2:15" x14ac:dyDescent="0.25">
      <c r="B88" s="258" t="s">
        <v>209</v>
      </c>
      <c r="C88" s="260">
        <f>C85+C87</f>
        <v>173687379.23279485</v>
      </c>
      <c r="D88" s="260">
        <f t="shared" ref="D88:O88" si="149">D85+D87</f>
        <v>181814755.97792503</v>
      </c>
      <c r="E88" s="260">
        <f t="shared" si="149"/>
        <v>189942132.72305521</v>
      </c>
      <c r="F88" s="260">
        <f t="shared" si="149"/>
        <v>198069509.4681854</v>
      </c>
      <c r="G88" s="260">
        <f t="shared" si="149"/>
        <v>180933182.16363284</v>
      </c>
      <c r="H88" s="260">
        <f t="shared" si="149"/>
        <v>189060558.90876302</v>
      </c>
      <c r="I88" s="260">
        <f t="shared" si="149"/>
        <v>197187935.6538932</v>
      </c>
      <c r="J88" s="260">
        <f t="shared" si="149"/>
        <v>205315312.39902338</v>
      </c>
      <c r="K88" s="260">
        <f t="shared" si="149"/>
        <v>213442689.14415357</v>
      </c>
      <c r="L88" s="260">
        <f t="shared" si="149"/>
        <v>221570065.88928375</v>
      </c>
      <c r="M88" s="260">
        <f t="shared" si="149"/>
        <v>229697442.63441393</v>
      </c>
      <c r="N88" s="260">
        <f t="shared" si="149"/>
        <v>237824819.37954411</v>
      </c>
      <c r="O88" s="260">
        <f t="shared" si="149"/>
        <v>668254981.39618874</v>
      </c>
    </row>
    <row r="89" spans="2:15" x14ac:dyDescent="0.25">
      <c r="B89" s="261" t="s">
        <v>210</v>
      </c>
      <c r="C89" s="251"/>
      <c r="D89" s="251"/>
      <c r="E89" s="251"/>
      <c r="F89" s="251"/>
      <c r="G89" s="251"/>
      <c r="H89" s="251"/>
      <c r="I89" s="251"/>
      <c r="J89" s="251"/>
      <c r="K89" s="251"/>
      <c r="L89" s="251"/>
      <c r="M89" s="251"/>
      <c r="N89" s="251"/>
      <c r="O89" s="251"/>
    </row>
    <row r="90" spans="2:15" ht="30" x14ac:dyDescent="0.25">
      <c r="B90" s="262" t="s">
        <v>217</v>
      </c>
      <c r="C90" s="263">
        <f>'Estado de Resultados'!$F$6/12</f>
        <v>32400198.661274001</v>
      </c>
      <c r="D90" s="263">
        <f>'Estado de Resultados'!$F$6/12</f>
        <v>32400198.661274001</v>
      </c>
      <c r="E90" s="263">
        <f>'Estado de Resultados'!$F$6/12</f>
        <v>32400198.661274001</v>
      </c>
      <c r="F90" s="263">
        <f>'Estado de Resultados'!$F$6/12</f>
        <v>32400198.661274001</v>
      </c>
      <c r="G90" s="263">
        <f>'Estado de Resultados'!$F$6/12</f>
        <v>32400198.661274001</v>
      </c>
      <c r="H90" s="263">
        <f>'Estado de Resultados'!$F$6/12</f>
        <v>32400198.661274001</v>
      </c>
      <c r="I90" s="263">
        <f>'Estado de Resultados'!$F$6/12</f>
        <v>32400198.661274001</v>
      </c>
      <c r="J90" s="263">
        <f>'Estado de Resultados'!$F$6/12</f>
        <v>32400198.661274001</v>
      </c>
      <c r="K90" s="263">
        <f>'Estado de Resultados'!$F$6/12</f>
        <v>32400198.661274001</v>
      </c>
      <c r="L90" s="263">
        <f>'Estado de Resultados'!$F$6/12</f>
        <v>32400198.661274001</v>
      </c>
      <c r="M90" s="263">
        <f>'Estado de Resultados'!$F$6/12</f>
        <v>32400198.661274001</v>
      </c>
      <c r="N90" s="263">
        <f>'Estado de Resultados'!$F$6/12</f>
        <v>32400198.661274001</v>
      </c>
      <c r="O90" s="252">
        <f>SUM(C90:N90)</f>
        <v>388802383.93528813</v>
      </c>
    </row>
    <row r="91" spans="2:15" x14ac:dyDescent="0.25">
      <c r="B91" s="262" t="s">
        <v>218</v>
      </c>
      <c r="C91" s="263">
        <f>(C64*'Proyección de ventas'!$F$16)+C64</f>
        <v>2662027.2084850771</v>
      </c>
      <c r="D91" s="263">
        <f>(D64*'Proyección de ventas'!$F$16)+D64</f>
        <v>2662027.2084850771</v>
      </c>
      <c r="E91" s="263">
        <f>(E64*'Proyección de ventas'!$F$16)+E64</f>
        <v>2662027.2084850771</v>
      </c>
      <c r="F91" s="263">
        <f>(F64*'Proyección de ventas'!$F$16)+F64</f>
        <v>2662027.2084850771</v>
      </c>
      <c r="G91" s="263">
        <f>(G64*'Proyección de ventas'!$F$16)+G64</f>
        <v>2662027.2084850771</v>
      </c>
      <c r="H91" s="263">
        <f>(H64*'Proyección de ventas'!$F$16)+H64</f>
        <v>2662027.2084850771</v>
      </c>
      <c r="I91" s="263">
        <f>(I64*'Proyección de ventas'!$F$16)+I64</f>
        <v>2662027.2084850771</v>
      </c>
      <c r="J91" s="263">
        <f>(J64*'Proyección de ventas'!$F$16)+J64</f>
        <v>2662027.2084850771</v>
      </c>
      <c r="K91" s="263">
        <f>(K64*'Proyección de ventas'!$F$16)+K64</f>
        <v>2662027.2084850771</v>
      </c>
      <c r="L91" s="263">
        <f>(L64*'Proyección de ventas'!$F$16)+L64</f>
        <v>2662027.2084850771</v>
      </c>
      <c r="M91" s="263">
        <f>(M64*'Proyección de ventas'!$F$16)+M64</f>
        <v>2662027.2084850771</v>
      </c>
      <c r="N91" s="263">
        <f>(N64*'Proyección de ventas'!$F$16)+N64</f>
        <v>2662027.2084850771</v>
      </c>
      <c r="O91" s="252">
        <f t="shared" ref="O91:O95" si="150">SUM(C91:N91)</f>
        <v>31944326.501820933</v>
      </c>
    </row>
    <row r="92" spans="2:15" x14ac:dyDescent="0.25">
      <c r="B92" s="262" t="s">
        <v>211</v>
      </c>
      <c r="C92" s="263"/>
      <c r="D92" s="263"/>
      <c r="E92" s="263"/>
      <c r="F92" s="263">
        <f>O78</f>
        <v>25263704.049682751</v>
      </c>
      <c r="G92" s="263"/>
      <c r="H92" s="263"/>
      <c r="I92" s="263"/>
      <c r="J92" s="263"/>
      <c r="K92" s="263"/>
      <c r="L92" s="263"/>
      <c r="M92" s="263"/>
      <c r="N92" s="96"/>
      <c r="O92" s="252">
        <f>SUM(C92:M92)</f>
        <v>25263704.049682751</v>
      </c>
    </row>
    <row r="93" spans="2:15" ht="30" x14ac:dyDescent="0.25">
      <c r="B93" s="262" t="s">
        <v>220</v>
      </c>
      <c r="C93" s="263">
        <f>(C66*'Proyección de ventas'!$F$16)+C66</f>
        <v>232927.38074244425</v>
      </c>
      <c r="D93" s="263">
        <f>(D66*'Proyección de ventas'!$F$16)+D66</f>
        <v>232927.38074244425</v>
      </c>
      <c r="E93" s="263">
        <f>(E66*'Proyección de ventas'!$F$16)+E66</f>
        <v>232927.38074244425</v>
      </c>
      <c r="F93" s="263">
        <f>(F66*'Proyección de ventas'!$F$16)+F66</f>
        <v>232927.38074244425</v>
      </c>
      <c r="G93" s="263">
        <f>(G66*'Proyección de ventas'!$F$16)+G66</f>
        <v>232927.38074244425</v>
      </c>
      <c r="H93" s="263">
        <f>(H66*'Proyección de ventas'!$F$16)+H66</f>
        <v>232927.38074244425</v>
      </c>
      <c r="I93" s="263">
        <f>(I66*'Proyección de ventas'!$F$16)+I66</f>
        <v>232927.38074244425</v>
      </c>
      <c r="J93" s="263">
        <f>(J66*'Proyección de ventas'!$F$16)+J66</f>
        <v>232927.38074244425</v>
      </c>
      <c r="K93" s="263">
        <f>(K66*'Proyección de ventas'!$F$16)+K66</f>
        <v>232927.38074244425</v>
      </c>
      <c r="L93" s="263">
        <f>(L66*'Proyección de ventas'!$F$16)+L66</f>
        <v>232927.38074244425</v>
      </c>
      <c r="M93" s="263">
        <f>(M66*'Proyección de ventas'!$F$16)+M66</f>
        <v>232927.38074244425</v>
      </c>
      <c r="N93" s="263">
        <f>(N66*'Proyección de ventas'!$F$16)+N66</f>
        <v>232927.38074244425</v>
      </c>
      <c r="O93" s="252">
        <f t="shared" si="150"/>
        <v>2795128.5689093308</v>
      </c>
    </row>
    <row r="94" spans="2:15" x14ac:dyDescent="0.25">
      <c r="B94" s="262" t="s">
        <v>212</v>
      </c>
      <c r="C94" s="263">
        <f>(C67*'Proyección de ventas'!$F$16)+C67</f>
        <v>998260.20318190393</v>
      </c>
      <c r="D94" s="263">
        <f>(D67*'Proyección de ventas'!$F$16)+D67</f>
        <v>998260.20318190393</v>
      </c>
      <c r="E94" s="263">
        <f>(E67*'Proyección de ventas'!$F$16)+E67</f>
        <v>998260.20318190393</v>
      </c>
      <c r="F94" s="263">
        <f>(F67*'Proyección de ventas'!$F$16)+F67</f>
        <v>998260.20318190393</v>
      </c>
      <c r="G94" s="263">
        <f>(G67*'Proyección de ventas'!$F$16)+G67</f>
        <v>998260.20318190393</v>
      </c>
      <c r="H94" s="263">
        <f>(H67*'Proyección de ventas'!$F$16)+H67</f>
        <v>998260.20318190393</v>
      </c>
      <c r="I94" s="263">
        <f>(I67*'Proyección de ventas'!$F$16)+I67</f>
        <v>998260.20318190393</v>
      </c>
      <c r="J94" s="263">
        <f>(J67*'Proyección de ventas'!$F$16)+J67</f>
        <v>998260.20318190393</v>
      </c>
      <c r="K94" s="263">
        <f>(K67*'Proyección de ventas'!$F$16)+K67</f>
        <v>998260.20318190393</v>
      </c>
      <c r="L94" s="263">
        <f>(L67*'Proyección de ventas'!$F$16)+L67</f>
        <v>998260.20318190393</v>
      </c>
      <c r="M94" s="263">
        <f>(M67*'Proyección de ventas'!$F$16)+M67</f>
        <v>998260.20318190393</v>
      </c>
      <c r="N94" s="263">
        <f>(N67*'Proyección de ventas'!$F$16)+N67</f>
        <v>998260.20318190393</v>
      </c>
      <c r="O94" s="252">
        <f t="shared" si="150"/>
        <v>11979122.438182848</v>
      </c>
    </row>
    <row r="95" spans="2:15" ht="30" x14ac:dyDescent="0.25">
      <c r="B95" s="262" t="s">
        <v>219</v>
      </c>
      <c r="C95" s="263">
        <f>(C68*'Proyección de ventas'!$F$16)+C68</f>
        <v>88734.240282835919</v>
      </c>
      <c r="D95" s="263">
        <f>(D68*'Proyección de ventas'!$F$16)+D68</f>
        <v>88734.240282835919</v>
      </c>
      <c r="E95" s="263">
        <f>(E68*'Proyección de ventas'!$F$16)+E68</f>
        <v>88734.240282835919</v>
      </c>
      <c r="F95" s="263">
        <f>(F68*'Proyección de ventas'!$F$16)+F68</f>
        <v>88734.240282835919</v>
      </c>
      <c r="G95" s="263">
        <f>(G68*'Proyección de ventas'!$F$16)+G68</f>
        <v>88734.240282835919</v>
      </c>
      <c r="H95" s="263">
        <f>(H68*'Proyección de ventas'!$F$16)+H68</f>
        <v>88734.240282835919</v>
      </c>
      <c r="I95" s="263">
        <f>(I68*'Proyección de ventas'!$F$16)+I68</f>
        <v>88734.240282835919</v>
      </c>
      <c r="J95" s="263">
        <f>(J68*'Proyección de ventas'!$F$16)+J68</f>
        <v>88734.240282835919</v>
      </c>
      <c r="K95" s="263">
        <f>(K68*'Proyección de ventas'!$F$16)+K68</f>
        <v>88734.240282835919</v>
      </c>
      <c r="L95" s="263">
        <f>(L68*'Proyección de ventas'!$F$16)+L68</f>
        <v>88734.240282835919</v>
      </c>
      <c r="M95" s="263">
        <f>(M68*'Proyección de ventas'!$F$16)+M68</f>
        <v>88734.240282835919</v>
      </c>
      <c r="N95" s="263">
        <f>(N68*'Proyección de ventas'!$F$16)+N68</f>
        <v>88734.240282835919</v>
      </c>
      <c r="O95" s="252">
        <f t="shared" si="150"/>
        <v>1064810.8833940311</v>
      </c>
    </row>
    <row r="96" spans="2:15" x14ac:dyDescent="0.25">
      <c r="B96" s="258" t="s">
        <v>213</v>
      </c>
      <c r="C96" s="260">
        <f t="shared" ref="C96" si="151">SUM(C90:C95)</f>
        <v>36382147.693966262</v>
      </c>
      <c r="D96" s="260">
        <f t="shared" ref="D96" si="152">SUM(D90:D95)</f>
        <v>36382147.693966262</v>
      </c>
      <c r="E96" s="260">
        <f t="shared" ref="E96" si="153">SUM(E90:E95)</f>
        <v>36382147.693966262</v>
      </c>
      <c r="F96" s="260">
        <f t="shared" ref="F96" si="154">SUM(F90:F95)</f>
        <v>61645851.743649013</v>
      </c>
      <c r="G96" s="260">
        <f t="shared" ref="G96" si="155">SUM(G90:G95)</f>
        <v>36382147.693966262</v>
      </c>
      <c r="H96" s="260">
        <f t="shared" ref="H96" si="156">SUM(H90:H95)</f>
        <v>36382147.693966262</v>
      </c>
      <c r="I96" s="260">
        <f t="shared" ref="I96" si="157">SUM(I90:I95)</f>
        <v>36382147.693966262</v>
      </c>
      <c r="J96" s="260">
        <f t="shared" ref="J96" si="158">SUM(J90:J95)</f>
        <v>36382147.693966262</v>
      </c>
      <c r="K96" s="260">
        <f t="shared" ref="K96" si="159">SUM(K90:K95)</f>
        <v>36382147.693966262</v>
      </c>
      <c r="L96" s="260">
        <f t="shared" ref="L96" si="160">SUM(L90:L95)</f>
        <v>36382147.693966262</v>
      </c>
      <c r="M96" s="260">
        <f t="shared" ref="M96" si="161">SUM(M90:M95)</f>
        <v>36382147.693966262</v>
      </c>
      <c r="N96" s="260">
        <f t="shared" ref="N96" si="162">SUM(N90:N95)</f>
        <v>36382147.693966262</v>
      </c>
      <c r="O96" s="260">
        <f t="shared" ref="O96" si="163">SUM(O90:O95)</f>
        <v>461849476.37727797</v>
      </c>
    </row>
    <row r="97" spans="2:15" ht="30" x14ac:dyDescent="0.25">
      <c r="B97" s="270" t="s">
        <v>221</v>
      </c>
      <c r="C97" s="271">
        <f t="shared" ref="C97" si="164">C88-C96</f>
        <v>137305231.53882858</v>
      </c>
      <c r="D97" s="271">
        <f t="shared" ref="D97" si="165">D88-D96</f>
        <v>145432608.28395876</v>
      </c>
      <c r="E97" s="271">
        <f t="shared" ref="E97" si="166">E88-E96</f>
        <v>153559985.02908894</v>
      </c>
      <c r="F97" s="271">
        <f t="shared" ref="F97" si="167">F88-F96</f>
        <v>136423657.72453639</v>
      </c>
      <c r="G97" s="271">
        <f t="shared" ref="G97" si="168">G88-G96</f>
        <v>144551034.46966657</v>
      </c>
      <c r="H97" s="271">
        <f t="shared" ref="H97" si="169">H88-H96</f>
        <v>152678411.21479675</v>
      </c>
      <c r="I97" s="271">
        <f t="shared" ref="I97" si="170">I88-I96</f>
        <v>160805787.95992693</v>
      </c>
      <c r="J97" s="271">
        <f t="shared" ref="J97" si="171">J88-J96</f>
        <v>168933164.70505711</v>
      </c>
      <c r="K97" s="271">
        <f t="shared" ref="K97" si="172">K88-K96</f>
        <v>177060541.4501873</v>
      </c>
      <c r="L97" s="271">
        <f t="shared" ref="L97" si="173">L88-L96</f>
        <v>185187918.19531748</v>
      </c>
      <c r="M97" s="271">
        <f t="shared" ref="M97" si="174">M88-M96</f>
        <v>193315294.94044766</v>
      </c>
      <c r="N97" s="271">
        <f t="shared" ref="N97" si="175">N88-N96</f>
        <v>201442671.68557784</v>
      </c>
      <c r="O97" s="271">
        <f t="shared" ref="O97" si="176">O88-O96</f>
        <v>206405505.01891077</v>
      </c>
    </row>
    <row r="98" spans="2:15" x14ac:dyDescent="0.25">
      <c r="B98" s="262" t="s">
        <v>80</v>
      </c>
      <c r="C98" s="251"/>
      <c r="D98" s="251"/>
      <c r="E98" s="251"/>
      <c r="F98" s="251"/>
      <c r="G98" s="251"/>
      <c r="H98" s="251"/>
      <c r="I98" s="251"/>
      <c r="J98" s="251"/>
      <c r="K98" s="251"/>
      <c r="L98" s="251"/>
      <c r="M98" s="251"/>
      <c r="N98" s="251"/>
      <c r="O98" s="251"/>
    </row>
    <row r="99" spans="2:15" x14ac:dyDescent="0.25">
      <c r="B99" s="262" t="s">
        <v>273</v>
      </c>
      <c r="C99" s="253">
        <v>0</v>
      </c>
      <c r="D99" s="253">
        <v>0</v>
      </c>
      <c r="E99" s="253">
        <v>0</v>
      </c>
      <c r="F99" s="253">
        <v>0</v>
      </c>
      <c r="G99" s="253">
        <v>0</v>
      </c>
      <c r="H99" s="253">
        <v>0</v>
      </c>
      <c r="I99" s="253">
        <v>0</v>
      </c>
      <c r="J99" s="253">
        <v>0</v>
      </c>
      <c r="K99" s="253">
        <v>0</v>
      </c>
      <c r="L99" s="253">
        <v>0</v>
      </c>
      <c r="M99" s="253">
        <v>0</v>
      </c>
      <c r="N99" s="253">
        <v>0</v>
      </c>
      <c r="O99" s="253">
        <f t="shared" ref="O99:O100" si="177">SUM(C99:N99)</f>
        <v>0</v>
      </c>
    </row>
    <row r="100" spans="2:15" x14ac:dyDescent="0.25">
      <c r="B100" s="262" t="s">
        <v>274</v>
      </c>
      <c r="C100" s="263">
        <v>0</v>
      </c>
      <c r="D100" s="263">
        <v>0</v>
      </c>
      <c r="E100" s="263">
        <v>0</v>
      </c>
      <c r="F100" s="263">
        <v>0</v>
      </c>
      <c r="G100" s="263">
        <v>0</v>
      </c>
      <c r="H100" s="263">
        <v>0</v>
      </c>
      <c r="I100" s="263">
        <v>0</v>
      </c>
      <c r="J100" s="263">
        <v>0</v>
      </c>
      <c r="K100" s="263">
        <v>0</v>
      </c>
      <c r="L100" s="263">
        <v>0</v>
      </c>
      <c r="M100" s="263">
        <v>0</v>
      </c>
      <c r="N100" s="263">
        <v>0</v>
      </c>
      <c r="O100" s="252">
        <f t="shared" si="177"/>
        <v>0</v>
      </c>
    </row>
    <row r="101" spans="2:15" ht="30" x14ac:dyDescent="0.25">
      <c r="B101" s="258" t="s">
        <v>214</v>
      </c>
      <c r="C101" s="260">
        <f>C99+C100</f>
        <v>0</v>
      </c>
      <c r="D101" s="260">
        <f t="shared" ref="D101" si="178">D99+D100</f>
        <v>0</v>
      </c>
      <c r="E101" s="260">
        <f t="shared" ref="E101" si="179">E99+E100</f>
        <v>0</v>
      </c>
      <c r="F101" s="260">
        <f t="shared" ref="F101" si="180">F99+F100</f>
        <v>0</v>
      </c>
      <c r="G101" s="260">
        <f t="shared" ref="G101" si="181">G99+G100</f>
        <v>0</v>
      </c>
      <c r="H101" s="260">
        <f t="shared" ref="H101" si="182">H99+H100</f>
        <v>0</v>
      </c>
      <c r="I101" s="260">
        <f t="shared" ref="I101" si="183">I99+I100</f>
        <v>0</v>
      </c>
      <c r="J101" s="260">
        <f t="shared" ref="J101" si="184">J99+J100</f>
        <v>0</v>
      </c>
      <c r="K101" s="260">
        <f t="shared" ref="K101" si="185">K99+K100</f>
        <v>0</v>
      </c>
      <c r="L101" s="260">
        <f t="shared" ref="L101" si="186">L99+L100</f>
        <v>0</v>
      </c>
      <c r="M101" s="260">
        <f t="shared" ref="M101" si="187">M99+M100</f>
        <v>0</v>
      </c>
      <c r="N101" s="260">
        <f t="shared" ref="N101" si="188">N99+N100</f>
        <v>0</v>
      </c>
      <c r="O101" s="260">
        <f>O99+O100</f>
        <v>0</v>
      </c>
    </row>
    <row r="102" spans="2:15" ht="30" x14ac:dyDescent="0.25">
      <c r="B102" s="270" t="s">
        <v>215</v>
      </c>
      <c r="C102" s="271">
        <f t="shared" ref="C102" si="189">C97-C101</f>
        <v>137305231.53882858</v>
      </c>
      <c r="D102" s="271">
        <f t="shared" ref="D102" si="190">D97-D101</f>
        <v>145432608.28395876</v>
      </c>
      <c r="E102" s="271">
        <f t="shared" ref="E102" si="191">E97-E101</f>
        <v>153559985.02908894</v>
      </c>
      <c r="F102" s="271">
        <f t="shared" ref="F102" si="192">F97-F101</f>
        <v>136423657.72453639</v>
      </c>
      <c r="G102" s="271">
        <f t="shared" ref="G102" si="193">G97-G101</f>
        <v>144551034.46966657</v>
      </c>
      <c r="H102" s="271">
        <f t="shared" ref="H102" si="194">H97-H101</f>
        <v>152678411.21479675</v>
      </c>
      <c r="I102" s="271">
        <f t="shared" ref="I102" si="195">I97-I101</f>
        <v>160805787.95992693</v>
      </c>
      <c r="J102" s="271">
        <f t="shared" ref="J102" si="196">J97-J101</f>
        <v>168933164.70505711</v>
      </c>
      <c r="K102" s="271">
        <f t="shared" ref="K102" si="197">K97-K101</f>
        <v>177060541.4501873</v>
      </c>
      <c r="L102" s="271">
        <f t="shared" ref="L102" si="198">L97-L101</f>
        <v>185187918.19531748</v>
      </c>
      <c r="M102" s="271">
        <f t="shared" ref="M102" si="199">M97-M101</f>
        <v>193315294.94044766</v>
      </c>
      <c r="N102" s="271">
        <f t="shared" ref="N102" si="200">N97-N101</f>
        <v>201442671.68557784</v>
      </c>
      <c r="O102" s="271">
        <f t="shared" ref="O102" si="201">O97-O101</f>
        <v>206405505.01891077</v>
      </c>
    </row>
    <row r="103" spans="2:15" x14ac:dyDescent="0.25">
      <c r="B103" s="262" t="s">
        <v>146</v>
      </c>
      <c r="C103" s="263"/>
      <c r="D103" s="263"/>
      <c r="E103" s="263"/>
      <c r="F103" s="263"/>
      <c r="G103" s="263"/>
      <c r="H103" s="263"/>
      <c r="I103" s="263"/>
      <c r="J103" s="263"/>
      <c r="K103" s="263"/>
      <c r="L103" s="263"/>
      <c r="M103" s="263"/>
      <c r="N103" s="263"/>
      <c r="O103" s="251"/>
    </row>
    <row r="104" spans="2:15" ht="30" x14ac:dyDescent="0.25">
      <c r="B104" s="258" t="s">
        <v>222</v>
      </c>
      <c r="C104" s="259">
        <f>'Estado de Resultados'!$C$9/12</f>
        <v>451166.66666666669</v>
      </c>
      <c r="D104" s="259">
        <f>'Estado de Resultados'!$C$9/12</f>
        <v>451166.66666666669</v>
      </c>
      <c r="E104" s="259">
        <f>'Estado de Resultados'!$C$9/12</f>
        <v>451166.66666666669</v>
      </c>
      <c r="F104" s="259">
        <f>'Estado de Resultados'!$C$9/12</f>
        <v>451166.66666666669</v>
      </c>
      <c r="G104" s="259">
        <f>'Estado de Resultados'!$C$9/12</f>
        <v>451166.66666666669</v>
      </c>
      <c r="H104" s="259">
        <f>'Estado de Resultados'!$C$9/12</f>
        <v>451166.66666666669</v>
      </c>
      <c r="I104" s="259">
        <f>'Estado de Resultados'!$C$9/12</f>
        <v>451166.66666666669</v>
      </c>
      <c r="J104" s="259">
        <f>'Estado de Resultados'!$C$9/12</f>
        <v>451166.66666666669</v>
      </c>
      <c r="K104" s="259">
        <f>'Estado de Resultados'!$C$9/12</f>
        <v>451166.66666666669</v>
      </c>
      <c r="L104" s="259">
        <f>'Estado de Resultados'!$C$9/12</f>
        <v>451166.66666666669</v>
      </c>
      <c r="M104" s="259">
        <f>'Estado de Resultados'!$C$9/12</f>
        <v>451166.66666666669</v>
      </c>
      <c r="N104" s="259">
        <f>'Estado de Resultados'!$C$9/12</f>
        <v>451166.66666666669</v>
      </c>
      <c r="O104" s="252">
        <f t="shared" ref="O104:O105" si="202">SUM(C104:N104)</f>
        <v>5414000</v>
      </c>
    </row>
    <row r="105" spans="2:15" x14ac:dyDescent="0.25">
      <c r="B105" s="262" t="s">
        <v>276</v>
      </c>
      <c r="C105" s="251"/>
      <c r="D105" s="251"/>
      <c r="E105" s="251"/>
      <c r="F105" s="251"/>
      <c r="G105" s="251"/>
      <c r="H105" s="251"/>
      <c r="I105" s="251"/>
      <c r="J105" s="251"/>
      <c r="K105" s="251"/>
      <c r="L105" s="251"/>
      <c r="M105" s="251"/>
      <c r="N105" s="253">
        <f>'Estado de Resultados'!F13</f>
        <v>32184411.910715472</v>
      </c>
      <c r="O105" s="252">
        <f t="shared" si="202"/>
        <v>32184411.910715472</v>
      </c>
    </row>
    <row r="106" spans="2:15" ht="15.75" thickBot="1" x14ac:dyDescent="0.3">
      <c r="B106" s="272" t="s">
        <v>223</v>
      </c>
      <c r="C106" s="273">
        <f t="shared" ref="C106:O106" si="203">C102-C104</f>
        <v>136854064.87216192</v>
      </c>
      <c r="D106" s="273">
        <f t="shared" si="203"/>
        <v>144981441.61729211</v>
      </c>
      <c r="E106" s="273">
        <f t="shared" si="203"/>
        <v>153108818.36242229</v>
      </c>
      <c r="F106" s="273">
        <f t="shared" si="203"/>
        <v>135972491.05786973</v>
      </c>
      <c r="G106" s="273">
        <f t="shared" si="203"/>
        <v>144099867.80299991</v>
      </c>
      <c r="H106" s="273">
        <f t="shared" si="203"/>
        <v>152227244.5481301</v>
      </c>
      <c r="I106" s="273">
        <f t="shared" si="203"/>
        <v>160354621.29326028</v>
      </c>
      <c r="J106" s="273">
        <f t="shared" si="203"/>
        <v>168481998.03839046</v>
      </c>
      <c r="K106" s="273">
        <f t="shared" si="203"/>
        <v>176609374.78352064</v>
      </c>
      <c r="L106" s="273">
        <f t="shared" si="203"/>
        <v>184736751.52865082</v>
      </c>
      <c r="M106" s="273">
        <f t="shared" si="203"/>
        <v>192864128.273781</v>
      </c>
      <c r="N106" s="274">
        <f t="shared" si="203"/>
        <v>200991505.01891118</v>
      </c>
      <c r="O106" s="274">
        <f t="shared" si="203"/>
        <v>200991505.01891077</v>
      </c>
    </row>
    <row r="107" spans="2:15" ht="15.75" thickBot="1" x14ac:dyDescent="0.3">
      <c r="B107" s="96"/>
      <c r="C107" s="96"/>
      <c r="D107" s="96"/>
      <c r="E107" s="96"/>
      <c r="F107" s="96"/>
      <c r="G107" s="96"/>
      <c r="H107" s="96"/>
      <c r="I107" s="96"/>
      <c r="J107" s="96"/>
      <c r="K107" s="96"/>
      <c r="L107" s="96"/>
      <c r="M107" s="96"/>
      <c r="N107" s="255" t="s">
        <v>277</v>
      </c>
      <c r="O107" s="254">
        <f>O87-O90-O91-O93-O94-O95-O104-O105</f>
        <v>65344109.030846298</v>
      </c>
    </row>
    <row r="108" spans="2:15" x14ac:dyDescent="0.25">
      <c r="B108" s="96"/>
      <c r="C108" s="96"/>
      <c r="D108" s="96"/>
      <c r="E108" s="96"/>
      <c r="F108" s="96"/>
      <c r="G108" s="96"/>
      <c r="H108" s="96"/>
      <c r="I108" s="96"/>
      <c r="J108" s="96"/>
      <c r="K108" s="96"/>
      <c r="L108" s="96"/>
      <c r="M108" s="96"/>
      <c r="N108" s="96"/>
      <c r="O108" s="96"/>
    </row>
    <row r="109" spans="2:15" x14ac:dyDescent="0.25">
      <c r="B109" s="96"/>
      <c r="C109" s="96"/>
      <c r="D109" s="96"/>
      <c r="E109" s="96"/>
      <c r="F109" s="96"/>
      <c r="G109" s="96"/>
      <c r="H109" s="96"/>
      <c r="I109" s="96"/>
      <c r="J109" s="96"/>
      <c r="K109" s="96"/>
      <c r="L109" s="96"/>
      <c r="M109" s="96"/>
      <c r="N109" s="96"/>
      <c r="O109" s="96"/>
    </row>
    <row r="110" spans="2:15" x14ac:dyDescent="0.25">
      <c r="B110" s="326" t="s">
        <v>295</v>
      </c>
      <c r="C110" s="327"/>
      <c r="D110" s="327"/>
      <c r="E110" s="327"/>
      <c r="F110" s="327"/>
      <c r="G110" s="327"/>
      <c r="H110" s="327"/>
      <c r="I110" s="327"/>
      <c r="J110" s="327"/>
      <c r="K110" s="327"/>
      <c r="L110" s="327"/>
      <c r="M110" s="327"/>
      <c r="N110" s="327"/>
      <c r="O110" s="327"/>
    </row>
    <row r="111" spans="2:15" x14ac:dyDescent="0.25">
      <c r="B111" s="256"/>
      <c r="C111" s="267" t="s">
        <v>292</v>
      </c>
      <c r="D111" s="267" t="s">
        <v>280</v>
      </c>
      <c r="E111" s="267" t="s">
        <v>281</v>
      </c>
      <c r="F111" s="267" t="s">
        <v>282</v>
      </c>
      <c r="G111" s="267" t="s">
        <v>283</v>
      </c>
      <c r="H111" s="267" t="s">
        <v>284</v>
      </c>
      <c r="I111" s="267" t="s">
        <v>285</v>
      </c>
      <c r="J111" s="267" t="s">
        <v>286</v>
      </c>
      <c r="K111" s="267" t="s">
        <v>287</v>
      </c>
      <c r="L111" s="267" t="s">
        <v>288</v>
      </c>
      <c r="M111" s="267" t="s">
        <v>289</v>
      </c>
      <c r="N111" s="267" t="s">
        <v>290</v>
      </c>
      <c r="O111" s="257" t="s">
        <v>272</v>
      </c>
    </row>
    <row r="112" spans="2:15" x14ac:dyDescent="0.25">
      <c r="B112" s="258" t="s">
        <v>216</v>
      </c>
      <c r="C112" s="259">
        <f>O102</f>
        <v>206405505.01891077</v>
      </c>
      <c r="D112" s="260">
        <f>C133</f>
        <v>216408154.26486742</v>
      </c>
      <c r="E112" s="260">
        <f t="shared" ref="E112" si="204">D133</f>
        <v>226410803.51082408</v>
      </c>
      <c r="F112" s="260">
        <f t="shared" ref="F112" si="205">E133</f>
        <v>236413452.75678077</v>
      </c>
      <c r="G112" s="260">
        <f t="shared" ref="G112" si="206">F133</f>
        <v>246416102.00273743</v>
      </c>
      <c r="H112" s="260">
        <f t="shared" ref="H112" si="207">G133</f>
        <v>256418751.24869409</v>
      </c>
      <c r="I112" s="260">
        <f t="shared" ref="I112" si="208">H133</f>
        <v>266421400.49465075</v>
      </c>
      <c r="J112" s="260">
        <f t="shared" ref="J112" si="209">I133</f>
        <v>276424049.74060738</v>
      </c>
      <c r="K112" s="260">
        <f t="shared" ref="K112" si="210">J133</f>
        <v>286426698.98656404</v>
      </c>
      <c r="L112" s="260">
        <f t="shared" ref="L112" si="211">K133</f>
        <v>296429348.2325207</v>
      </c>
      <c r="M112" s="260">
        <f t="shared" ref="M112" si="212">L133</f>
        <v>306431997.47847736</v>
      </c>
      <c r="N112" s="260">
        <f t="shared" ref="N112" si="213">M133</f>
        <v>316434646.72443402</v>
      </c>
      <c r="O112" s="260">
        <f>C112</f>
        <v>206405505.01891077</v>
      </c>
    </row>
    <row r="113" spans="2:15" x14ac:dyDescent="0.25">
      <c r="B113" s="261" t="s">
        <v>131</v>
      </c>
      <c r="C113" s="251"/>
      <c r="D113" s="251"/>
      <c r="E113" s="251"/>
      <c r="F113" s="251"/>
      <c r="G113" s="251"/>
      <c r="H113" s="251"/>
      <c r="I113" s="251"/>
      <c r="J113" s="251"/>
      <c r="K113" s="251"/>
      <c r="L113" s="251"/>
      <c r="M113" s="251"/>
      <c r="N113" s="251"/>
      <c r="O113" s="251"/>
    </row>
    <row r="114" spans="2:15" x14ac:dyDescent="0.25">
      <c r="B114" s="262" t="s">
        <v>208</v>
      </c>
      <c r="C114" s="263">
        <f>'Estado de Resultados'!$G$5/12</f>
        <v>48025924.433620073</v>
      </c>
      <c r="D114" s="263">
        <f>'Estado de Resultados'!$G$5/12</f>
        <v>48025924.433620073</v>
      </c>
      <c r="E114" s="263">
        <f>'Estado de Resultados'!$G$5/12</f>
        <v>48025924.433620073</v>
      </c>
      <c r="F114" s="263">
        <f>'Estado de Resultados'!$G$5/12</f>
        <v>48025924.433620073</v>
      </c>
      <c r="G114" s="263">
        <f>'Estado de Resultados'!$G$5/12</f>
        <v>48025924.433620073</v>
      </c>
      <c r="H114" s="263">
        <f>'Estado de Resultados'!$G$5/12</f>
        <v>48025924.433620073</v>
      </c>
      <c r="I114" s="263">
        <f>'Estado de Resultados'!$G$5/12</f>
        <v>48025924.433620073</v>
      </c>
      <c r="J114" s="263">
        <f>'Estado de Resultados'!$G$5/12</f>
        <v>48025924.433620073</v>
      </c>
      <c r="K114" s="263">
        <f>'Estado de Resultados'!$G$5/12</f>
        <v>48025924.433620073</v>
      </c>
      <c r="L114" s="263">
        <f>'Estado de Resultados'!$G$5/12</f>
        <v>48025924.433620073</v>
      </c>
      <c r="M114" s="263">
        <f>'Estado de Resultados'!$G$5/12</f>
        <v>48025924.433620073</v>
      </c>
      <c r="N114" s="263">
        <f>'Estado de Resultados'!$G$5/12</f>
        <v>48025924.433620073</v>
      </c>
      <c r="O114" s="252">
        <f>SUM(C114:N114)</f>
        <v>576311093.20344102</v>
      </c>
    </row>
    <row r="115" spans="2:15" x14ac:dyDescent="0.25">
      <c r="B115" s="258" t="s">
        <v>209</v>
      </c>
      <c r="C115" s="260">
        <f>C112+C114</f>
        <v>254431429.45253083</v>
      </c>
      <c r="D115" s="260">
        <f t="shared" ref="D115:O115" si="214">D112+D114</f>
        <v>264434078.69848749</v>
      </c>
      <c r="E115" s="260">
        <f t="shared" si="214"/>
        <v>274436727.94444418</v>
      </c>
      <c r="F115" s="260">
        <f t="shared" si="214"/>
        <v>284439377.19040084</v>
      </c>
      <c r="G115" s="260">
        <f t="shared" si="214"/>
        <v>294442026.4363575</v>
      </c>
      <c r="H115" s="260">
        <f t="shared" si="214"/>
        <v>304444675.68231416</v>
      </c>
      <c r="I115" s="260">
        <f t="shared" si="214"/>
        <v>314447324.92827082</v>
      </c>
      <c r="J115" s="260">
        <f t="shared" si="214"/>
        <v>324449974.17422748</v>
      </c>
      <c r="K115" s="260">
        <f t="shared" si="214"/>
        <v>334452623.42018414</v>
      </c>
      <c r="L115" s="260">
        <f t="shared" si="214"/>
        <v>344455272.66614079</v>
      </c>
      <c r="M115" s="260">
        <f t="shared" si="214"/>
        <v>354457921.91209745</v>
      </c>
      <c r="N115" s="260">
        <f t="shared" si="214"/>
        <v>364460571.15805411</v>
      </c>
      <c r="O115" s="260">
        <f t="shared" si="214"/>
        <v>782716598.22235179</v>
      </c>
    </row>
    <row r="116" spans="2:15" x14ac:dyDescent="0.25">
      <c r="B116" s="261" t="s">
        <v>210</v>
      </c>
      <c r="C116" s="251"/>
      <c r="D116" s="251"/>
      <c r="E116" s="251"/>
      <c r="F116" s="251"/>
      <c r="G116" s="251"/>
      <c r="H116" s="251"/>
      <c r="I116" s="251"/>
      <c r="J116" s="251"/>
      <c r="K116" s="251"/>
      <c r="L116" s="251"/>
      <c r="M116" s="251"/>
      <c r="N116" s="251"/>
      <c r="O116" s="251"/>
    </row>
    <row r="117" spans="2:15" ht="30" x14ac:dyDescent="0.25">
      <c r="B117" s="262" t="s">
        <v>217</v>
      </c>
      <c r="C117" s="263">
        <f>'Estado de Resultados'!$G$6/12</f>
        <v>33459920.795306116</v>
      </c>
      <c r="D117" s="263">
        <f>'Estado de Resultados'!$G$6/12</f>
        <v>33459920.795306116</v>
      </c>
      <c r="E117" s="263">
        <f>'Estado de Resultados'!$G$6/12</f>
        <v>33459920.795306116</v>
      </c>
      <c r="F117" s="263">
        <f>'Estado de Resultados'!$G$6/12</f>
        <v>33459920.795306116</v>
      </c>
      <c r="G117" s="263">
        <f>'Estado de Resultados'!$G$6/12</f>
        <v>33459920.795306116</v>
      </c>
      <c r="H117" s="263">
        <f>'Estado de Resultados'!$G$6/12</f>
        <v>33459920.795306116</v>
      </c>
      <c r="I117" s="263">
        <f>'Estado de Resultados'!$G$6/12</f>
        <v>33459920.795306116</v>
      </c>
      <c r="J117" s="263">
        <f>'Estado de Resultados'!$G$6/12</f>
        <v>33459920.795306116</v>
      </c>
      <c r="K117" s="263">
        <f>'Estado de Resultados'!$G$6/12</f>
        <v>33459920.795306116</v>
      </c>
      <c r="L117" s="263">
        <f>'Estado de Resultados'!$G$6/12</f>
        <v>33459920.795306116</v>
      </c>
      <c r="M117" s="263">
        <f>'Estado de Resultados'!$G$6/12</f>
        <v>33459920.795306116</v>
      </c>
      <c r="N117" s="263">
        <f>'Estado de Resultados'!$G$6/12</f>
        <v>33459920.795306116</v>
      </c>
      <c r="O117" s="252">
        <f>SUM(C117:N117)</f>
        <v>401519049.54367328</v>
      </c>
    </row>
    <row r="118" spans="2:15" x14ac:dyDescent="0.25">
      <c r="B118" s="262" t="s">
        <v>218</v>
      </c>
      <c r="C118" s="263">
        <f>(C91*'Proyección de ventas'!$F$17)+C91</f>
        <v>2749094.8584004198</v>
      </c>
      <c r="D118" s="263">
        <f>(D91*'Proyección de ventas'!$F$17)+D91</f>
        <v>2749094.8584004198</v>
      </c>
      <c r="E118" s="263">
        <f>(E91*'Proyección de ventas'!$F$17)+E91</f>
        <v>2749094.8584004198</v>
      </c>
      <c r="F118" s="263">
        <f>(F91*'Proyección de ventas'!$F$17)+F91</f>
        <v>2749094.8584004198</v>
      </c>
      <c r="G118" s="263">
        <f>(G91*'Proyección de ventas'!$F$17)+G91</f>
        <v>2749094.8584004198</v>
      </c>
      <c r="H118" s="263">
        <f>(H91*'Proyección de ventas'!$F$17)+H91</f>
        <v>2749094.8584004198</v>
      </c>
      <c r="I118" s="263">
        <f>(I91*'Proyección de ventas'!$F$17)+I91</f>
        <v>2749094.8584004198</v>
      </c>
      <c r="J118" s="263">
        <f>(J91*'Proyección de ventas'!$F$17)+J91</f>
        <v>2749094.8584004198</v>
      </c>
      <c r="K118" s="263">
        <f>(K91*'Proyección de ventas'!$F$17)+K91</f>
        <v>2749094.8584004198</v>
      </c>
      <c r="L118" s="263">
        <f>(L91*'Proyección de ventas'!$F$17)+L91</f>
        <v>2749094.8584004198</v>
      </c>
      <c r="M118" s="263">
        <f>(M91*'Proyección de ventas'!$F$17)+M91</f>
        <v>2749094.8584004198</v>
      </c>
      <c r="N118" s="263">
        <f>(N91*'Proyección de ventas'!$F$17)+N91</f>
        <v>2749094.8584004198</v>
      </c>
      <c r="O118" s="252">
        <f t="shared" ref="O118:O122" si="215">SUM(C118:N118)</f>
        <v>32989138.300805036</v>
      </c>
    </row>
    <row r="119" spans="2:15" x14ac:dyDescent="0.25">
      <c r="B119" s="262" t="s">
        <v>211</v>
      </c>
      <c r="C119" s="263"/>
      <c r="D119" s="263"/>
      <c r="E119" s="263"/>
      <c r="F119" s="263"/>
      <c r="G119" s="263"/>
      <c r="H119" s="263"/>
      <c r="I119" s="263"/>
      <c r="J119" s="263"/>
      <c r="K119" s="263"/>
      <c r="L119" s="263"/>
      <c r="M119" s="263"/>
      <c r="N119" s="263">
        <f>O105</f>
        <v>32184411.910715472</v>
      </c>
      <c r="O119" s="252">
        <f t="shared" si="215"/>
        <v>32184411.910715472</v>
      </c>
    </row>
    <row r="120" spans="2:15" ht="30" x14ac:dyDescent="0.25">
      <c r="B120" s="262" t="s">
        <v>220</v>
      </c>
      <c r="C120" s="263">
        <f>(C93*'Proyección de ventas'!$F$17)+C93</f>
        <v>240545.80011003674</v>
      </c>
      <c r="D120" s="263">
        <f>(D93*'Proyección de ventas'!$F$17)+D93</f>
        <v>240545.80011003674</v>
      </c>
      <c r="E120" s="263">
        <f>(E93*'Proyección de ventas'!$F$17)+E93</f>
        <v>240545.80011003674</v>
      </c>
      <c r="F120" s="263">
        <f>(F93*'Proyección de ventas'!$F$17)+F93</f>
        <v>240545.80011003674</v>
      </c>
      <c r="G120" s="263">
        <f>(G93*'Proyección de ventas'!$F$17)+G93</f>
        <v>240545.80011003674</v>
      </c>
      <c r="H120" s="263">
        <f>(H93*'Proyección de ventas'!$F$17)+H93</f>
        <v>240545.80011003674</v>
      </c>
      <c r="I120" s="263">
        <f>(I93*'Proyección de ventas'!$F$17)+I93</f>
        <v>240545.80011003674</v>
      </c>
      <c r="J120" s="263">
        <f>(J93*'Proyección de ventas'!$F$17)+J93</f>
        <v>240545.80011003674</v>
      </c>
      <c r="K120" s="263">
        <f>(K93*'Proyección de ventas'!$F$17)+K93</f>
        <v>240545.80011003674</v>
      </c>
      <c r="L120" s="263">
        <f>(L93*'Proyección de ventas'!$F$17)+L93</f>
        <v>240545.80011003674</v>
      </c>
      <c r="M120" s="263">
        <f>(M93*'Proyección de ventas'!$F$17)+M93</f>
        <v>240545.80011003674</v>
      </c>
      <c r="N120" s="263">
        <f>(N93*'Proyección de ventas'!$F$17)+N93</f>
        <v>240545.80011003674</v>
      </c>
      <c r="O120" s="252">
        <f t="shared" si="215"/>
        <v>2886549.6013204399</v>
      </c>
    </row>
    <row r="121" spans="2:15" x14ac:dyDescent="0.25">
      <c r="B121" s="262" t="s">
        <v>212</v>
      </c>
      <c r="C121" s="263">
        <f>(C94*'Proyección de ventas'!$F$17)+C94</f>
        <v>1030910.5719001575</v>
      </c>
      <c r="D121" s="263">
        <f>(D94*'Proyección de ventas'!$F$17)+D94</f>
        <v>1030910.5719001575</v>
      </c>
      <c r="E121" s="263">
        <f>(E94*'Proyección de ventas'!$F$17)+E94</f>
        <v>1030910.5719001575</v>
      </c>
      <c r="F121" s="263">
        <f>(F94*'Proyección de ventas'!$F$17)+F94</f>
        <v>1030910.5719001575</v>
      </c>
      <c r="G121" s="263">
        <f>(G94*'Proyección de ventas'!$F$17)+G94</f>
        <v>1030910.5719001575</v>
      </c>
      <c r="H121" s="263">
        <f>(H94*'Proyección de ventas'!$F$17)+H94</f>
        <v>1030910.5719001575</v>
      </c>
      <c r="I121" s="263">
        <f>(I94*'Proyección de ventas'!$F$17)+I94</f>
        <v>1030910.5719001575</v>
      </c>
      <c r="J121" s="263">
        <f>(J94*'Proyección de ventas'!$F$17)+J94</f>
        <v>1030910.5719001575</v>
      </c>
      <c r="K121" s="263">
        <f>(K94*'Proyección de ventas'!$F$17)+K94</f>
        <v>1030910.5719001575</v>
      </c>
      <c r="L121" s="263">
        <f>(L94*'Proyección de ventas'!$F$17)+L94</f>
        <v>1030910.5719001575</v>
      </c>
      <c r="M121" s="263">
        <f>(M94*'Proyección de ventas'!$F$17)+M94</f>
        <v>1030910.5719001575</v>
      </c>
      <c r="N121" s="263">
        <f>(N94*'Proyección de ventas'!$F$17)+N94</f>
        <v>1030910.5719001575</v>
      </c>
      <c r="O121" s="252">
        <f t="shared" si="215"/>
        <v>12370926.862801889</v>
      </c>
    </row>
    <row r="122" spans="2:15" ht="30" x14ac:dyDescent="0.25">
      <c r="B122" s="262" t="s">
        <v>219</v>
      </c>
      <c r="C122" s="263">
        <f>(C95*'Proyección de ventas'!$F$17)+C95</f>
        <v>91636.495280014016</v>
      </c>
      <c r="D122" s="263">
        <f>(D95*'Proyección de ventas'!$F$17)+D95</f>
        <v>91636.495280014016</v>
      </c>
      <c r="E122" s="263">
        <f>(E95*'Proyección de ventas'!$F$17)+E95</f>
        <v>91636.495280014016</v>
      </c>
      <c r="F122" s="263">
        <f>(F95*'Proyección de ventas'!$F$17)+F95</f>
        <v>91636.495280014016</v>
      </c>
      <c r="G122" s="263">
        <f>(G95*'Proyección de ventas'!$F$17)+G95</f>
        <v>91636.495280014016</v>
      </c>
      <c r="H122" s="263">
        <f>(H95*'Proyección de ventas'!$F$17)+H95</f>
        <v>91636.495280014016</v>
      </c>
      <c r="I122" s="263">
        <f>(I95*'Proyección de ventas'!$F$17)+I95</f>
        <v>91636.495280014016</v>
      </c>
      <c r="J122" s="263">
        <f>(J95*'Proyección de ventas'!$F$17)+J95</f>
        <v>91636.495280014016</v>
      </c>
      <c r="K122" s="263">
        <f>(K95*'Proyección de ventas'!$F$17)+K95</f>
        <v>91636.495280014016</v>
      </c>
      <c r="L122" s="263">
        <f>(L95*'Proyección de ventas'!$F$17)+L95</f>
        <v>91636.495280014016</v>
      </c>
      <c r="M122" s="263">
        <f>(M95*'Proyección de ventas'!$F$17)+M95</f>
        <v>91636.495280014016</v>
      </c>
      <c r="N122" s="263">
        <f>(N95*'Proyección de ventas'!$F$17)+N95</f>
        <v>91636.495280014016</v>
      </c>
      <c r="O122" s="252">
        <f t="shared" si="215"/>
        <v>1099637.9433601683</v>
      </c>
    </row>
    <row r="123" spans="2:15" x14ac:dyDescent="0.25">
      <c r="B123" s="258" t="s">
        <v>213</v>
      </c>
      <c r="C123" s="260">
        <f t="shared" ref="C123" si="216">SUM(C117:C122)</f>
        <v>37572108.520996742</v>
      </c>
      <c r="D123" s="260">
        <f t="shared" ref="D123" si="217">SUM(D117:D122)</f>
        <v>37572108.520996742</v>
      </c>
      <c r="E123" s="260">
        <f t="shared" ref="E123" si="218">SUM(E117:E122)</f>
        <v>37572108.520996742</v>
      </c>
      <c r="F123" s="260">
        <f t="shared" ref="F123" si="219">SUM(F117:F122)</f>
        <v>37572108.520996742</v>
      </c>
      <c r="G123" s="260">
        <f t="shared" ref="G123" si="220">SUM(G117:G122)</f>
        <v>37572108.520996742</v>
      </c>
      <c r="H123" s="260">
        <f t="shared" ref="H123" si="221">SUM(H117:H122)</f>
        <v>37572108.520996742</v>
      </c>
      <c r="I123" s="260">
        <f t="shared" ref="I123" si="222">SUM(I117:I122)</f>
        <v>37572108.520996742</v>
      </c>
      <c r="J123" s="260">
        <f t="shared" ref="J123" si="223">SUM(J117:J122)</f>
        <v>37572108.520996742</v>
      </c>
      <c r="K123" s="260">
        <f t="shared" ref="K123" si="224">SUM(K117:K122)</f>
        <v>37572108.520996742</v>
      </c>
      <c r="L123" s="260">
        <f t="shared" ref="L123" si="225">SUM(L117:L122)</f>
        <v>37572108.520996742</v>
      </c>
      <c r="M123" s="260">
        <f t="shared" ref="M123" si="226">SUM(M117:M122)</f>
        <v>37572108.520996742</v>
      </c>
      <c r="N123" s="260">
        <f t="shared" ref="N123" si="227">SUM(N117:N122)</f>
        <v>69756520.431712225</v>
      </c>
      <c r="O123" s="260">
        <f t="shared" ref="O123" si="228">SUM(O117:O122)</f>
        <v>483049714.16267627</v>
      </c>
    </row>
    <row r="124" spans="2:15" ht="30" x14ac:dyDescent="0.25">
      <c r="B124" s="270" t="s">
        <v>221</v>
      </c>
      <c r="C124" s="271">
        <f t="shared" ref="C124" si="229">C115-C123</f>
        <v>216859320.93153408</v>
      </c>
      <c r="D124" s="271">
        <f t="shared" ref="D124" si="230">D115-D123</f>
        <v>226861970.17749074</v>
      </c>
      <c r="E124" s="271">
        <f t="shared" ref="E124" si="231">E115-E123</f>
        <v>236864619.42344743</v>
      </c>
      <c r="F124" s="271">
        <f t="shared" ref="F124" si="232">F115-F123</f>
        <v>246867268.66940409</v>
      </c>
      <c r="G124" s="271">
        <f t="shared" ref="G124" si="233">G115-G123</f>
        <v>256869917.91536075</v>
      </c>
      <c r="H124" s="271">
        <f t="shared" ref="H124" si="234">H115-H123</f>
        <v>266872567.16131741</v>
      </c>
      <c r="I124" s="271">
        <f t="shared" ref="I124" si="235">I115-I123</f>
        <v>276875216.40727407</v>
      </c>
      <c r="J124" s="271">
        <f t="shared" ref="J124" si="236">J115-J123</f>
        <v>286877865.65323073</v>
      </c>
      <c r="K124" s="271">
        <f t="shared" ref="K124" si="237">K115-K123</f>
        <v>296880514.89918739</v>
      </c>
      <c r="L124" s="271">
        <f t="shared" ref="L124" si="238">L115-L123</f>
        <v>306883164.14514405</v>
      </c>
      <c r="M124" s="271">
        <f t="shared" ref="M124" si="239">M115-M123</f>
        <v>316885813.3911007</v>
      </c>
      <c r="N124" s="271">
        <f t="shared" ref="N124" si="240">N115-N123</f>
        <v>294704050.7263419</v>
      </c>
      <c r="O124" s="271">
        <f t="shared" ref="O124" si="241">O115-O123</f>
        <v>299666884.05967551</v>
      </c>
    </row>
    <row r="125" spans="2:15" x14ac:dyDescent="0.25">
      <c r="B125" s="262" t="s">
        <v>80</v>
      </c>
      <c r="C125" s="251"/>
      <c r="D125" s="251"/>
      <c r="E125" s="251"/>
      <c r="F125" s="251"/>
      <c r="G125" s="251"/>
      <c r="H125" s="251"/>
      <c r="I125" s="251"/>
      <c r="J125" s="251"/>
      <c r="K125" s="251"/>
      <c r="L125" s="251"/>
      <c r="M125" s="251"/>
      <c r="N125" s="251"/>
      <c r="O125" s="251"/>
    </row>
    <row r="126" spans="2:15" x14ac:dyDescent="0.25">
      <c r="B126" s="262" t="s">
        <v>273</v>
      </c>
      <c r="C126" s="253">
        <v>0</v>
      </c>
      <c r="D126" s="253">
        <v>0</v>
      </c>
      <c r="E126" s="253">
        <v>0</v>
      </c>
      <c r="F126" s="253">
        <v>0</v>
      </c>
      <c r="G126" s="253">
        <v>0</v>
      </c>
      <c r="H126" s="253">
        <v>0</v>
      </c>
      <c r="I126" s="253">
        <v>0</v>
      </c>
      <c r="J126" s="253">
        <v>0</v>
      </c>
      <c r="K126" s="253">
        <v>0</v>
      </c>
      <c r="L126" s="253">
        <v>0</v>
      </c>
      <c r="M126" s="253">
        <v>0</v>
      </c>
      <c r="N126" s="253">
        <v>0</v>
      </c>
      <c r="O126" s="253">
        <f t="shared" ref="O126:O127" si="242">SUM(C126:N126)</f>
        <v>0</v>
      </c>
    </row>
    <row r="127" spans="2:15" x14ac:dyDescent="0.25">
      <c r="B127" s="262" t="s">
        <v>274</v>
      </c>
      <c r="C127" s="263">
        <v>0</v>
      </c>
      <c r="D127" s="263">
        <v>0</v>
      </c>
      <c r="E127" s="263">
        <v>0</v>
      </c>
      <c r="F127" s="263">
        <v>0</v>
      </c>
      <c r="G127" s="263">
        <v>0</v>
      </c>
      <c r="H127" s="263">
        <v>0</v>
      </c>
      <c r="I127" s="263">
        <v>0</v>
      </c>
      <c r="J127" s="263">
        <v>0</v>
      </c>
      <c r="K127" s="263">
        <v>0</v>
      </c>
      <c r="L127" s="263">
        <v>0</v>
      </c>
      <c r="M127" s="263">
        <v>0</v>
      </c>
      <c r="N127" s="263">
        <v>0</v>
      </c>
      <c r="O127" s="252">
        <f t="shared" si="242"/>
        <v>0</v>
      </c>
    </row>
    <row r="128" spans="2:15" ht="30" x14ac:dyDescent="0.25">
      <c r="B128" s="258" t="s">
        <v>214</v>
      </c>
      <c r="C128" s="260">
        <f>C126+C127</f>
        <v>0</v>
      </c>
      <c r="D128" s="260">
        <f t="shared" ref="D128" si="243">D126+D127</f>
        <v>0</v>
      </c>
      <c r="E128" s="260">
        <f t="shared" ref="E128" si="244">E126+E127</f>
        <v>0</v>
      </c>
      <c r="F128" s="260">
        <f t="shared" ref="F128" si="245">F126+F127</f>
        <v>0</v>
      </c>
      <c r="G128" s="260">
        <f t="shared" ref="G128" si="246">G126+G127</f>
        <v>0</v>
      </c>
      <c r="H128" s="260">
        <f t="shared" ref="H128" si="247">H126+H127</f>
        <v>0</v>
      </c>
      <c r="I128" s="260">
        <f t="shared" ref="I128" si="248">I126+I127</f>
        <v>0</v>
      </c>
      <c r="J128" s="260">
        <f t="shared" ref="J128" si="249">J126+J127</f>
        <v>0</v>
      </c>
      <c r="K128" s="260">
        <f t="shared" ref="K128" si="250">K126+K127</f>
        <v>0</v>
      </c>
      <c r="L128" s="260">
        <f t="shared" ref="L128" si="251">L126+L127</f>
        <v>0</v>
      </c>
      <c r="M128" s="260">
        <f t="shared" ref="M128" si="252">M126+M127</f>
        <v>0</v>
      </c>
      <c r="N128" s="260">
        <f t="shared" ref="N128" si="253">N126+N127</f>
        <v>0</v>
      </c>
      <c r="O128" s="260">
        <f>O126+O127</f>
        <v>0</v>
      </c>
    </row>
    <row r="129" spans="2:15" ht="30" x14ac:dyDescent="0.25">
      <c r="B129" s="270" t="s">
        <v>215</v>
      </c>
      <c r="C129" s="271">
        <f t="shared" ref="C129" si="254">C124-C128</f>
        <v>216859320.93153408</v>
      </c>
      <c r="D129" s="271">
        <f t="shared" ref="D129" si="255">D124-D128</f>
        <v>226861970.17749074</v>
      </c>
      <c r="E129" s="271">
        <f t="shared" ref="E129" si="256">E124-E128</f>
        <v>236864619.42344743</v>
      </c>
      <c r="F129" s="271">
        <f t="shared" ref="F129" si="257">F124-F128</f>
        <v>246867268.66940409</v>
      </c>
      <c r="G129" s="271">
        <f t="shared" ref="G129" si="258">G124-G128</f>
        <v>256869917.91536075</v>
      </c>
      <c r="H129" s="271">
        <f t="shared" ref="H129" si="259">H124-H128</f>
        <v>266872567.16131741</v>
      </c>
      <c r="I129" s="271">
        <f t="shared" ref="I129" si="260">I124-I128</f>
        <v>276875216.40727407</v>
      </c>
      <c r="J129" s="271">
        <f t="shared" ref="J129" si="261">J124-J128</f>
        <v>286877865.65323073</v>
      </c>
      <c r="K129" s="271">
        <f t="shared" ref="K129" si="262">K124-K128</f>
        <v>296880514.89918739</v>
      </c>
      <c r="L129" s="271">
        <f t="shared" ref="L129" si="263">L124-L128</f>
        <v>306883164.14514405</v>
      </c>
      <c r="M129" s="271">
        <f t="shared" ref="M129" si="264">M124-M128</f>
        <v>316885813.3911007</v>
      </c>
      <c r="N129" s="271">
        <f t="shared" ref="N129" si="265">N124-N128</f>
        <v>294704050.7263419</v>
      </c>
      <c r="O129" s="271">
        <f t="shared" ref="O129" si="266">O124-O128</f>
        <v>299666884.05967551</v>
      </c>
    </row>
    <row r="130" spans="2:15" x14ac:dyDescent="0.25">
      <c r="B130" s="262" t="s">
        <v>146</v>
      </c>
      <c r="C130" s="263"/>
      <c r="D130" s="263"/>
      <c r="E130" s="263"/>
      <c r="F130" s="263"/>
      <c r="G130" s="263"/>
      <c r="H130" s="263"/>
      <c r="I130" s="263"/>
      <c r="J130" s="263"/>
      <c r="K130" s="263"/>
      <c r="L130" s="263"/>
      <c r="M130" s="263"/>
      <c r="N130" s="263"/>
      <c r="O130" s="251"/>
    </row>
    <row r="131" spans="2:15" ht="30" x14ac:dyDescent="0.25">
      <c r="B131" s="258" t="s">
        <v>222</v>
      </c>
      <c r="C131" s="259">
        <f>'Estado de Resultados'!$C$9/12</f>
        <v>451166.66666666669</v>
      </c>
      <c r="D131" s="259">
        <f>'Estado de Resultados'!$C$9/12</f>
        <v>451166.66666666669</v>
      </c>
      <c r="E131" s="259">
        <f>'Estado de Resultados'!$C$9/12</f>
        <v>451166.66666666669</v>
      </c>
      <c r="F131" s="259">
        <f>'Estado de Resultados'!$C$9/12</f>
        <v>451166.66666666669</v>
      </c>
      <c r="G131" s="259">
        <f>'Estado de Resultados'!$C$9/12</f>
        <v>451166.66666666669</v>
      </c>
      <c r="H131" s="259">
        <f>'Estado de Resultados'!$C$9/12</f>
        <v>451166.66666666669</v>
      </c>
      <c r="I131" s="259">
        <f>'Estado de Resultados'!$C$9/12</f>
        <v>451166.66666666669</v>
      </c>
      <c r="J131" s="259">
        <f>'Estado de Resultados'!$C$9/12</f>
        <v>451166.66666666669</v>
      </c>
      <c r="K131" s="259">
        <f>'Estado de Resultados'!$C$9/12</f>
        <v>451166.66666666669</v>
      </c>
      <c r="L131" s="259">
        <f>'Estado de Resultados'!$C$9/12</f>
        <v>451166.66666666669</v>
      </c>
      <c r="M131" s="259">
        <f>'Estado de Resultados'!$C$9/12</f>
        <v>451166.66666666669</v>
      </c>
      <c r="N131" s="259">
        <f>'Estado de Resultados'!$C$9/12</f>
        <v>451166.66666666669</v>
      </c>
      <c r="O131" s="252">
        <f t="shared" ref="O131:O132" si="267">SUM(C131:N131)</f>
        <v>5414000</v>
      </c>
    </row>
    <row r="132" spans="2:15" x14ac:dyDescent="0.25">
      <c r="B132" s="262" t="s">
        <v>276</v>
      </c>
      <c r="C132" s="251"/>
      <c r="D132" s="251"/>
      <c r="E132" s="251"/>
      <c r="F132" s="251"/>
      <c r="G132" s="251"/>
      <c r="H132" s="251"/>
      <c r="I132" s="251"/>
      <c r="J132" s="251"/>
      <c r="K132" s="251"/>
      <c r="L132" s="251"/>
      <c r="M132" s="251"/>
      <c r="N132" s="253">
        <f>'Estado de Resultados'!G13</f>
        <v>39610491.013988391</v>
      </c>
      <c r="O132" s="252">
        <f t="shared" si="267"/>
        <v>39610491.013988391</v>
      </c>
    </row>
    <row r="133" spans="2:15" ht="15.75" thickBot="1" x14ac:dyDescent="0.3">
      <c r="B133" s="272" t="s">
        <v>223</v>
      </c>
      <c r="C133" s="273">
        <f t="shared" ref="C133:O133" si="268">C129-C131</f>
        <v>216408154.26486742</v>
      </c>
      <c r="D133" s="273">
        <f t="shared" si="268"/>
        <v>226410803.51082408</v>
      </c>
      <c r="E133" s="273">
        <f t="shared" si="268"/>
        <v>236413452.75678077</v>
      </c>
      <c r="F133" s="273">
        <f t="shared" si="268"/>
        <v>246416102.00273743</v>
      </c>
      <c r="G133" s="273">
        <f t="shared" si="268"/>
        <v>256418751.24869409</v>
      </c>
      <c r="H133" s="273">
        <f t="shared" si="268"/>
        <v>266421400.49465075</v>
      </c>
      <c r="I133" s="273">
        <f t="shared" si="268"/>
        <v>276424049.74060738</v>
      </c>
      <c r="J133" s="273">
        <f t="shared" si="268"/>
        <v>286426698.98656404</v>
      </c>
      <c r="K133" s="273">
        <f t="shared" si="268"/>
        <v>296429348.2325207</v>
      </c>
      <c r="L133" s="273">
        <f t="shared" si="268"/>
        <v>306431997.47847736</v>
      </c>
      <c r="M133" s="273">
        <f t="shared" si="268"/>
        <v>316434646.72443402</v>
      </c>
      <c r="N133" s="274">
        <f t="shared" si="268"/>
        <v>294252884.05967522</v>
      </c>
      <c r="O133" s="274">
        <f t="shared" si="268"/>
        <v>294252884.05967551</v>
      </c>
    </row>
    <row r="134" spans="2:15" ht="15.75" thickBot="1" x14ac:dyDescent="0.3">
      <c r="B134" s="96"/>
      <c r="C134" s="96"/>
      <c r="D134" s="96"/>
      <c r="E134" s="96"/>
      <c r="F134" s="96"/>
      <c r="G134" s="96"/>
      <c r="H134" s="96"/>
      <c r="I134" s="96"/>
      <c r="J134" s="96"/>
      <c r="K134" s="96"/>
      <c r="L134" s="96"/>
      <c r="M134" s="96"/>
      <c r="N134" s="255" t="s">
        <v>277</v>
      </c>
      <c r="O134" s="254">
        <f>O114-O117-O118-O120-O121-O122-O131-O132</f>
        <v>80421299.937491819</v>
      </c>
    </row>
    <row r="135" spans="2:15" x14ac:dyDescent="0.25">
      <c r="B135" s="96"/>
      <c r="C135" s="96"/>
      <c r="D135" s="96"/>
      <c r="E135" s="96"/>
      <c r="F135" s="96"/>
      <c r="G135" s="96"/>
      <c r="H135" s="96"/>
      <c r="I135" s="96"/>
      <c r="J135" s="96"/>
      <c r="K135" s="96"/>
      <c r="L135" s="96"/>
      <c r="M135" s="96"/>
      <c r="N135" s="96"/>
      <c r="O135" s="96"/>
    </row>
    <row r="136" spans="2:15" x14ac:dyDescent="0.25">
      <c r="B136" s="96" t="s">
        <v>267</v>
      </c>
      <c r="C136" s="96"/>
      <c r="D136" s="96"/>
      <c r="E136" s="96"/>
      <c r="F136" s="96"/>
      <c r="G136" s="96"/>
      <c r="H136" s="96"/>
      <c r="I136" s="96"/>
      <c r="J136" s="96"/>
      <c r="K136" s="96"/>
      <c r="L136" s="96"/>
      <c r="M136" s="96"/>
      <c r="N136" s="96"/>
      <c r="O136" s="96"/>
    </row>
    <row r="137" spans="2:15" x14ac:dyDescent="0.25">
      <c r="B137" s="266" t="s">
        <v>229</v>
      </c>
      <c r="C137" s="96"/>
      <c r="D137" s="96"/>
      <c r="E137" s="96"/>
      <c r="F137" s="96"/>
      <c r="G137" s="96"/>
      <c r="H137" s="96"/>
      <c r="I137" s="96"/>
      <c r="J137" s="96"/>
      <c r="K137" s="96"/>
      <c r="L137" s="96"/>
      <c r="M137" s="96"/>
      <c r="N137" s="96"/>
      <c r="O137" s="96"/>
    </row>
  </sheetData>
  <mergeCells count="5">
    <mergeCell ref="B110:O110"/>
    <mergeCell ref="B2:O2"/>
    <mergeCell ref="B29:O29"/>
    <mergeCell ref="B56:O56"/>
    <mergeCell ref="B83:O83"/>
  </mergeCells>
  <hyperlinks>
    <hyperlink ref="B137"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
  <sheetViews>
    <sheetView workbookViewId="0">
      <selection activeCell="K5" sqref="K5:K11"/>
    </sheetView>
  </sheetViews>
  <sheetFormatPr baseColWidth="10" defaultRowHeight="15" x14ac:dyDescent="0.25"/>
  <cols>
    <col min="1" max="1" width="4" style="44" customWidth="1"/>
    <col min="2" max="2" width="25.5703125" bestFit="1" customWidth="1"/>
    <col min="3" max="3" width="14.140625" bestFit="1" customWidth="1"/>
    <col min="4" max="4" width="9.42578125" bestFit="1" customWidth="1"/>
    <col min="5" max="5" width="14.7109375" bestFit="1" customWidth="1"/>
    <col min="6" max="6" width="19.85546875" bestFit="1" customWidth="1"/>
    <col min="7" max="7" width="20.5703125" bestFit="1" customWidth="1"/>
    <col min="8" max="8" width="14.140625" bestFit="1" customWidth="1"/>
    <col min="9" max="9" width="14.7109375" customWidth="1"/>
    <col min="10" max="10" width="14.140625" customWidth="1"/>
    <col min="11" max="11" width="13.7109375" customWidth="1"/>
  </cols>
  <sheetData>
    <row r="1" spans="2:18" s="44" customFormat="1" ht="15.75" thickBot="1" x14ac:dyDescent="0.3"/>
    <row r="2" spans="2:18" ht="15.75" x14ac:dyDescent="0.25">
      <c r="B2" s="328" t="s">
        <v>188</v>
      </c>
      <c r="C2" s="329"/>
      <c r="D2" s="329"/>
      <c r="E2" s="329"/>
      <c r="F2" s="329"/>
      <c r="G2" s="329"/>
      <c r="H2" s="329"/>
      <c r="I2" s="329"/>
      <c r="J2" s="329"/>
      <c r="K2" s="330"/>
    </row>
    <row r="3" spans="2:18" ht="16.5" thickBot="1" x14ac:dyDescent="0.3">
      <c r="B3" s="241"/>
      <c r="C3" s="181"/>
      <c r="D3" s="181"/>
      <c r="E3" s="181"/>
      <c r="F3" s="181"/>
      <c r="G3" s="52"/>
      <c r="H3" s="52"/>
      <c r="I3" s="52"/>
      <c r="J3" s="52"/>
      <c r="K3" s="242"/>
    </row>
    <row r="4" spans="2:18" ht="31.5" x14ac:dyDescent="0.25">
      <c r="B4" s="219" t="s">
        <v>146</v>
      </c>
      <c r="C4" s="220" t="s">
        <v>147</v>
      </c>
      <c r="D4" s="221" t="s">
        <v>148</v>
      </c>
      <c r="E4" s="221" t="s">
        <v>149</v>
      </c>
      <c r="F4" s="222" t="s">
        <v>150</v>
      </c>
      <c r="G4" s="222" t="s">
        <v>262</v>
      </c>
      <c r="H4" s="222" t="s">
        <v>263</v>
      </c>
      <c r="I4" s="222" t="s">
        <v>264</v>
      </c>
      <c r="J4" s="222" t="s">
        <v>265</v>
      </c>
      <c r="K4" s="222" t="s">
        <v>266</v>
      </c>
    </row>
    <row r="5" spans="2:18" ht="15.75" x14ac:dyDescent="0.25">
      <c r="B5" s="182" t="s">
        <v>39</v>
      </c>
      <c r="C5" s="183">
        <f>'Inversion Inicial '!C38</f>
        <v>22000000</v>
      </c>
      <c r="D5" s="184">
        <v>5</v>
      </c>
      <c r="E5" s="185">
        <f t="shared" ref="E5:E11" si="0">1/D5</f>
        <v>0.2</v>
      </c>
      <c r="F5" s="183">
        <f t="shared" ref="F5:F11" si="1">C5*E5</f>
        <v>4400000</v>
      </c>
      <c r="G5" s="186">
        <f t="shared" ref="G5:G11" si="2">C5-F5</f>
        <v>17600000</v>
      </c>
      <c r="H5" s="186">
        <f>G5-F5</f>
        <v>13200000</v>
      </c>
      <c r="I5" s="186">
        <f>H5-F5</f>
        <v>8800000</v>
      </c>
      <c r="J5" s="186">
        <f>I5-F5</f>
        <v>4400000</v>
      </c>
      <c r="K5" s="187">
        <f>F5-J5</f>
        <v>0</v>
      </c>
    </row>
    <row r="6" spans="2:18" ht="15.75" x14ac:dyDescent="0.25">
      <c r="B6" s="182" t="s">
        <v>33</v>
      </c>
      <c r="C6" s="183">
        <f>'Inversion Inicial '!C39</f>
        <v>3500000</v>
      </c>
      <c r="D6" s="184">
        <v>10</v>
      </c>
      <c r="E6" s="185">
        <f t="shared" si="0"/>
        <v>0.1</v>
      </c>
      <c r="F6" s="183">
        <f t="shared" si="1"/>
        <v>350000</v>
      </c>
      <c r="G6" s="186">
        <f t="shared" si="2"/>
        <v>3150000</v>
      </c>
      <c r="H6" s="186">
        <f>G6-$F$6</f>
        <v>2800000</v>
      </c>
      <c r="I6" s="186">
        <f t="shared" ref="I6:K6" si="3">H6-$F$6</f>
        <v>2450000</v>
      </c>
      <c r="J6" s="186">
        <f t="shared" si="3"/>
        <v>2100000</v>
      </c>
      <c r="K6" s="187">
        <f t="shared" si="3"/>
        <v>1750000</v>
      </c>
    </row>
    <row r="7" spans="2:18" ht="15.75" x14ac:dyDescent="0.25">
      <c r="B7" s="182" t="s">
        <v>157</v>
      </c>
      <c r="C7" s="183">
        <f>'Inversion Inicial '!C30</f>
        <v>900000</v>
      </c>
      <c r="D7" s="184">
        <v>10</v>
      </c>
      <c r="E7" s="185">
        <f t="shared" si="0"/>
        <v>0.1</v>
      </c>
      <c r="F7" s="183">
        <f t="shared" si="1"/>
        <v>90000</v>
      </c>
      <c r="G7" s="186">
        <f t="shared" si="2"/>
        <v>810000</v>
      </c>
      <c r="H7" s="186">
        <f>G7-F7</f>
        <v>720000</v>
      </c>
      <c r="I7" s="186">
        <f>H7-F7</f>
        <v>630000</v>
      </c>
      <c r="J7" s="186">
        <f>I7-F7</f>
        <v>540000</v>
      </c>
      <c r="K7" s="187">
        <f>J7-F7</f>
        <v>450000</v>
      </c>
    </row>
    <row r="8" spans="2:18" ht="15.75" x14ac:dyDescent="0.25">
      <c r="B8" s="182" t="s">
        <v>158</v>
      </c>
      <c r="C8" s="183">
        <f>'Inversion Inicial '!C31</f>
        <v>240000</v>
      </c>
      <c r="D8" s="184">
        <v>10</v>
      </c>
      <c r="E8" s="185">
        <f t="shared" si="0"/>
        <v>0.1</v>
      </c>
      <c r="F8" s="183">
        <f t="shared" si="1"/>
        <v>24000</v>
      </c>
      <c r="G8" s="186">
        <f t="shared" si="2"/>
        <v>216000</v>
      </c>
      <c r="H8" s="186">
        <f>G8-$F$8</f>
        <v>192000</v>
      </c>
      <c r="I8" s="186">
        <f t="shared" ref="I8:K8" si="4">H8-$F$8</f>
        <v>168000</v>
      </c>
      <c r="J8" s="186">
        <f t="shared" si="4"/>
        <v>144000</v>
      </c>
      <c r="K8" s="187">
        <f t="shared" si="4"/>
        <v>120000</v>
      </c>
      <c r="L8" s="42"/>
      <c r="M8" s="42"/>
      <c r="N8" s="42"/>
      <c r="O8" s="42"/>
      <c r="P8" s="42"/>
      <c r="Q8" s="42"/>
      <c r="R8" s="42"/>
    </row>
    <row r="9" spans="2:18" ht="15.75" x14ac:dyDescent="0.25">
      <c r="B9" s="182" t="s">
        <v>31</v>
      </c>
      <c r="C9" s="183">
        <f>'Inversion Inicial '!C33</f>
        <v>2400000</v>
      </c>
      <c r="D9" s="184">
        <v>5</v>
      </c>
      <c r="E9" s="185">
        <f t="shared" si="0"/>
        <v>0.2</v>
      </c>
      <c r="F9" s="183">
        <f t="shared" si="1"/>
        <v>480000</v>
      </c>
      <c r="G9" s="186">
        <f t="shared" si="2"/>
        <v>1920000</v>
      </c>
      <c r="H9" s="186">
        <f>G9-$F$9</f>
        <v>1440000</v>
      </c>
      <c r="I9" s="186">
        <f t="shared" ref="I9:K9" si="5">H9-$F$9</f>
        <v>960000</v>
      </c>
      <c r="J9" s="186">
        <f t="shared" si="5"/>
        <v>480000</v>
      </c>
      <c r="K9" s="187">
        <f t="shared" si="5"/>
        <v>0</v>
      </c>
    </row>
    <row r="10" spans="2:18" ht="15.75" x14ac:dyDescent="0.25">
      <c r="B10" s="188" t="s">
        <v>159</v>
      </c>
      <c r="C10" s="183">
        <f>'Inversion Inicial '!C34</f>
        <v>50000</v>
      </c>
      <c r="D10" s="184">
        <v>5</v>
      </c>
      <c r="E10" s="185">
        <f t="shared" si="0"/>
        <v>0.2</v>
      </c>
      <c r="F10" s="183">
        <f t="shared" si="1"/>
        <v>10000</v>
      </c>
      <c r="G10" s="186">
        <f t="shared" si="2"/>
        <v>40000</v>
      </c>
      <c r="H10" s="186">
        <f>G10-$F$10</f>
        <v>30000</v>
      </c>
      <c r="I10" s="186">
        <f t="shared" ref="I10:K10" si="6">H10-$F$10</f>
        <v>20000</v>
      </c>
      <c r="J10" s="186">
        <f t="shared" si="6"/>
        <v>10000</v>
      </c>
      <c r="K10" s="187">
        <f t="shared" si="6"/>
        <v>0</v>
      </c>
    </row>
    <row r="11" spans="2:18" ht="15.75" x14ac:dyDescent="0.25">
      <c r="B11" s="188" t="s">
        <v>37</v>
      </c>
      <c r="C11" s="183">
        <f>'Inversion Inicial '!C35</f>
        <v>300000</v>
      </c>
      <c r="D11" s="184">
        <v>5</v>
      </c>
      <c r="E11" s="185">
        <f t="shared" si="0"/>
        <v>0.2</v>
      </c>
      <c r="F11" s="183">
        <f t="shared" si="1"/>
        <v>60000</v>
      </c>
      <c r="G11" s="186">
        <f t="shared" si="2"/>
        <v>240000</v>
      </c>
      <c r="H11" s="186">
        <f>G11-$F$11</f>
        <v>180000</v>
      </c>
      <c r="I11" s="186">
        <f t="shared" ref="I11:K11" si="7">H11-$F$11</f>
        <v>120000</v>
      </c>
      <c r="J11" s="186">
        <f t="shared" si="7"/>
        <v>60000</v>
      </c>
      <c r="K11" s="187">
        <f t="shared" si="7"/>
        <v>0</v>
      </c>
    </row>
    <row r="12" spans="2:18" ht="16.5" thickBot="1" x14ac:dyDescent="0.3">
      <c r="B12" s="189" t="s">
        <v>151</v>
      </c>
      <c r="C12" s="190"/>
      <c r="D12" s="191"/>
      <c r="E12" s="191"/>
      <c r="F12" s="192">
        <f>SUM(F5:F11)</f>
        <v>5414000</v>
      </c>
      <c r="G12" s="192"/>
      <c r="H12" s="192"/>
      <c r="I12" s="192"/>
      <c r="J12" s="192"/>
      <c r="K12" s="193"/>
    </row>
    <row r="13" spans="2:18" ht="15.75" x14ac:dyDescent="0.25">
      <c r="B13" s="45"/>
      <c r="C13" s="45"/>
      <c r="D13" s="45"/>
      <c r="E13" s="45"/>
      <c r="F13" s="194"/>
      <c r="G13" s="194"/>
      <c r="H13" s="45"/>
      <c r="I13" s="45"/>
      <c r="J13" s="45"/>
      <c r="K13" s="45"/>
    </row>
    <row r="14" spans="2:18" ht="15.75" x14ac:dyDescent="0.25">
      <c r="B14" s="45"/>
      <c r="C14" s="45"/>
      <c r="D14" s="45"/>
      <c r="E14" s="45"/>
      <c r="F14" s="45"/>
      <c r="G14" s="45"/>
      <c r="H14" s="45"/>
      <c r="I14" s="45"/>
      <c r="J14" s="45"/>
      <c r="K14" s="45"/>
    </row>
    <row r="15" spans="2:18" ht="15.75" x14ac:dyDescent="0.25">
      <c r="B15" s="331" t="s">
        <v>189</v>
      </c>
      <c r="C15" s="331"/>
      <c r="D15" s="331"/>
      <c r="E15" s="331"/>
      <c r="F15" s="331"/>
      <c r="G15" s="331"/>
      <c r="H15" s="331"/>
      <c r="I15" s="45"/>
      <c r="J15" s="45"/>
      <c r="K15" s="45"/>
    </row>
    <row r="16" spans="2:18" x14ac:dyDescent="0.25">
      <c r="B16" s="331"/>
      <c r="C16" s="331"/>
      <c r="D16" s="331"/>
      <c r="E16" s="331"/>
      <c r="F16" s="331"/>
      <c r="G16" s="331"/>
      <c r="H16" s="331"/>
    </row>
    <row r="18" spans="6:6" x14ac:dyDescent="0.25">
      <c r="F18">
        <f>F5*5</f>
        <v>22000000</v>
      </c>
    </row>
  </sheetData>
  <mergeCells count="2">
    <mergeCell ref="B2:K2"/>
    <mergeCell ref="B15:H16"/>
  </mergeCells>
  <pageMargins left="0.7" right="0.7" top="0.75" bottom="0.75" header="0.3" footer="0.3"/>
  <ignoredErrors>
    <ignoredError sqref="H6:J6"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7"/>
  <sheetViews>
    <sheetView zoomScaleNormal="100" workbookViewId="0">
      <selection activeCell="H24" sqref="H24:H35"/>
    </sheetView>
  </sheetViews>
  <sheetFormatPr baseColWidth="10" defaultRowHeight="15" x14ac:dyDescent="0.25"/>
  <cols>
    <col min="2" max="2" width="16.85546875" bestFit="1" customWidth="1"/>
    <col min="3" max="3" width="21.7109375" bestFit="1" customWidth="1"/>
    <col min="4" max="4" width="12" bestFit="1" customWidth="1"/>
    <col min="6" max="6" width="11.5703125" bestFit="1" customWidth="1"/>
    <col min="7" max="7" width="25.42578125" bestFit="1" customWidth="1"/>
    <col min="8" max="8" width="13.7109375" bestFit="1" customWidth="1"/>
    <col min="9" max="9" width="15.5703125" bestFit="1" customWidth="1"/>
    <col min="10" max="10" width="16.5703125" bestFit="1" customWidth="1"/>
    <col min="11" max="11" width="16.85546875" bestFit="1" customWidth="1"/>
  </cols>
  <sheetData>
    <row r="1" spans="2:13" ht="15.75" thickBot="1" x14ac:dyDescent="0.3"/>
    <row r="2" spans="2:13" ht="15.75" x14ac:dyDescent="0.25">
      <c r="B2" s="64" t="s">
        <v>80</v>
      </c>
      <c r="C2" s="93" t="s">
        <v>85</v>
      </c>
      <c r="D2" s="94" t="s">
        <v>81</v>
      </c>
      <c r="E2" s="45"/>
      <c r="F2" s="341"/>
      <c r="G2" s="342"/>
      <c r="H2" s="342"/>
      <c r="I2" s="342"/>
      <c r="J2" s="342"/>
      <c r="K2" s="342"/>
      <c r="L2" s="342"/>
      <c r="M2" s="343"/>
    </row>
    <row r="3" spans="2:13" ht="15.75" x14ac:dyDescent="0.25">
      <c r="B3" s="161" t="s">
        <v>82</v>
      </c>
      <c r="C3" s="53">
        <f>C5-C4</f>
        <v>12110500</v>
      </c>
      <c r="D3" s="162">
        <f>C3/$C$5</f>
        <v>0.32633621212325353</v>
      </c>
      <c r="E3" s="45"/>
      <c r="F3" s="332" t="s">
        <v>48</v>
      </c>
      <c r="G3" s="333"/>
      <c r="H3" s="333"/>
      <c r="I3" s="333"/>
      <c r="J3" s="333"/>
      <c r="K3" s="333"/>
      <c r="L3" s="333"/>
      <c r="M3" s="334"/>
    </row>
    <row r="4" spans="2:13" ht="15.75" x14ac:dyDescent="0.25">
      <c r="B4" s="161" t="s">
        <v>83</v>
      </c>
      <c r="C4" s="53">
        <v>25000000</v>
      </c>
      <c r="D4" s="162">
        <f>C4/$C$5</f>
        <v>0.67366378787674652</v>
      </c>
      <c r="E4" s="45"/>
      <c r="F4" s="335" t="s">
        <v>49</v>
      </c>
      <c r="G4" s="336"/>
      <c r="H4" s="336"/>
      <c r="I4" s="336"/>
      <c r="J4" s="336"/>
      <c r="K4" s="336"/>
      <c r="L4" s="336"/>
      <c r="M4" s="337"/>
    </row>
    <row r="5" spans="2:13" ht="16.5" thickBot="1" x14ac:dyDescent="0.3">
      <c r="B5" s="163" t="s">
        <v>84</v>
      </c>
      <c r="C5" s="55">
        <f>'Inversion Inicial '!D61</f>
        <v>37110500</v>
      </c>
      <c r="D5" s="164">
        <v>1</v>
      </c>
      <c r="E5" s="45"/>
      <c r="F5" s="338"/>
      <c r="G5" s="336"/>
      <c r="H5" s="336"/>
      <c r="I5" s="336"/>
      <c r="J5" s="336"/>
      <c r="K5" s="336"/>
      <c r="L5" s="336"/>
      <c r="M5" s="337"/>
    </row>
    <row r="6" spans="2:13" ht="15.75" x14ac:dyDescent="0.25">
      <c r="B6" s="45"/>
      <c r="C6" s="45"/>
      <c r="D6" s="45"/>
      <c r="E6" s="45"/>
      <c r="F6" s="161"/>
      <c r="G6" s="165"/>
      <c r="H6" s="165"/>
      <c r="I6" s="165"/>
      <c r="J6" s="165"/>
      <c r="K6" s="165"/>
      <c r="L6" s="165"/>
      <c r="M6" s="138"/>
    </row>
    <row r="7" spans="2:13" ht="15.75" x14ac:dyDescent="0.25">
      <c r="B7" s="45"/>
      <c r="C7" s="45"/>
      <c r="D7" s="45"/>
      <c r="E7" s="45"/>
      <c r="F7" s="166">
        <v>1.5997999999999998E-2</v>
      </c>
      <c r="G7" s="167" t="s">
        <v>50</v>
      </c>
      <c r="H7" s="167"/>
      <c r="I7" s="168"/>
      <c r="J7" s="169" t="s">
        <v>51</v>
      </c>
      <c r="K7" s="170">
        <f>C4</f>
        <v>25000000</v>
      </c>
      <c r="L7" s="165"/>
      <c r="M7" s="138"/>
    </row>
    <row r="8" spans="2:13" ht="16.5" thickBot="1" x14ac:dyDescent="0.3">
      <c r="B8" s="45"/>
      <c r="C8" s="45"/>
      <c r="D8" s="45"/>
      <c r="E8" s="45"/>
      <c r="F8" s="163"/>
      <c r="G8" s="171" t="s">
        <v>52</v>
      </c>
      <c r="H8" s="172">
        <v>24</v>
      </c>
      <c r="I8" s="173"/>
      <c r="J8" s="174"/>
      <c r="K8" s="174"/>
      <c r="L8" s="174"/>
      <c r="M8" s="175"/>
    </row>
    <row r="9" spans="2:13" ht="15.75" x14ac:dyDescent="0.25">
      <c r="B9" s="45"/>
      <c r="C9" s="45"/>
      <c r="D9" s="45"/>
      <c r="E9" s="45"/>
      <c r="F9" s="45"/>
      <c r="G9" s="45"/>
      <c r="H9" s="45"/>
      <c r="I9" s="45"/>
      <c r="J9" s="45"/>
      <c r="K9" s="45"/>
      <c r="L9" s="45"/>
      <c r="M9" s="45"/>
    </row>
    <row r="10" spans="2:13" ht="15.75" x14ac:dyDescent="0.25">
      <c r="B10" s="45"/>
      <c r="C10" s="45"/>
      <c r="D10" s="45"/>
      <c r="E10" s="45"/>
      <c r="F10" s="218" t="s">
        <v>56</v>
      </c>
      <c r="G10" s="218" t="s">
        <v>57</v>
      </c>
      <c r="H10" s="218" t="s">
        <v>53</v>
      </c>
      <c r="I10" s="218" t="s">
        <v>54</v>
      </c>
      <c r="J10" s="218" t="s">
        <v>58</v>
      </c>
      <c r="K10" s="218" t="s">
        <v>55</v>
      </c>
      <c r="L10" s="45"/>
      <c r="M10" s="45"/>
    </row>
    <row r="11" spans="2:13" ht="15.75" x14ac:dyDescent="0.25">
      <c r="B11" s="45"/>
      <c r="C11" s="45"/>
      <c r="D11" s="45"/>
      <c r="E11" s="45"/>
      <c r="F11" s="176">
        <v>0</v>
      </c>
      <c r="G11" s="177"/>
      <c r="H11" s="177"/>
      <c r="I11" s="177"/>
      <c r="J11" s="177"/>
      <c r="K11" s="178">
        <f>K7</f>
        <v>25000000</v>
      </c>
      <c r="L11" s="45"/>
      <c r="M11" s="45"/>
    </row>
    <row r="12" spans="2:13" ht="15.75" x14ac:dyDescent="0.25">
      <c r="B12" s="45"/>
      <c r="C12" s="45"/>
      <c r="D12" s="45"/>
      <c r="E12" s="45"/>
      <c r="F12" s="176">
        <v>1</v>
      </c>
      <c r="G12" s="177">
        <f t="shared" ref="G12:G35" si="0">K11</f>
        <v>25000000</v>
      </c>
      <c r="H12" s="177">
        <f>K11*$F$7</f>
        <v>399949.99999999994</v>
      </c>
      <c r="I12" s="177">
        <f t="shared" ref="I12:I35" si="1">J12-H12</f>
        <v>862666.8397603652</v>
      </c>
      <c r="J12" s="177">
        <f>PMT(F7,H8,-K7)</f>
        <v>1262616.8397603652</v>
      </c>
      <c r="K12" s="178">
        <f>G12-I12</f>
        <v>24137333.160239633</v>
      </c>
      <c r="L12" s="45"/>
      <c r="M12" s="45"/>
    </row>
    <row r="13" spans="2:13" ht="15.75" x14ac:dyDescent="0.25">
      <c r="B13" s="45"/>
      <c r="C13" s="45"/>
      <c r="D13" s="45"/>
      <c r="E13" s="45"/>
      <c r="F13" s="176">
        <v>2</v>
      </c>
      <c r="G13" s="177">
        <f t="shared" si="0"/>
        <v>24137333.160239633</v>
      </c>
      <c r="H13" s="177">
        <f t="shared" ref="H13:H35" si="2">K12*$F$7</f>
        <v>386149.05589751364</v>
      </c>
      <c r="I13" s="177">
        <f t="shared" si="1"/>
        <v>876467.78386285156</v>
      </c>
      <c r="J13" s="177">
        <f t="shared" ref="J13:J35" si="3">J12</f>
        <v>1262616.8397603652</v>
      </c>
      <c r="K13" s="178">
        <f t="shared" ref="K13:K35" si="4">G13-I13</f>
        <v>23260865.376376782</v>
      </c>
      <c r="L13" s="45"/>
      <c r="M13" s="45"/>
    </row>
    <row r="14" spans="2:13" ht="15.75" x14ac:dyDescent="0.25">
      <c r="B14" s="45"/>
      <c r="C14" s="45"/>
      <c r="D14" s="45"/>
      <c r="E14" s="45"/>
      <c r="F14" s="176">
        <v>3</v>
      </c>
      <c r="G14" s="177">
        <f t="shared" si="0"/>
        <v>23260865.376376782</v>
      </c>
      <c r="H14" s="177">
        <f t="shared" si="2"/>
        <v>372127.3242912757</v>
      </c>
      <c r="I14" s="177">
        <f t="shared" si="1"/>
        <v>890489.5154690895</v>
      </c>
      <c r="J14" s="177">
        <f t="shared" si="3"/>
        <v>1262616.8397603652</v>
      </c>
      <c r="K14" s="178">
        <f t="shared" si="4"/>
        <v>22370375.860907692</v>
      </c>
      <c r="L14" s="45"/>
      <c r="M14" s="45"/>
    </row>
    <row r="15" spans="2:13" ht="15.75" x14ac:dyDescent="0.25">
      <c r="B15" s="45"/>
      <c r="C15" s="45"/>
      <c r="D15" s="45"/>
      <c r="E15" s="45"/>
      <c r="F15" s="176">
        <v>4</v>
      </c>
      <c r="G15" s="177">
        <f t="shared" si="0"/>
        <v>22370375.860907692</v>
      </c>
      <c r="H15" s="177">
        <f t="shared" si="2"/>
        <v>357881.27302280121</v>
      </c>
      <c r="I15" s="177">
        <f t="shared" si="1"/>
        <v>904735.56673756405</v>
      </c>
      <c r="J15" s="177">
        <f t="shared" si="3"/>
        <v>1262616.8397603652</v>
      </c>
      <c r="K15" s="178">
        <f t="shared" si="4"/>
        <v>21465640.29417013</v>
      </c>
      <c r="L15" s="45"/>
      <c r="M15" s="45"/>
    </row>
    <row r="16" spans="2:13" ht="15.75" x14ac:dyDescent="0.25">
      <c r="B16" s="45"/>
      <c r="C16" s="45"/>
      <c r="D16" s="45"/>
      <c r="E16" s="45"/>
      <c r="F16" s="176">
        <v>5</v>
      </c>
      <c r="G16" s="177">
        <f t="shared" si="0"/>
        <v>21465640.29417013</v>
      </c>
      <c r="H16" s="177">
        <f t="shared" si="2"/>
        <v>343407.31342613371</v>
      </c>
      <c r="I16" s="177">
        <f t="shared" si="1"/>
        <v>919209.52633423149</v>
      </c>
      <c r="J16" s="177">
        <f t="shared" si="3"/>
        <v>1262616.8397603652</v>
      </c>
      <c r="K16" s="178">
        <f t="shared" si="4"/>
        <v>20546430.7678359</v>
      </c>
      <c r="L16" s="45"/>
      <c r="M16" s="45"/>
    </row>
    <row r="17" spans="2:13" ht="15.75" x14ac:dyDescent="0.25">
      <c r="B17" s="45"/>
      <c r="C17" s="45"/>
      <c r="D17" s="45"/>
      <c r="E17" s="45"/>
      <c r="F17" s="176">
        <v>6</v>
      </c>
      <c r="G17" s="177">
        <f t="shared" si="0"/>
        <v>20546430.7678359</v>
      </c>
      <c r="H17" s="177">
        <f t="shared" si="2"/>
        <v>328701.79942383867</v>
      </c>
      <c r="I17" s="177">
        <f t="shared" si="1"/>
        <v>933915.04033652646</v>
      </c>
      <c r="J17" s="177">
        <f t="shared" si="3"/>
        <v>1262616.8397603652</v>
      </c>
      <c r="K17" s="178">
        <f t="shared" si="4"/>
        <v>19612515.727499373</v>
      </c>
      <c r="L17" s="45"/>
      <c r="M17" s="45"/>
    </row>
    <row r="18" spans="2:13" ht="15.75" x14ac:dyDescent="0.25">
      <c r="B18" s="45"/>
      <c r="C18" s="45"/>
      <c r="D18" s="45"/>
      <c r="E18" s="45"/>
      <c r="F18" s="176">
        <v>7</v>
      </c>
      <c r="G18" s="177">
        <f t="shared" si="0"/>
        <v>19612515.727499373</v>
      </c>
      <c r="H18" s="177">
        <f t="shared" si="2"/>
        <v>313761.02660853491</v>
      </c>
      <c r="I18" s="177">
        <f t="shared" si="1"/>
        <v>948855.81315183034</v>
      </c>
      <c r="J18" s="177">
        <f t="shared" si="3"/>
        <v>1262616.8397603652</v>
      </c>
      <c r="K18" s="178">
        <f t="shared" si="4"/>
        <v>18663659.914347544</v>
      </c>
      <c r="L18" s="45"/>
      <c r="M18" s="45"/>
    </row>
    <row r="19" spans="2:13" ht="15.75" x14ac:dyDescent="0.25">
      <c r="B19" s="45"/>
      <c r="C19" s="45"/>
      <c r="D19" s="45"/>
      <c r="E19" s="45"/>
      <c r="F19" s="176">
        <v>8</v>
      </c>
      <c r="G19" s="177">
        <f t="shared" si="0"/>
        <v>18663659.914347544</v>
      </c>
      <c r="H19" s="177">
        <f t="shared" si="2"/>
        <v>298581.23130973196</v>
      </c>
      <c r="I19" s="177">
        <f t="shared" si="1"/>
        <v>964035.60845063324</v>
      </c>
      <c r="J19" s="177">
        <f t="shared" si="3"/>
        <v>1262616.8397603652</v>
      </c>
      <c r="K19" s="178">
        <f t="shared" si="4"/>
        <v>17699624.305896912</v>
      </c>
      <c r="L19" s="45"/>
      <c r="M19" s="45"/>
    </row>
    <row r="20" spans="2:13" ht="15.75" x14ac:dyDescent="0.25">
      <c r="B20" s="45"/>
      <c r="C20" s="45"/>
      <c r="D20" s="45"/>
      <c r="E20" s="45"/>
      <c r="F20" s="176">
        <v>9</v>
      </c>
      <c r="G20" s="177">
        <f t="shared" si="0"/>
        <v>17699624.305896912</v>
      </c>
      <c r="H20" s="177">
        <f t="shared" si="2"/>
        <v>283158.58964573877</v>
      </c>
      <c r="I20" s="177">
        <f t="shared" si="1"/>
        <v>979458.25011462648</v>
      </c>
      <c r="J20" s="177">
        <f t="shared" si="3"/>
        <v>1262616.8397603652</v>
      </c>
      <c r="K20" s="178">
        <f t="shared" si="4"/>
        <v>16720166.055782285</v>
      </c>
      <c r="L20" s="45"/>
      <c r="M20" s="45"/>
    </row>
    <row r="21" spans="2:13" ht="15.75" x14ac:dyDescent="0.25">
      <c r="B21" s="45"/>
      <c r="C21" s="45"/>
      <c r="D21" s="45"/>
      <c r="E21" s="45"/>
      <c r="F21" s="176">
        <v>10</v>
      </c>
      <c r="G21" s="177">
        <f t="shared" si="0"/>
        <v>16720166.055782285</v>
      </c>
      <c r="H21" s="177">
        <f t="shared" si="2"/>
        <v>267489.21656040498</v>
      </c>
      <c r="I21" s="177">
        <f t="shared" si="1"/>
        <v>995127.62319996022</v>
      </c>
      <c r="J21" s="177">
        <f t="shared" si="3"/>
        <v>1262616.8397603652</v>
      </c>
      <c r="K21" s="178">
        <f t="shared" si="4"/>
        <v>15725038.432582324</v>
      </c>
      <c r="L21" s="45"/>
      <c r="M21" s="45"/>
    </row>
    <row r="22" spans="2:13" ht="15.75" x14ac:dyDescent="0.25">
      <c r="B22" s="45"/>
      <c r="C22" s="45"/>
      <c r="D22" s="45"/>
      <c r="E22" s="45"/>
      <c r="F22" s="176">
        <v>11</v>
      </c>
      <c r="G22" s="177">
        <f t="shared" si="0"/>
        <v>15725038.432582324</v>
      </c>
      <c r="H22" s="177">
        <f t="shared" si="2"/>
        <v>251569.164844452</v>
      </c>
      <c r="I22" s="177">
        <f t="shared" si="1"/>
        <v>1011047.6749159133</v>
      </c>
      <c r="J22" s="177">
        <f t="shared" si="3"/>
        <v>1262616.8397603652</v>
      </c>
      <c r="K22" s="178">
        <f t="shared" si="4"/>
        <v>14713990.757666411</v>
      </c>
      <c r="L22" s="45"/>
      <c r="M22" s="45"/>
    </row>
    <row r="23" spans="2:13" ht="15.75" x14ac:dyDescent="0.25">
      <c r="B23" s="45"/>
      <c r="C23" s="45"/>
      <c r="D23" s="45"/>
      <c r="E23" s="45"/>
      <c r="F23" s="176">
        <v>12</v>
      </c>
      <c r="G23" s="177">
        <f t="shared" si="0"/>
        <v>14713990.757666411</v>
      </c>
      <c r="H23" s="177">
        <f t="shared" si="2"/>
        <v>235394.4241411472</v>
      </c>
      <c r="I23" s="177">
        <f t="shared" si="1"/>
        <v>1027222.415619218</v>
      </c>
      <c r="J23" s="177">
        <f t="shared" si="3"/>
        <v>1262616.8397603652</v>
      </c>
      <c r="K23" s="179">
        <f t="shared" si="4"/>
        <v>13686768.342047192</v>
      </c>
      <c r="L23" s="45"/>
      <c r="M23" s="45"/>
    </row>
    <row r="24" spans="2:13" ht="15.75" x14ac:dyDescent="0.25">
      <c r="B24" s="45"/>
      <c r="C24" s="45"/>
      <c r="D24" s="45"/>
      <c r="E24" s="45"/>
      <c r="F24" s="176">
        <v>13</v>
      </c>
      <c r="G24" s="177">
        <f t="shared" si="0"/>
        <v>13686768.342047192</v>
      </c>
      <c r="H24" s="177">
        <f t="shared" si="2"/>
        <v>218960.91993607095</v>
      </c>
      <c r="I24" s="177">
        <f t="shared" si="1"/>
        <v>1043655.9198242943</v>
      </c>
      <c r="J24" s="177">
        <f t="shared" si="3"/>
        <v>1262616.8397603652</v>
      </c>
      <c r="K24" s="179">
        <f t="shared" si="4"/>
        <v>12643112.422222897</v>
      </c>
      <c r="L24" s="45"/>
      <c r="M24" s="45"/>
    </row>
    <row r="25" spans="2:13" ht="15.75" x14ac:dyDescent="0.25">
      <c r="B25" s="45"/>
      <c r="C25" s="45"/>
      <c r="D25" s="45"/>
      <c r="E25" s="45"/>
      <c r="F25" s="176">
        <v>14</v>
      </c>
      <c r="G25" s="177">
        <f t="shared" si="0"/>
        <v>12643112.422222897</v>
      </c>
      <c r="H25" s="177">
        <f t="shared" si="2"/>
        <v>202264.5125307219</v>
      </c>
      <c r="I25" s="177">
        <f t="shared" si="1"/>
        <v>1060352.3272296432</v>
      </c>
      <c r="J25" s="177">
        <f t="shared" si="3"/>
        <v>1262616.8397603652</v>
      </c>
      <c r="K25" s="179">
        <f t="shared" si="4"/>
        <v>11582760.094993254</v>
      </c>
      <c r="L25" s="45"/>
      <c r="M25" s="45"/>
    </row>
    <row r="26" spans="2:13" ht="15.75" x14ac:dyDescent="0.25">
      <c r="B26" s="45"/>
      <c r="C26" s="45"/>
      <c r="D26" s="45"/>
      <c r="E26" s="45"/>
      <c r="F26" s="176">
        <v>15</v>
      </c>
      <c r="G26" s="177">
        <f t="shared" si="0"/>
        <v>11582760.094993254</v>
      </c>
      <c r="H26" s="177">
        <f t="shared" si="2"/>
        <v>185300.99599970205</v>
      </c>
      <c r="I26" s="177">
        <f t="shared" si="1"/>
        <v>1077315.8437606632</v>
      </c>
      <c r="J26" s="177">
        <f t="shared" si="3"/>
        <v>1262616.8397603652</v>
      </c>
      <c r="K26" s="179">
        <f t="shared" si="4"/>
        <v>10505444.251232591</v>
      </c>
      <c r="L26" s="45"/>
      <c r="M26" s="45"/>
    </row>
    <row r="27" spans="2:13" ht="15.75" x14ac:dyDescent="0.25">
      <c r="B27" s="45"/>
      <c r="C27" s="45"/>
      <c r="D27" s="45"/>
      <c r="E27" s="45"/>
      <c r="F27" s="176">
        <v>16</v>
      </c>
      <c r="G27" s="177">
        <f t="shared" si="0"/>
        <v>10505444.251232591</v>
      </c>
      <c r="H27" s="177">
        <f t="shared" si="2"/>
        <v>168066.09713121896</v>
      </c>
      <c r="I27" s="177">
        <f t="shared" si="1"/>
        <v>1094550.7426291462</v>
      </c>
      <c r="J27" s="177">
        <f t="shared" si="3"/>
        <v>1262616.8397603652</v>
      </c>
      <c r="K27" s="179">
        <f t="shared" si="4"/>
        <v>9410893.5086034443</v>
      </c>
      <c r="L27" s="45"/>
      <c r="M27" s="45"/>
    </row>
    <row r="28" spans="2:13" ht="15.75" x14ac:dyDescent="0.25">
      <c r="B28" s="45"/>
      <c r="C28" s="45"/>
      <c r="D28" s="45"/>
      <c r="E28" s="45"/>
      <c r="F28" s="176">
        <v>17</v>
      </c>
      <c r="G28" s="177">
        <f t="shared" si="0"/>
        <v>9410893.5086034443</v>
      </c>
      <c r="H28" s="177">
        <f t="shared" si="2"/>
        <v>150555.47435063787</v>
      </c>
      <c r="I28" s="177">
        <f t="shared" si="1"/>
        <v>1112061.3654097272</v>
      </c>
      <c r="J28" s="177">
        <f t="shared" si="3"/>
        <v>1262616.8397603652</v>
      </c>
      <c r="K28" s="179">
        <f t="shared" si="4"/>
        <v>8298832.1431937171</v>
      </c>
      <c r="L28" s="45"/>
      <c r="M28" s="45"/>
    </row>
    <row r="29" spans="2:13" ht="15.75" x14ac:dyDescent="0.25">
      <c r="B29" s="45"/>
      <c r="C29" s="45"/>
      <c r="D29" s="45"/>
      <c r="E29" s="45"/>
      <c r="F29" s="176">
        <v>18</v>
      </c>
      <c r="G29" s="177">
        <f t="shared" si="0"/>
        <v>8298832.1431937171</v>
      </c>
      <c r="H29" s="177">
        <f t="shared" si="2"/>
        <v>132764.71662681308</v>
      </c>
      <c r="I29" s="177">
        <f t="shared" si="1"/>
        <v>1129852.123133552</v>
      </c>
      <c r="J29" s="177">
        <f t="shared" si="3"/>
        <v>1262616.8397603652</v>
      </c>
      <c r="K29" s="179">
        <f t="shared" si="4"/>
        <v>7168980.0200601649</v>
      </c>
      <c r="L29" s="45"/>
      <c r="M29" s="45"/>
    </row>
    <row r="30" spans="2:13" ht="15.75" x14ac:dyDescent="0.25">
      <c r="B30" s="45"/>
      <c r="C30" s="45"/>
      <c r="D30" s="45"/>
      <c r="E30" s="45"/>
      <c r="F30" s="176">
        <v>19</v>
      </c>
      <c r="G30" s="177">
        <f t="shared" si="0"/>
        <v>7168980.0200601649</v>
      </c>
      <c r="H30" s="177">
        <f t="shared" si="2"/>
        <v>114689.3423609225</v>
      </c>
      <c r="I30" s="177">
        <f t="shared" si="1"/>
        <v>1147927.4973994426</v>
      </c>
      <c r="J30" s="177">
        <f t="shared" si="3"/>
        <v>1262616.8397603652</v>
      </c>
      <c r="K30" s="179">
        <f t="shared" si="4"/>
        <v>6021052.522660722</v>
      </c>
      <c r="L30" s="45"/>
      <c r="M30" s="45"/>
    </row>
    <row r="31" spans="2:13" ht="15.75" x14ac:dyDescent="0.25">
      <c r="B31" s="45"/>
      <c r="C31" s="45"/>
      <c r="D31" s="45"/>
      <c r="E31" s="45"/>
      <c r="F31" s="176">
        <v>20</v>
      </c>
      <c r="G31" s="177">
        <f t="shared" si="0"/>
        <v>6021052.522660722</v>
      </c>
      <c r="H31" s="177">
        <f t="shared" si="2"/>
        <v>96324.798257526214</v>
      </c>
      <c r="I31" s="177">
        <f t="shared" si="1"/>
        <v>1166292.041502839</v>
      </c>
      <c r="J31" s="177">
        <f t="shared" si="3"/>
        <v>1262616.8397603652</v>
      </c>
      <c r="K31" s="179">
        <f t="shared" si="4"/>
        <v>4854760.4811578831</v>
      </c>
      <c r="L31" s="45"/>
      <c r="M31" s="45"/>
    </row>
    <row r="32" spans="2:13" ht="15.75" x14ac:dyDescent="0.25">
      <c r="B32" s="45"/>
      <c r="C32" s="45"/>
      <c r="D32" s="45"/>
      <c r="E32" s="45"/>
      <c r="F32" s="176">
        <v>21</v>
      </c>
      <c r="G32" s="177">
        <f t="shared" si="0"/>
        <v>4854760.4811578831</v>
      </c>
      <c r="H32" s="177">
        <f t="shared" si="2"/>
        <v>77666.458177563807</v>
      </c>
      <c r="I32" s="177">
        <f t="shared" si="1"/>
        <v>1184950.3815828015</v>
      </c>
      <c r="J32" s="177">
        <f t="shared" si="3"/>
        <v>1262616.8397603652</v>
      </c>
      <c r="K32" s="179">
        <f t="shared" si="4"/>
        <v>3669810.0995750818</v>
      </c>
      <c r="L32" s="45"/>
      <c r="M32" s="45"/>
    </row>
    <row r="33" spans="2:13" ht="15.75" x14ac:dyDescent="0.25">
      <c r="B33" s="45"/>
      <c r="C33" s="45"/>
      <c r="D33" s="45"/>
      <c r="E33" s="45"/>
      <c r="F33" s="176">
        <v>22</v>
      </c>
      <c r="G33" s="177">
        <f t="shared" si="0"/>
        <v>3669810.0995750818</v>
      </c>
      <c r="H33" s="177">
        <f t="shared" si="2"/>
        <v>58709.621973002155</v>
      </c>
      <c r="I33" s="177">
        <f t="shared" si="1"/>
        <v>1203907.2177873631</v>
      </c>
      <c r="J33" s="177">
        <f t="shared" si="3"/>
        <v>1262616.8397603652</v>
      </c>
      <c r="K33" s="179">
        <f t="shared" si="4"/>
        <v>2465902.8817877187</v>
      </c>
      <c r="L33" s="45"/>
      <c r="M33" s="45"/>
    </row>
    <row r="34" spans="2:13" ht="15.75" x14ac:dyDescent="0.25">
      <c r="B34" s="45"/>
      <c r="C34" s="45"/>
      <c r="D34" s="45"/>
      <c r="E34" s="45"/>
      <c r="F34" s="176">
        <v>23</v>
      </c>
      <c r="G34" s="177">
        <f t="shared" si="0"/>
        <v>2465902.8817877187</v>
      </c>
      <c r="H34" s="177">
        <f t="shared" si="2"/>
        <v>39449.514302839918</v>
      </c>
      <c r="I34" s="177">
        <f t="shared" si="1"/>
        <v>1223167.3254575252</v>
      </c>
      <c r="J34" s="177">
        <f t="shared" si="3"/>
        <v>1262616.8397603652</v>
      </c>
      <c r="K34" s="179">
        <f t="shared" si="4"/>
        <v>1242735.5563301935</v>
      </c>
      <c r="L34" s="45"/>
      <c r="M34" s="45"/>
    </row>
    <row r="35" spans="2:13" ht="15.75" x14ac:dyDescent="0.25">
      <c r="B35" s="45"/>
      <c r="C35" s="45"/>
      <c r="D35" s="45"/>
      <c r="E35" s="45"/>
      <c r="F35" s="176">
        <v>24</v>
      </c>
      <c r="G35" s="177">
        <f t="shared" si="0"/>
        <v>1242735.5563301935</v>
      </c>
      <c r="H35" s="177">
        <f t="shared" si="2"/>
        <v>19881.283430170435</v>
      </c>
      <c r="I35" s="177">
        <f t="shared" si="1"/>
        <v>1242735.5563301947</v>
      </c>
      <c r="J35" s="177">
        <f t="shared" si="3"/>
        <v>1262616.8397603652</v>
      </c>
      <c r="K35" s="179">
        <f t="shared" si="4"/>
        <v>0</v>
      </c>
      <c r="L35" s="45"/>
      <c r="M35" s="45"/>
    </row>
    <row r="36" spans="2:13" ht="15.75" x14ac:dyDescent="0.25">
      <c r="B36" s="45"/>
      <c r="C36" s="45"/>
      <c r="D36" s="45"/>
      <c r="E36" s="45"/>
      <c r="F36" s="45"/>
      <c r="G36" s="45"/>
      <c r="H36" s="45"/>
      <c r="I36" s="45"/>
      <c r="J36" s="45"/>
      <c r="K36" s="45"/>
      <c r="L36" s="45"/>
      <c r="M36" s="45"/>
    </row>
    <row r="37" spans="2:13" ht="90" customHeight="1" x14ac:dyDescent="0.25">
      <c r="B37" s="45"/>
      <c r="C37" s="45"/>
      <c r="D37" s="45"/>
      <c r="E37" s="45"/>
      <c r="F37" s="180" t="s">
        <v>86</v>
      </c>
      <c r="G37" s="339" t="s">
        <v>59</v>
      </c>
      <c r="H37" s="340"/>
      <c r="I37" s="340"/>
      <c r="J37" s="340"/>
      <c r="K37" s="340"/>
      <c r="L37" s="45"/>
      <c r="M37" s="45"/>
    </row>
  </sheetData>
  <mergeCells count="4">
    <mergeCell ref="F3:M3"/>
    <mergeCell ref="F4:M5"/>
    <mergeCell ref="G37:K37"/>
    <mergeCell ref="F2:M2"/>
  </mergeCells>
  <hyperlinks>
    <hyperlink ref="G37" r:id="rId1"/>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Precio Kilo Pitahaya</vt:lpstr>
      <vt:lpstr>Costos</vt:lpstr>
      <vt:lpstr>Punto de Equilibrio</vt:lpstr>
      <vt:lpstr>Proyección de ventas</vt:lpstr>
      <vt:lpstr>Balance General</vt:lpstr>
      <vt:lpstr>Estado de Resultados</vt:lpstr>
      <vt:lpstr>Estado de Flujo de Caja</vt:lpstr>
      <vt:lpstr>Depreciación</vt:lpstr>
      <vt:lpstr>Financiación</vt:lpstr>
      <vt:lpstr>Inversion Inicial </vt:lpstr>
      <vt:lpstr>Indicadores Financieros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UsuarioUsta</dc:creator>
  <cp:lastModifiedBy>EQUIPO4</cp:lastModifiedBy>
  <dcterms:created xsi:type="dcterms:W3CDTF">2016-09-07T14:57:10Z</dcterms:created>
  <dcterms:modified xsi:type="dcterms:W3CDTF">2016-10-04T19:19:20Z</dcterms:modified>
</cp:coreProperties>
</file>