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TERA-TESIS\1297 TG IC 2021\"/>
    </mc:Choice>
  </mc:AlternateContent>
  <workbookProtection workbookAlgorithmName="SHA-512" workbookHashValue="veyrBqLBfB7sA8mPU7lVR3adHLkH7uNNwqtLsxK2P/KggKBFGNz9NWEa931jmg0roUEn7qTOuY+152agCtXStA==" workbookSaltValue="R5LX7U1Ck97QmQNe9KGBPA==" workbookSpinCount="100000" lockStructure="1"/>
  <bookViews>
    <workbookView xWindow="0" yWindow="0" windowWidth="28800" windowHeight="12330" tabRatio="864" firstSheet="25" activeTab="59"/>
  </bookViews>
  <sheets>
    <sheet name="Portada" sheetId="74" r:id="rId1"/>
    <sheet name="Actividades de construcción" sheetId="3" r:id="rId2"/>
    <sheet name="Cantidades de Obra" sheetId="4" r:id="rId3"/>
    <sheet name=" Cuadro Resumen Cantidades Obra" sheetId="5" r:id="rId4"/>
    <sheet name="Analisis de cuadrillas" sheetId="7" r:id="rId5"/>
    <sheet name="Presupuesto" sheetId="8" r:id="rId6"/>
    <sheet name="AIU" sheetId="9" r:id="rId7"/>
    <sheet name="1.1" sheetId="11" r:id="rId8"/>
    <sheet name="1.2" sheetId="12" r:id="rId9"/>
    <sheet name="1.3" sheetId="13" r:id="rId10"/>
    <sheet name="1.4" sheetId="14" r:id="rId11"/>
    <sheet name="1.5" sheetId="15" r:id="rId12"/>
    <sheet name="2.1" sheetId="16" r:id="rId13"/>
    <sheet name="2.2" sheetId="17" r:id="rId14"/>
    <sheet name="2.3" sheetId="18" r:id="rId15"/>
    <sheet name="3.1" sheetId="19" r:id="rId16"/>
    <sheet name="3.2" sheetId="20" r:id="rId17"/>
    <sheet name="3.3" sheetId="21" r:id="rId18"/>
    <sheet name="3.4" sheetId="22" r:id="rId19"/>
    <sheet name="3.5" sheetId="23" r:id="rId20"/>
    <sheet name="3.6" sheetId="24" r:id="rId21"/>
    <sheet name="3.7" sheetId="25" r:id="rId22"/>
    <sheet name="4.1" sheetId="26" r:id="rId23"/>
    <sheet name="4.2" sheetId="27" r:id="rId24"/>
    <sheet name="5.1" sheetId="29" r:id="rId25"/>
    <sheet name="5.2" sheetId="30" r:id="rId26"/>
    <sheet name="5.3" sheetId="31" r:id="rId27"/>
    <sheet name="5.4" sheetId="33" r:id="rId28"/>
    <sheet name="5.5" sheetId="34" r:id="rId29"/>
    <sheet name="5.6" sheetId="35" r:id="rId30"/>
    <sheet name="5.7" sheetId="36" r:id="rId31"/>
    <sheet name="5.8" sheetId="37" r:id="rId32"/>
    <sheet name="5.9" sheetId="89" r:id="rId33"/>
    <sheet name="6.1" sheetId="39" r:id="rId34"/>
    <sheet name="6.2" sheetId="40" r:id="rId35"/>
    <sheet name="6.3" sheetId="41" r:id="rId36"/>
    <sheet name="7.1" sheetId="42" r:id="rId37"/>
    <sheet name="7.2" sheetId="43" r:id="rId38"/>
    <sheet name="7.3" sheetId="44" r:id="rId39"/>
    <sheet name="7.4" sheetId="45" r:id="rId40"/>
    <sheet name="7.5" sheetId="46" r:id="rId41"/>
    <sheet name="7.6" sheetId="47" r:id="rId42"/>
    <sheet name="7.7" sheetId="48" r:id="rId43"/>
    <sheet name="7.8" sheetId="49" r:id="rId44"/>
    <sheet name="7.9" sheetId="50" r:id="rId45"/>
    <sheet name="8.1" sheetId="51" r:id="rId46"/>
    <sheet name="8.2" sheetId="52" r:id="rId47"/>
    <sheet name="8.3" sheetId="87" r:id="rId48"/>
    <sheet name="8.4" sheetId="53" r:id="rId49"/>
    <sheet name="8.5" sheetId="54" r:id="rId50"/>
    <sheet name="8.6" sheetId="55" r:id="rId51"/>
    <sheet name="8.7" sheetId="88" r:id="rId52"/>
    <sheet name="8.8" sheetId="56" r:id="rId53"/>
    <sheet name="8.9" sheetId="57" r:id="rId54"/>
    <sheet name="8.10" sheetId="58" r:id="rId55"/>
    <sheet name="9.1" sheetId="59" r:id="rId56"/>
    <sheet name="9.2" sheetId="60" r:id="rId57"/>
    <sheet name="9.3" sheetId="61" r:id="rId58"/>
    <sheet name="9.4" sheetId="63" r:id="rId59"/>
    <sheet name="10.1" sheetId="66" r:id="rId60"/>
    <sheet name="10.2" sheetId="83" r:id="rId61"/>
    <sheet name="10.3" sheetId="67" r:id="rId62"/>
    <sheet name="10.4" sheetId="68" r:id="rId63"/>
    <sheet name="10.5" sheetId="69" r:id="rId64"/>
    <sheet name="10.6" sheetId="84" r:id="rId65"/>
    <sheet name="10.7" sheetId="70" r:id="rId66"/>
    <sheet name="10.8" sheetId="71" r:id="rId67"/>
    <sheet name="10.9" sheetId="72" r:id="rId68"/>
  </sheets>
  <definedNames>
    <definedName name="_xlnm.Print_Area" localSheetId="5">Presupuesto!$A$1:$H$99</definedName>
  </definedNames>
  <calcPr calcId="162913"/>
</workbook>
</file>

<file path=xl/calcChain.xml><?xml version="1.0" encoding="utf-8"?>
<calcChain xmlns="http://schemas.openxmlformats.org/spreadsheetml/2006/main">
  <c r="E20" i="8" l="1"/>
  <c r="E73" i="4" l="1"/>
  <c r="H73" i="4"/>
  <c r="H11" i="4"/>
  <c r="E11" i="4"/>
  <c r="H35" i="4"/>
  <c r="E35" i="4"/>
  <c r="G40" i="4"/>
  <c r="A39" i="12"/>
  <c r="B39" i="12"/>
  <c r="A40" i="12"/>
  <c r="B40" i="12"/>
  <c r="A41" i="12"/>
  <c r="B41" i="12"/>
  <c r="A42" i="12"/>
  <c r="B42" i="12"/>
  <c r="F52" i="4" l="1"/>
  <c r="H23" i="42"/>
  <c r="G23" i="42"/>
  <c r="E22" i="4" l="1"/>
  <c r="E19" i="4"/>
  <c r="E18" i="4"/>
  <c r="H30" i="63"/>
  <c r="H24" i="63"/>
  <c r="H16" i="63"/>
  <c r="H9" i="63"/>
  <c r="F8" i="61"/>
  <c r="H30" i="60"/>
  <c r="H24" i="60"/>
  <c r="H28" i="60"/>
  <c r="H13" i="60"/>
  <c r="H21" i="60"/>
  <c r="H16" i="60"/>
  <c r="H9" i="60"/>
  <c r="H8" i="60"/>
  <c r="H30" i="59"/>
  <c r="H28" i="59"/>
  <c r="H24" i="59"/>
  <c r="H21" i="59"/>
  <c r="H17" i="59"/>
  <c r="H16" i="59"/>
  <c r="F8" i="59"/>
  <c r="H13" i="59"/>
  <c r="H8" i="59"/>
  <c r="H25" i="34" l="1"/>
  <c r="H20" i="34"/>
  <c r="H21" i="34"/>
  <c r="H22" i="34"/>
  <c r="H23" i="34"/>
  <c r="H14" i="33"/>
  <c r="H14" i="27"/>
  <c r="H14" i="26"/>
  <c r="H31" i="25"/>
  <c r="H14" i="20"/>
  <c r="H25" i="12" l="1"/>
  <c r="H26" i="12"/>
  <c r="H24" i="12"/>
  <c r="E11" i="9"/>
  <c r="E9" i="9"/>
  <c r="E10" i="9"/>
  <c r="F15" i="9"/>
  <c r="F16" i="9"/>
  <c r="G16" i="9" s="1"/>
  <c r="F17" i="9"/>
  <c r="G17" i="9" s="1"/>
  <c r="G15" i="9"/>
  <c r="H31" i="39"/>
  <c r="H29" i="39"/>
  <c r="H22" i="39"/>
  <c r="H14" i="39"/>
  <c r="H19" i="39"/>
  <c r="H18" i="39"/>
  <c r="H20" i="39"/>
  <c r="H17" i="39"/>
  <c r="H25" i="39"/>
  <c r="G18" i="9" l="1"/>
  <c r="H22" i="35"/>
  <c r="H23" i="35"/>
  <c r="H21" i="35"/>
  <c r="H20" i="35"/>
  <c r="H25" i="35" s="1"/>
  <c r="H34" i="35" s="1"/>
  <c r="H18" i="35"/>
  <c r="H32" i="35"/>
  <c r="F18" i="39"/>
  <c r="F17" i="39"/>
  <c r="F19" i="39"/>
  <c r="E22" i="7"/>
  <c r="E21" i="7"/>
  <c r="D42" i="7"/>
  <c r="D41" i="7"/>
  <c r="F10" i="67" l="1"/>
  <c r="F9" i="67"/>
  <c r="F8" i="67"/>
  <c r="F8" i="83"/>
  <c r="F8" i="66"/>
  <c r="E4" i="9"/>
  <c r="F8" i="51"/>
  <c r="F10" i="50"/>
  <c r="F9" i="50"/>
  <c r="F8" i="50"/>
  <c r="F10" i="49"/>
  <c r="F9" i="49"/>
  <c r="F8" i="49"/>
  <c r="F11" i="48"/>
  <c r="F10" i="48"/>
  <c r="F9" i="48"/>
  <c r="F8" i="48"/>
  <c r="F11" i="47"/>
  <c r="F9" i="47"/>
  <c r="F8" i="47"/>
  <c r="F10" i="46"/>
  <c r="F9" i="46"/>
  <c r="F10" i="45"/>
  <c r="F9" i="45"/>
  <c r="F8" i="45"/>
  <c r="F12" i="44"/>
  <c r="F11" i="44"/>
  <c r="F10" i="44"/>
  <c r="F9" i="44"/>
  <c r="F8" i="44"/>
  <c r="F10" i="43"/>
  <c r="F8" i="43"/>
  <c r="F11" i="42"/>
  <c r="F10" i="42"/>
  <c r="F9" i="42"/>
  <c r="H9" i="41"/>
  <c r="H10" i="41"/>
  <c r="H11" i="41"/>
  <c r="H8" i="41"/>
  <c r="H9" i="40"/>
  <c r="H10" i="40"/>
  <c r="H11" i="40"/>
  <c r="H8" i="40"/>
  <c r="H9" i="39"/>
  <c r="H10" i="39"/>
  <c r="H11" i="39"/>
  <c r="H8" i="39"/>
  <c r="H9" i="89"/>
  <c r="H10" i="89"/>
  <c r="H11" i="89"/>
  <c r="H12" i="89"/>
  <c r="H13" i="89"/>
  <c r="H14" i="89"/>
  <c r="H8" i="89"/>
  <c r="H9" i="37"/>
  <c r="H10" i="37"/>
  <c r="H11" i="37"/>
  <c r="H12" i="37"/>
  <c r="H13" i="37"/>
  <c r="H14" i="37"/>
  <c r="H8" i="37"/>
  <c r="H9" i="36"/>
  <c r="H10" i="36"/>
  <c r="H11" i="36"/>
  <c r="H8" i="36"/>
  <c r="H9" i="35"/>
  <c r="H10" i="35"/>
  <c r="H11" i="35"/>
  <c r="H8" i="35"/>
  <c r="H9" i="34"/>
  <c r="H10" i="34"/>
  <c r="H11" i="34"/>
  <c r="H8" i="34"/>
  <c r="H9" i="33"/>
  <c r="H10" i="33"/>
  <c r="H11" i="33"/>
  <c r="H12" i="33"/>
  <c r="H8" i="33"/>
  <c r="H9" i="31"/>
  <c r="H10" i="31"/>
  <c r="H11" i="31"/>
  <c r="H12" i="31"/>
  <c r="H8" i="31"/>
  <c r="H9" i="30"/>
  <c r="H8" i="30"/>
  <c r="H12" i="29"/>
  <c r="H9" i="27"/>
  <c r="H10" i="27"/>
  <c r="H11" i="27"/>
  <c r="H8" i="27"/>
  <c r="H8" i="26"/>
  <c r="H9" i="26"/>
  <c r="H10" i="26"/>
  <c r="H11" i="26"/>
  <c r="H14" i="25"/>
  <c r="H9" i="25"/>
  <c r="H10" i="25"/>
  <c r="H11" i="25"/>
  <c r="H12" i="25"/>
  <c r="H8" i="25"/>
  <c r="H13" i="24"/>
  <c r="H11" i="24"/>
  <c r="H8" i="24"/>
  <c r="H9" i="24"/>
  <c r="H10" i="24"/>
  <c r="H10" i="23"/>
  <c r="H9" i="23"/>
  <c r="H11" i="23"/>
  <c r="H12" i="23"/>
  <c r="H8" i="23"/>
  <c r="H9" i="22"/>
  <c r="H10" i="22"/>
  <c r="H11" i="22"/>
  <c r="H12" i="22"/>
  <c r="H13" i="22"/>
  <c r="H8" i="22"/>
  <c r="H9" i="21"/>
  <c r="H10" i="21"/>
  <c r="H11" i="21"/>
  <c r="H12" i="21"/>
  <c r="H8" i="21"/>
  <c r="H9" i="20"/>
  <c r="H10" i="20"/>
  <c r="H11" i="20"/>
  <c r="H12" i="20"/>
  <c r="H8" i="20"/>
  <c r="H13" i="19"/>
  <c r="H10" i="19"/>
  <c r="H8" i="19"/>
  <c r="H8" i="18"/>
  <c r="H9" i="15"/>
  <c r="H10" i="15"/>
  <c r="H11" i="15"/>
  <c r="H8" i="15"/>
  <c r="H9" i="14"/>
  <c r="H10" i="14"/>
  <c r="H8" i="14"/>
  <c r="H9" i="12"/>
  <c r="H10" i="12"/>
  <c r="H11" i="12"/>
  <c r="H12" i="12"/>
  <c r="H13" i="12"/>
  <c r="H14" i="12"/>
  <c r="H15" i="12"/>
  <c r="H16" i="12"/>
  <c r="H17" i="12"/>
  <c r="H18" i="12"/>
  <c r="H19" i="12"/>
  <c r="H8" i="12"/>
  <c r="H9" i="11"/>
  <c r="H10" i="11"/>
  <c r="H11" i="11"/>
  <c r="H8" i="11"/>
  <c r="G21" i="37"/>
  <c r="G22" i="37"/>
  <c r="G19" i="39"/>
  <c r="H16" i="37" l="1"/>
  <c r="H15" i="34"/>
  <c r="F10" i="9"/>
  <c r="G9" i="30" l="1"/>
  <c r="G9" i="19"/>
  <c r="H9" i="19" s="1"/>
  <c r="G15" i="4" l="1"/>
  <c r="G17" i="17" l="1"/>
  <c r="G16" i="17"/>
  <c r="G17" i="13"/>
  <c r="G16" i="13"/>
  <c r="G17" i="11" l="1"/>
  <c r="G18" i="11"/>
  <c r="G16" i="11"/>
  <c r="B40" i="4"/>
  <c r="C40" i="4"/>
  <c r="D40" i="4"/>
  <c r="E40" i="4"/>
  <c r="F40" i="4"/>
  <c r="H40" i="4" l="1"/>
  <c r="K40" i="4" s="1"/>
  <c r="H11" i="51" l="1"/>
  <c r="H15" i="89"/>
  <c r="G21" i="89"/>
  <c r="H21" i="89" s="1"/>
  <c r="A26" i="89" l="1"/>
  <c r="G20" i="89"/>
  <c r="H20" i="89" s="1"/>
  <c r="G19" i="89"/>
  <c r="H19" i="89" s="1"/>
  <c r="G18" i="89"/>
  <c r="H18" i="89" s="1"/>
  <c r="B35" i="5"/>
  <c r="B40" i="8" s="1"/>
  <c r="A5" i="89" s="1"/>
  <c r="C35" i="5"/>
  <c r="C40" i="8" s="1"/>
  <c r="B5" i="89" s="1"/>
  <c r="D35" i="5"/>
  <c r="D40" i="8" s="1"/>
  <c r="G5" i="89" s="1"/>
  <c r="B36" i="4"/>
  <c r="C36" i="4"/>
  <c r="D36" i="4"/>
  <c r="H36" i="4"/>
  <c r="K36" i="4" s="1"/>
  <c r="E35" i="5" s="1"/>
  <c r="E40" i="8" s="1"/>
  <c r="H23" i="89" l="1"/>
  <c r="H16" i="58"/>
  <c r="H15" i="58"/>
  <c r="H14" i="58"/>
  <c r="H12" i="44"/>
  <c r="G11" i="29"/>
  <c r="H11" i="29" s="1"/>
  <c r="G10" i="29"/>
  <c r="H10" i="29" s="1"/>
  <c r="G9" i="29"/>
  <c r="H9" i="29" s="1"/>
  <c r="G8" i="29"/>
  <c r="H8" i="29" s="1"/>
  <c r="H13" i="29" l="1"/>
  <c r="F71" i="4"/>
  <c r="E71" i="4"/>
  <c r="A24" i="88" l="1"/>
  <c r="G18" i="88"/>
  <c r="H18" i="88" s="1"/>
  <c r="G17" i="88"/>
  <c r="G16" i="88" s="1"/>
  <c r="H16" i="88" s="1"/>
  <c r="H10" i="88"/>
  <c r="H9" i="88"/>
  <c r="H8" i="88"/>
  <c r="B57" i="5"/>
  <c r="B65" i="8" s="1"/>
  <c r="A5" i="88" s="1"/>
  <c r="C57" i="5"/>
  <c r="C65" i="8" s="1"/>
  <c r="B5" i="88" s="1"/>
  <c r="D57" i="5"/>
  <c r="D65" i="8" s="1"/>
  <c r="G5" i="88" s="1"/>
  <c r="B58" i="4"/>
  <c r="C58" i="4"/>
  <c r="D58" i="4"/>
  <c r="H58" i="4"/>
  <c r="K58" i="4" s="1"/>
  <c r="E57" i="5" s="1"/>
  <c r="E65" i="8" s="1"/>
  <c r="H22" i="4"/>
  <c r="H60" i="4"/>
  <c r="H61" i="4"/>
  <c r="H13" i="88" l="1"/>
  <c r="H17" i="88"/>
  <c r="H21" i="88" s="1"/>
  <c r="G24" i="87" l="1"/>
  <c r="G16" i="87" s="1"/>
  <c r="H16" i="87" s="1"/>
  <c r="H21" i="87" s="1"/>
  <c r="A24" i="87"/>
  <c r="H10" i="87"/>
  <c r="H9" i="87"/>
  <c r="H8" i="87"/>
  <c r="B53" i="5"/>
  <c r="B61" i="8" s="1"/>
  <c r="A5" i="87" s="1"/>
  <c r="C53" i="5"/>
  <c r="C61" i="8" s="1"/>
  <c r="B5" i="87" s="1"/>
  <c r="D53" i="5"/>
  <c r="D61" i="8" s="1"/>
  <c r="G5" i="87" s="1"/>
  <c r="B54" i="4"/>
  <c r="C54" i="4"/>
  <c r="D54" i="4"/>
  <c r="H54" i="4"/>
  <c r="K54" i="4" s="1"/>
  <c r="E53" i="5" s="1"/>
  <c r="E61" i="8" s="1"/>
  <c r="G9" i="45"/>
  <c r="F46" i="4"/>
  <c r="E46" i="4"/>
  <c r="H13" i="87" l="1"/>
  <c r="E25" i="4"/>
  <c r="F29" i="4" l="1"/>
  <c r="G13" i="4"/>
  <c r="G14" i="4" s="1"/>
  <c r="C39" i="4"/>
  <c r="H29" i="4" l="1"/>
  <c r="H30" i="4"/>
  <c r="H31" i="4"/>
  <c r="H32" i="4"/>
  <c r="H33" i="4"/>
  <c r="H34" i="4"/>
  <c r="G17" i="69" l="1"/>
  <c r="H17" i="69" s="1"/>
  <c r="F85" i="8" l="1"/>
  <c r="A24" i="84"/>
  <c r="G17" i="84"/>
  <c r="H17" i="84" s="1"/>
  <c r="G16" i="84"/>
  <c r="H16" i="84" s="1"/>
  <c r="H10" i="84"/>
  <c r="H9" i="84"/>
  <c r="H8" i="84"/>
  <c r="H13" i="84" s="1"/>
  <c r="A5" i="83"/>
  <c r="A24" i="83"/>
  <c r="G16" i="83"/>
  <c r="H16" i="83" s="1"/>
  <c r="H21" i="83" s="1"/>
  <c r="H8" i="83"/>
  <c r="H13" i="83" s="1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7" i="4"/>
  <c r="B38" i="4"/>
  <c r="B39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5" i="4"/>
  <c r="B56" i="4"/>
  <c r="B57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12" i="4"/>
  <c r="B13" i="4"/>
  <c r="B14" i="4"/>
  <c r="B8" i="4"/>
  <c r="B9" i="4"/>
  <c r="B10" i="4"/>
  <c r="B11" i="4"/>
  <c r="B7" i="4"/>
  <c r="B6" i="4"/>
  <c r="D68" i="4"/>
  <c r="D67" i="5" s="1"/>
  <c r="D69" i="4"/>
  <c r="D68" i="5" s="1"/>
  <c r="D78" i="8" s="1"/>
  <c r="G5" i="83" s="1"/>
  <c r="D70" i="4"/>
  <c r="D69" i="5" s="1"/>
  <c r="D71" i="4"/>
  <c r="D70" i="5" s="1"/>
  <c r="D72" i="4"/>
  <c r="D71" i="5" s="1"/>
  <c r="D73" i="4"/>
  <c r="D72" i="5" s="1"/>
  <c r="D82" i="8" s="1"/>
  <c r="G5" i="84" s="1"/>
  <c r="D74" i="4"/>
  <c r="D73" i="5" s="1"/>
  <c r="D75" i="4"/>
  <c r="D74" i="5" s="1"/>
  <c r="D76" i="4"/>
  <c r="D75" i="5" s="1"/>
  <c r="B75" i="5"/>
  <c r="B68" i="5"/>
  <c r="B69" i="5"/>
  <c r="B70" i="5"/>
  <c r="B71" i="5"/>
  <c r="B72" i="5"/>
  <c r="A5" i="84" s="1"/>
  <c r="B73" i="5"/>
  <c r="B74" i="5"/>
  <c r="C67" i="5"/>
  <c r="C68" i="5"/>
  <c r="C78" i="8" s="1"/>
  <c r="B5" i="83" s="1"/>
  <c r="C69" i="5"/>
  <c r="C70" i="5"/>
  <c r="C71" i="5"/>
  <c r="C72" i="5"/>
  <c r="C82" i="8" s="1"/>
  <c r="B5" i="84" s="1"/>
  <c r="C73" i="5"/>
  <c r="C74" i="5"/>
  <c r="C75" i="5"/>
  <c r="B67" i="5"/>
  <c r="C73" i="4"/>
  <c r="H21" i="84" l="1"/>
  <c r="H9" i="71" l="1"/>
  <c r="H10" i="71"/>
  <c r="H11" i="71"/>
  <c r="H12" i="71"/>
  <c r="B33" i="11"/>
  <c r="B34" i="11"/>
  <c r="B35" i="11"/>
  <c r="B32" i="11"/>
  <c r="B32" i="13" s="1"/>
  <c r="B36" i="89" l="1"/>
  <c r="B34" i="88"/>
  <c r="B34" i="87"/>
  <c r="B34" i="83"/>
  <c r="B34" i="84"/>
  <c r="B34" i="13"/>
  <c r="B34" i="14"/>
  <c r="B34" i="16"/>
  <c r="B34" i="18"/>
  <c r="B35" i="20"/>
  <c r="B36" i="22"/>
  <c r="B35" i="26"/>
  <c r="B38" i="31"/>
  <c r="B39" i="36"/>
  <c r="B34" i="41"/>
  <c r="B34" i="45"/>
  <c r="B34" i="49"/>
  <c r="B34" i="53"/>
  <c r="B34" i="57"/>
  <c r="B34" i="68"/>
  <c r="B34" i="72"/>
  <c r="B35" i="89"/>
  <c r="B33" i="88"/>
  <c r="B33" i="87"/>
  <c r="B33" i="83"/>
  <c r="B33" i="84"/>
  <c r="B33" i="72"/>
  <c r="B33" i="71"/>
  <c r="B33" i="70"/>
  <c r="B33" i="69"/>
  <c r="B33" i="68"/>
  <c r="B33" i="67"/>
  <c r="B33" i="66"/>
  <c r="B33" i="63"/>
  <c r="B33" i="61"/>
  <c r="B33" i="60"/>
  <c r="B33" i="59"/>
  <c r="B36" i="58"/>
  <c r="B33" i="56"/>
  <c r="B33" i="55"/>
  <c r="B33" i="54"/>
  <c r="B33" i="52"/>
  <c r="B33" i="51"/>
  <c r="B33" i="49"/>
  <c r="B33" i="48"/>
  <c r="B33" i="45"/>
  <c r="B33" i="43"/>
  <c r="B33" i="41"/>
  <c r="B34" i="39"/>
  <c r="B38" i="36"/>
  <c r="B37" i="35"/>
  <c r="B34" i="33"/>
  <c r="B33" i="30"/>
  <c r="B34" i="27"/>
  <c r="B34" i="25"/>
  <c r="B35" i="23"/>
  <c r="B33" i="57"/>
  <c r="B33" i="53"/>
  <c r="B33" i="50"/>
  <c r="B33" i="47"/>
  <c r="B33" i="46"/>
  <c r="B33" i="44"/>
  <c r="B36" i="42"/>
  <c r="B34" i="40"/>
  <c r="B38" i="37"/>
  <c r="B37" i="34"/>
  <c r="B37" i="31"/>
  <c r="B33" i="29"/>
  <c r="B34" i="26"/>
  <c r="B33" i="24"/>
  <c r="B35" i="22"/>
  <c r="B33" i="14"/>
  <c r="B33" i="16"/>
  <c r="B33" i="18"/>
  <c r="B34" i="20"/>
  <c r="B36" i="23"/>
  <c r="B35" i="27"/>
  <c r="B35" i="33"/>
  <c r="B39" i="37"/>
  <c r="B37" i="42"/>
  <c r="B34" i="46"/>
  <c r="B34" i="50"/>
  <c r="B34" i="54"/>
  <c r="B37" i="58"/>
  <c r="B34" i="63"/>
  <c r="B34" i="69"/>
  <c r="B33" i="13"/>
  <c r="B34" i="15"/>
  <c r="B34" i="17"/>
  <c r="B34" i="19"/>
  <c r="B35" i="21"/>
  <c r="B34" i="24"/>
  <c r="B34" i="29"/>
  <c r="B38" i="34"/>
  <c r="B35" i="39"/>
  <c r="B34" i="43"/>
  <c r="B34" i="47"/>
  <c r="B34" i="51"/>
  <c r="B34" i="55"/>
  <c r="B34" i="59"/>
  <c r="B34" i="66"/>
  <c r="B34" i="70"/>
  <c r="B33" i="15"/>
  <c r="B33" i="17"/>
  <c r="B33" i="19"/>
  <c r="B34" i="21"/>
  <c r="B35" i="25"/>
  <c r="B34" i="30"/>
  <c r="B38" i="35"/>
  <c r="B35" i="40"/>
  <c r="B34" i="44"/>
  <c r="B34" i="48"/>
  <c r="B34" i="52"/>
  <c r="B34" i="56"/>
  <c r="B34" i="60"/>
  <c r="B34" i="67"/>
  <c r="B34" i="71"/>
  <c r="B34" i="61"/>
  <c r="B37" i="89"/>
  <c r="B35" i="88"/>
  <c r="B35" i="87"/>
  <c r="B35" i="83"/>
  <c r="B35" i="84"/>
  <c r="B35" i="14"/>
  <c r="B35" i="15"/>
  <c r="B35" i="16"/>
  <c r="B35" i="17"/>
  <c r="B35" i="18"/>
  <c r="B35" i="19"/>
  <c r="B36" i="20"/>
  <c r="B36" i="21"/>
  <c r="B37" i="22"/>
  <c r="B37" i="23"/>
  <c r="B35" i="24"/>
  <c r="B36" i="25"/>
  <c r="B36" i="26"/>
  <c r="B36" i="27"/>
  <c r="B35" i="29"/>
  <c r="B35" i="30"/>
  <c r="B39" i="31"/>
  <c r="B36" i="33"/>
  <c r="B39" i="34"/>
  <c r="B39" i="35"/>
  <c r="B40" i="36"/>
  <c r="B40" i="37"/>
  <c r="B36" i="39"/>
  <c r="B36" i="40"/>
  <c r="B35" i="41"/>
  <c r="B38" i="42"/>
  <c r="B35" i="43"/>
  <c r="B35" i="44"/>
  <c r="B35" i="45"/>
  <c r="B35" i="46"/>
  <c r="B35" i="47"/>
  <c r="B35" i="48"/>
  <c r="B35" i="49"/>
  <c r="B35" i="50"/>
  <c r="B35" i="51"/>
  <c r="B35" i="52"/>
  <c r="B35" i="53"/>
  <c r="B35" i="54"/>
  <c r="B35" i="55"/>
  <c r="B35" i="56"/>
  <c r="B35" i="57"/>
  <c r="B38" i="58"/>
  <c r="B35" i="59"/>
  <c r="B35" i="60"/>
  <c r="B35" i="61"/>
  <c r="B35" i="63"/>
  <c r="B35" i="66"/>
  <c r="B35" i="67"/>
  <c r="B35" i="68"/>
  <c r="B35" i="69"/>
  <c r="B35" i="70"/>
  <c r="B35" i="71"/>
  <c r="B35" i="72"/>
  <c r="B34" i="89"/>
  <c r="B32" i="88"/>
  <c r="B32" i="87"/>
  <c r="B32" i="84"/>
  <c r="B32" i="83"/>
  <c r="B35" i="13"/>
  <c r="B32" i="14"/>
  <c r="B32" i="15"/>
  <c r="B32" i="16"/>
  <c r="B32" i="17"/>
  <c r="B32" i="18"/>
  <c r="B32" i="19"/>
  <c r="B33" i="20"/>
  <c r="B33" i="21"/>
  <c r="B34" i="22"/>
  <c r="B34" i="23"/>
  <c r="B32" i="24"/>
  <c r="B33" i="25"/>
  <c r="B33" i="26"/>
  <c r="B33" i="27"/>
  <c r="B32" i="29"/>
  <c r="B32" i="30"/>
  <c r="B36" i="31"/>
  <c r="B33" i="33"/>
  <c r="B36" i="34"/>
  <c r="B36" i="35"/>
  <c r="B37" i="36"/>
  <c r="B37" i="37"/>
  <c r="B33" i="39"/>
  <c r="B33" i="40"/>
  <c r="B32" i="41"/>
  <c r="B35" i="42"/>
  <c r="B32" i="43"/>
  <c r="B32" i="44"/>
  <c r="B32" i="45"/>
  <c r="B32" i="46"/>
  <c r="B32" i="47"/>
  <c r="B32" i="48"/>
  <c r="B32" i="49"/>
  <c r="B32" i="50"/>
  <c r="B32" i="51"/>
  <c r="B32" i="52"/>
  <c r="B32" i="53"/>
  <c r="B32" i="54"/>
  <c r="B32" i="55"/>
  <c r="B32" i="56"/>
  <c r="B32" i="57"/>
  <c r="B35" i="58"/>
  <c r="B32" i="59"/>
  <c r="B32" i="60"/>
  <c r="B32" i="61"/>
  <c r="B32" i="63"/>
  <c r="B32" i="66"/>
  <c r="B32" i="67"/>
  <c r="B32" i="68"/>
  <c r="B32" i="69"/>
  <c r="B32" i="70"/>
  <c r="B32" i="71"/>
  <c r="B32" i="72"/>
  <c r="G38" i="4"/>
  <c r="G39" i="4" s="1"/>
  <c r="F38" i="4"/>
  <c r="F39" i="4" s="1"/>
  <c r="E38" i="4"/>
  <c r="E39" i="4" s="1"/>
  <c r="F72" i="4" l="1"/>
  <c r="K73" i="4"/>
  <c r="E72" i="5" s="1"/>
  <c r="E82" i="8" s="1"/>
  <c r="E72" i="4"/>
  <c r="C14" i="4"/>
  <c r="E28" i="4"/>
  <c r="F15" i="4"/>
  <c r="E15" i="4"/>
  <c r="H72" i="4" l="1"/>
  <c r="H39" i="4"/>
  <c r="F13" i="4"/>
  <c r="F14" i="4" s="1"/>
  <c r="E13" i="4"/>
  <c r="E14" i="4" s="1"/>
  <c r="G11" i="14" l="1"/>
  <c r="H11" i="14" s="1"/>
  <c r="B2" i="7" l="1"/>
  <c r="B3" i="8"/>
  <c r="C2" i="9"/>
  <c r="B2" i="5"/>
  <c r="C17" i="4"/>
  <c r="H68" i="4"/>
  <c r="K68" i="4" s="1"/>
  <c r="E67" i="5" s="1"/>
  <c r="E77" i="8" s="1"/>
  <c r="C68" i="4"/>
  <c r="C69" i="4"/>
  <c r="C70" i="4"/>
  <c r="C71" i="4"/>
  <c r="C72" i="4"/>
  <c r="C74" i="4"/>
  <c r="C75" i="4"/>
  <c r="C76" i="4"/>
  <c r="A1" i="66" l="1"/>
  <c r="A1" i="83"/>
  <c r="A1" i="33"/>
  <c r="A1" i="89"/>
  <c r="A1" i="63"/>
  <c r="A1" i="11"/>
  <c r="A1" i="39"/>
  <c r="A1" i="29"/>
  <c r="C55" i="4"/>
  <c r="G55" i="4"/>
  <c r="F55" i="4"/>
  <c r="E55" i="4"/>
  <c r="E52" i="4"/>
  <c r="E10" i="4" l="1"/>
  <c r="B3" i="4"/>
  <c r="E9" i="4"/>
  <c r="B2" i="3"/>
  <c r="D21" i="7" l="1"/>
  <c r="F21" i="7" s="1"/>
  <c r="D26" i="7" l="1"/>
  <c r="E26" i="7" s="1"/>
  <c r="F26" i="7" s="1"/>
  <c r="D22" i="7"/>
  <c r="F22" i="7" s="1"/>
  <c r="D24" i="7" l="1"/>
  <c r="E24" i="7" s="1"/>
  <c r="F24" i="7" s="1"/>
  <c r="E42" i="7"/>
  <c r="F42" i="7" s="1"/>
  <c r="E41" i="7"/>
  <c r="F41" i="7" s="1"/>
  <c r="D39" i="7"/>
  <c r="E39" i="7" s="1"/>
  <c r="F39" i="7" s="1"/>
  <c r="D38" i="7"/>
  <c r="E38" i="7" s="1"/>
  <c r="F38" i="7" s="1"/>
  <c r="D36" i="7"/>
  <c r="E36" i="7" s="1"/>
  <c r="F36" i="7" s="1"/>
  <c r="D35" i="7"/>
  <c r="E35" i="7" s="1"/>
  <c r="F35" i="7" s="1"/>
  <c r="D33" i="7"/>
  <c r="E33" i="7" s="1"/>
  <c r="F33" i="7" s="1"/>
  <c r="D32" i="7"/>
  <c r="E32" i="7" s="1"/>
  <c r="F32" i="7" s="1"/>
  <c r="D30" i="7"/>
  <c r="E30" i="7" s="1"/>
  <c r="F30" i="7" s="1"/>
  <c r="D29" i="7"/>
  <c r="E29" i="7" s="1"/>
  <c r="F29" i="7" s="1"/>
  <c r="D27" i="7"/>
  <c r="E27" i="7" s="1"/>
  <c r="F27" i="7" s="1"/>
  <c r="F29" i="9" l="1"/>
  <c r="G29" i="9" s="1"/>
  <c r="F30" i="9"/>
  <c r="G30" i="9" s="1"/>
  <c r="F31" i="9"/>
  <c r="G31" i="9" s="1"/>
  <c r="F28" i="9"/>
  <c r="F9" i="9"/>
  <c r="G9" i="9" s="1"/>
  <c r="G10" i="9"/>
  <c r="F11" i="9"/>
  <c r="G11" i="9" s="1"/>
  <c r="G12" i="9" l="1"/>
  <c r="G28" i="9"/>
  <c r="G32" i="9" s="1"/>
  <c r="D42" i="9" s="1"/>
  <c r="F32" i="9"/>
  <c r="F12" i="9"/>
  <c r="F18" i="9"/>
  <c r="A34" i="24"/>
  <c r="A33" i="24"/>
  <c r="A32" i="24"/>
  <c r="A37" i="23"/>
  <c r="A36" i="23"/>
  <c r="A35" i="23"/>
  <c r="A37" i="22"/>
  <c r="A36" i="22"/>
  <c r="A35" i="22"/>
  <c r="A34" i="21"/>
  <c r="A35" i="21"/>
  <c r="A36" i="21"/>
  <c r="A33" i="21"/>
  <c r="C97" i="8"/>
  <c r="C96" i="8"/>
  <c r="C95" i="8"/>
  <c r="B95" i="8"/>
  <c r="B96" i="8"/>
  <c r="B97" i="8"/>
  <c r="C94" i="8"/>
  <c r="B94" i="8"/>
  <c r="H7" i="4"/>
  <c r="K7" i="4" s="1"/>
  <c r="H28" i="72" l="1"/>
  <c r="H21" i="72"/>
  <c r="H13" i="72"/>
  <c r="G16" i="71"/>
  <c r="H16" i="71" s="1"/>
  <c r="H21" i="71" s="1"/>
  <c r="H8" i="71"/>
  <c r="G17" i="70"/>
  <c r="H17" i="70" s="1"/>
  <c r="G16" i="70"/>
  <c r="H16" i="70" s="1"/>
  <c r="H13" i="70"/>
  <c r="G16" i="69"/>
  <c r="H16" i="69" s="1"/>
  <c r="H21" i="69" s="1"/>
  <c r="H10" i="69"/>
  <c r="H9" i="69"/>
  <c r="H8" i="69"/>
  <c r="H13" i="69" s="1"/>
  <c r="G17" i="68"/>
  <c r="H17" i="68" s="1"/>
  <c r="G16" i="68"/>
  <c r="H16" i="68" s="1"/>
  <c r="H21" i="68" s="1"/>
  <c r="H10" i="68"/>
  <c r="H9" i="68"/>
  <c r="H8" i="68"/>
  <c r="G17" i="67"/>
  <c r="H17" i="67" s="1"/>
  <c r="G16" i="67"/>
  <c r="H16" i="67" s="1"/>
  <c r="H10" i="67"/>
  <c r="H9" i="67"/>
  <c r="H8" i="67"/>
  <c r="G16" i="66"/>
  <c r="H16" i="66" s="1"/>
  <c r="H21" i="66" s="1"/>
  <c r="H8" i="66"/>
  <c r="H13" i="66" s="1"/>
  <c r="G16" i="63"/>
  <c r="H21" i="63" s="1"/>
  <c r="H10" i="63"/>
  <c r="F9" i="63"/>
  <c r="H8" i="63"/>
  <c r="G16" i="61"/>
  <c r="H16" i="61" s="1"/>
  <c r="H21" i="61" s="1"/>
  <c r="H9" i="61"/>
  <c r="H8" i="61"/>
  <c r="H13" i="61" s="1"/>
  <c r="G24" i="60"/>
  <c r="G16" i="60" s="1"/>
  <c r="G24" i="59"/>
  <c r="G20" i="58"/>
  <c r="H20" i="58" s="1"/>
  <c r="G19" i="58"/>
  <c r="H19" i="58" s="1"/>
  <c r="H13" i="58"/>
  <c r="H12" i="58"/>
  <c r="H11" i="58"/>
  <c r="H10" i="58"/>
  <c r="H9" i="58"/>
  <c r="H8" i="58"/>
  <c r="G17" i="57"/>
  <c r="H17" i="57" s="1"/>
  <c r="G16" i="57"/>
  <c r="H16" i="57" s="1"/>
  <c r="H11" i="57"/>
  <c r="H10" i="57"/>
  <c r="H9" i="57"/>
  <c r="H8" i="57"/>
  <c r="G18" i="56"/>
  <c r="H18" i="56" s="1"/>
  <c r="G17" i="56"/>
  <c r="H17" i="56" s="1"/>
  <c r="H10" i="56"/>
  <c r="H9" i="56"/>
  <c r="H8" i="56"/>
  <c r="G16" i="55"/>
  <c r="H16" i="55" s="1"/>
  <c r="H21" i="55" s="1"/>
  <c r="H8" i="55"/>
  <c r="G16" i="54"/>
  <c r="H16" i="54" s="1"/>
  <c r="H21" i="54" s="1"/>
  <c r="H10" i="54"/>
  <c r="H9" i="54"/>
  <c r="H8" i="54"/>
  <c r="H9" i="53"/>
  <c r="H8" i="53"/>
  <c r="G24" i="52"/>
  <c r="G16" i="52" s="1"/>
  <c r="H16" i="52" s="1"/>
  <c r="H21" i="52" s="1"/>
  <c r="H10" i="52"/>
  <c r="H9" i="52"/>
  <c r="H8" i="52"/>
  <c r="G16" i="51"/>
  <c r="H16" i="51" s="1"/>
  <c r="H21" i="51" s="1"/>
  <c r="H10" i="51"/>
  <c r="H9" i="51"/>
  <c r="H8" i="51"/>
  <c r="G16" i="50"/>
  <c r="H16" i="50" s="1"/>
  <c r="H21" i="50" s="1"/>
  <c r="H10" i="50"/>
  <c r="H9" i="50"/>
  <c r="H8" i="50"/>
  <c r="G16" i="49"/>
  <c r="H16" i="49" s="1"/>
  <c r="H21" i="49" s="1"/>
  <c r="H10" i="49"/>
  <c r="H9" i="49"/>
  <c r="H8" i="49"/>
  <c r="G16" i="48"/>
  <c r="H16" i="48" s="1"/>
  <c r="H21" i="48" s="1"/>
  <c r="H11" i="48"/>
  <c r="H10" i="48"/>
  <c r="H9" i="48"/>
  <c r="H8" i="48"/>
  <c r="G24" i="47"/>
  <c r="G16" i="47" s="1"/>
  <c r="H16" i="47" s="1"/>
  <c r="H21" i="47" s="1"/>
  <c r="H11" i="47"/>
  <c r="F10" i="47"/>
  <c r="H10" i="47" s="1"/>
  <c r="H9" i="47"/>
  <c r="H8" i="47"/>
  <c r="G16" i="46"/>
  <c r="H16" i="46" s="1"/>
  <c r="H21" i="46" s="1"/>
  <c r="H10" i="46"/>
  <c r="H9" i="46"/>
  <c r="F8" i="46"/>
  <c r="H8" i="46" s="1"/>
  <c r="G16" i="45"/>
  <c r="H16" i="45" s="1"/>
  <c r="H21" i="45" s="1"/>
  <c r="H10" i="45"/>
  <c r="H9" i="45"/>
  <c r="H8" i="45"/>
  <c r="G16" i="44"/>
  <c r="H16" i="44" s="1"/>
  <c r="H21" i="44" s="1"/>
  <c r="H11" i="44"/>
  <c r="H10" i="44"/>
  <c r="H9" i="44"/>
  <c r="H8" i="44"/>
  <c r="H13" i="44" s="1"/>
  <c r="G16" i="43"/>
  <c r="H16" i="43" s="1"/>
  <c r="H21" i="43" s="1"/>
  <c r="H10" i="43"/>
  <c r="F9" i="43"/>
  <c r="H9" i="43" s="1"/>
  <c r="H8" i="43"/>
  <c r="G22" i="42"/>
  <c r="H22" i="42" s="1"/>
  <c r="G21" i="42"/>
  <c r="H21" i="42" s="1"/>
  <c r="G20" i="42"/>
  <c r="H20" i="42" s="1"/>
  <c r="G19" i="42"/>
  <c r="H19" i="42" s="1"/>
  <c r="H14" i="42"/>
  <c r="H13" i="42"/>
  <c r="H12" i="42"/>
  <c r="H11" i="42"/>
  <c r="H10" i="42"/>
  <c r="H9" i="42"/>
  <c r="H8" i="42"/>
  <c r="G17" i="41"/>
  <c r="H17" i="41" s="1"/>
  <c r="G16" i="41"/>
  <c r="H16" i="41" s="1"/>
  <c r="G20" i="40"/>
  <c r="H20" i="40" s="1"/>
  <c r="G19" i="40"/>
  <c r="H19" i="40" s="1"/>
  <c r="G18" i="40"/>
  <c r="H18" i="40" s="1"/>
  <c r="G17" i="40"/>
  <c r="H17" i="40" s="1"/>
  <c r="G20" i="39"/>
  <c r="G18" i="39"/>
  <c r="G17" i="39"/>
  <c r="H23" i="37"/>
  <c r="H22" i="37"/>
  <c r="H21" i="37"/>
  <c r="G20" i="37"/>
  <c r="H20" i="37" s="1"/>
  <c r="G19" i="37"/>
  <c r="H19" i="37" s="1"/>
  <c r="G29" i="36"/>
  <c r="H23" i="36"/>
  <c r="H22" i="36"/>
  <c r="G19" i="35"/>
  <c r="H19" i="35" s="1"/>
  <c r="G18" i="35"/>
  <c r="G19" i="34"/>
  <c r="H19" i="34" s="1"/>
  <c r="G18" i="34"/>
  <c r="H18" i="34" s="1"/>
  <c r="G19" i="33"/>
  <c r="H19" i="33" s="1"/>
  <c r="G18" i="33"/>
  <c r="H18" i="33" s="1"/>
  <c r="G17" i="33"/>
  <c r="H17" i="33" s="1"/>
  <c r="H22" i="31"/>
  <c r="H21" i="31"/>
  <c r="G20" i="31"/>
  <c r="H20" i="31" s="1"/>
  <c r="G19" i="31"/>
  <c r="H19" i="31" s="1"/>
  <c r="G16" i="30"/>
  <c r="H16" i="30" s="1"/>
  <c r="H21" i="30" s="1"/>
  <c r="G18" i="29"/>
  <c r="H18" i="29" s="1"/>
  <c r="G17" i="29"/>
  <c r="H17" i="29" s="1"/>
  <c r="G16" i="29"/>
  <c r="H16" i="29" s="1"/>
  <c r="G18" i="27"/>
  <c r="H18" i="27" s="1"/>
  <c r="G17" i="27"/>
  <c r="H17" i="27" s="1"/>
  <c r="G18" i="26"/>
  <c r="H18" i="26" s="1"/>
  <c r="G17" i="26"/>
  <c r="H17" i="26" s="1"/>
  <c r="G18" i="25"/>
  <c r="H18" i="25" s="1"/>
  <c r="G17" i="25"/>
  <c r="H17" i="25" s="1"/>
  <c r="G17" i="24"/>
  <c r="H17" i="24" s="1"/>
  <c r="G16" i="24"/>
  <c r="H16" i="24" s="1"/>
  <c r="G19" i="23"/>
  <c r="H19" i="23" s="1"/>
  <c r="G18" i="23"/>
  <c r="H18" i="23" s="1"/>
  <c r="G19" i="22"/>
  <c r="H19" i="22" s="1"/>
  <c r="G18" i="22"/>
  <c r="H18" i="22" s="1"/>
  <c r="G18" i="21"/>
  <c r="H18" i="21" s="1"/>
  <c r="G17" i="21"/>
  <c r="H17" i="21" s="1"/>
  <c r="H22" i="21" s="1"/>
  <c r="G18" i="20"/>
  <c r="H18" i="20" s="1"/>
  <c r="G17" i="20"/>
  <c r="H17" i="20" s="1"/>
  <c r="G17" i="19"/>
  <c r="H17" i="19" s="1"/>
  <c r="A17" i="19"/>
  <c r="G16" i="19"/>
  <c r="H16" i="19" s="1"/>
  <c r="A16" i="19"/>
  <c r="G18" i="18"/>
  <c r="H18" i="18" s="1"/>
  <c r="G17" i="18"/>
  <c r="H17" i="18" s="1"/>
  <c r="G16" i="18"/>
  <c r="H16" i="18" s="1"/>
  <c r="H13" i="18"/>
  <c r="H17" i="17"/>
  <c r="H16" i="17"/>
  <c r="H13" i="17"/>
  <c r="G17" i="16"/>
  <c r="H17" i="16" s="1"/>
  <c r="G16" i="16"/>
  <c r="H16" i="16" s="1"/>
  <c r="H13" i="16"/>
  <c r="H17" i="15"/>
  <c r="H16" i="15"/>
  <c r="B3" i="15"/>
  <c r="G18" i="14"/>
  <c r="H18" i="14" s="1"/>
  <c r="G17" i="14"/>
  <c r="H17" i="14" s="1"/>
  <c r="G16" i="14"/>
  <c r="H16" i="14" s="1"/>
  <c r="B3" i="14"/>
  <c r="H17" i="13"/>
  <c r="H16" i="13"/>
  <c r="H13" i="13"/>
  <c r="B3" i="13"/>
  <c r="B3" i="12"/>
  <c r="H18" i="11"/>
  <c r="H17" i="11"/>
  <c r="H16" i="11"/>
  <c r="B3" i="11"/>
  <c r="G42" i="7"/>
  <c r="H42" i="7" s="1"/>
  <c r="I42" i="7" s="1"/>
  <c r="G41" i="7"/>
  <c r="J41" i="7"/>
  <c r="G39" i="7"/>
  <c r="H39" i="7" s="1"/>
  <c r="I39" i="7" s="1"/>
  <c r="G38" i="7"/>
  <c r="J38" i="7"/>
  <c r="G36" i="7"/>
  <c r="G35" i="7"/>
  <c r="J35" i="7"/>
  <c r="G33" i="7"/>
  <c r="H33" i="7" s="1"/>
  <c r="I33" i="7" s="1"/>
  <c r="G32" i="7"/>
  <c r="J32" i="7"/>
  <c r="G30" i="7"/>
  <c r="J30" i="7"/>
  <c r="J29" i="7"/>
  <c r="G27" i="7"/>
  <c r="J27" i="7"/>
  <c r="G26" i="7"/>
  <c r="J26" i="7"/>
  <c r="G24" i="7"/>
  <c r="J24" i="7"/>
  <c r="G22" i="7"/>
  <c r="J22" i="7"/>
  <c r="H21" i="7"/>
  <c r="I21" i="7" s="1"/>
  <c r="C14" i="7"/>
  <c r="C13" i="7"/>
  <c r="A24" i="68" s="1"/>
  <c r="C12" i="7"/>
  <c r="C11" i="7"/>
  <c r="A25" i="26" s="1"/>
  <c r="C10" i="7"/>
  <c r="C9" i="7"/>
  <c r="A25" i="33" s="1"/>
  <c r="C8" i="7"/>
  <c r="A24" i="71" s="1"/>
  <c r="C7" i="7"/>
  <c r="D85" i="8"/>
  <c r="G5" i="72" s="1"/>
  <c r="C85" i="8"/>
  <c r="B5" i="72" s="1"/>
  <c r="A5" i="72"/>
  <c r="D84" i="8"/>
  <c r="G5" i="71" s="1"/>
  <c r="C84" i="8"/>
  <c r="B5" i="71" s="1"/>
  <c r="A5" i="71"/>
  <c r="D83" i="8"/>
  <c r="G5" i="70" s="1"/>
  <c r="C83" i="8"/>
  <c r="B5" i="70" s="1"/>
  <c r="A5" i="70"/>
  <c r="D81" i="8"/>
  <c r="G5" i="69" s="1"/>
  <c r="C81" i="8"/>
  <c r="B5" i="69" s="1"/>
  <c r="A5" i="69"/>
  <c r="D80" i="8"/>
  <c r="G5" i="68" s="1"/>
  <c r="C80" i="8"/>
  <c r="B5" i="68" s="1"/>
  <c r="A5" i="68"/>
  <c r="D79" i="8"/>
  <c r="G5" i="67" s="1"/>
  <c r="C79" i="8"/>
  <c r="B5" i="67" s="1"/>
  <c r="A5" i="67"/>
  <c r="D77" i="8"/>
  <c r="G5" i="66" s="1"/>
  <c r="C77" i="8"/>
  <c r="B5" i="66" s="1"/>
  <c r="A5" i="66"/>
  <c r="C66" i="5"/>
  <c r="C76" i="8" s="1"/>
  <c r="B66" i="5"/>
  <c r="B76" i="8" s="1"/>
  <c r="D65" i="5"/>
  <c r="D74" i="8" s="1"/>
  <c r="G5" i="63" s="1"/>
  <c r="C65" i="5"/>
  <c r="C74" i="8" s="1"/>
  <c r="B5" i="63" s="1"/>
  <c r="B65" i="5"/>
  <c r="B74" i="8" s="1"/>
  <c r="A5" i="63" s="1"/>
  <c r="D64" i="5"/>
  <c r="D73" i="8" s="1"/>
  <c r="G5" i="61" s="1"/>
  <c r="C64" i="5"/>
  <c r="C73" i="8" s="1"/>
  <c r="B5" i="61" s="1"/>
  <c r="B64" i="5"/>
  <c r="B73" i="8" s="1"/>
  <c r="A5" i="61" s="1"/>
  <c r="D63" i="5"/>
  <c r="D72" i="8" s="1"/>
  <c r="G5" i="60" s="1"/>
  <c r="C63" i="5"/>
  <c r="C72" i="8" s="1"/>
  <c r="B5" i="60" s="1"/>
  <c r="B63" i="5"/>
  <c r="B72" i="8" s="1"/>
  <c r="A5" i="60" s="1"/>
  <c r="D62" i="5"/>
  <c r="D71" i="8" s="1"/>
  <c r="G5" i="59" s="1"/>
  <c r="C62" i="5"/>
  <c r="C71" i="8" s="1"/>
  <c r="B5" i="59" s="1"/>
  <c r="B62" i="5"/>
  <c r="B71" i="8" s="1"/>
  <c r="A5" i="59" s="1"/>
  <c r="C61" i="5"/>
  <c r="C70" i="8" s="1"/>
  <c r="B61" i="5"/>
  <c r="B70" i="8" s="1"/>
  <c r="D60" i="5"/>
  <c r="D68" i="8" s="1"/>
  <c r="G5" i="58" s="1"/>
  <c r="C60" i="5"/>
  <c r="C68" i="8" s="1"/>
  <c r="B5" i="58" s="1"/>
  <c r="B60" i="5"/>
  <c r="B68" i="8" s="1"/>
  <c r="A5" i="58" s="1"/>
  <c r="D59" i="5"/>
  <c r="D67" i="8" s="1"/>
  <c r="G5" i="57" s="1"/>
  <c r="C59" i="5"/>
  <c r="C67" i="8" s="1"/>
  <c r="B5" i="57" s="1"/>
  <c r="B59" i="5"/>
  <c r="B67" i="8" s="1"/>
  <c r="A5" i="57" s="1"/>
  <c r="D58" i="5"/>
  <c r="D66" i="8" s="1"/>
  <c r="G5" i="56" s="1"/>
  <c r="C58" i="5"/>
  <c r="C66" i="8" s="1"/>
  <c r="B5" i="56" s="1"/>
  <c r="B58" i="5"/>
  <c r="B66" i="8" s="1"/>
  <c r="A5" i="56" s="1"/>
  <c r="D56" i="5"/>
  <c r="D64" i="8" s="1"/>
  <c r="G5" i="55" s="1"/>
  <c r="C56" i="5"/>
  <c r="C64" i="8" s="1"/>
  <c r="B5" i="55" s="1"/>
  <c r="B56" i="5"/>
  <c r="B64" i="8" s="1"/>
  <c r="A5" i="55" s="1"/>
  <c r="D55" i="5"/>
  <c r="D63" i="8" s="1"/>
  <c r="G5" i="54" s="1"/>
  <c r="C55" i="5"/>
  <c r="C63" i="8" s="1"/>
  <c r="B5" i="54" s="1"/>
  <c r="B55" i="5"/>
  <c r="B63" i="8" s="1"/>
  <c r="A5" i="54" s="1"/>
  <c r="D54" i="5"/>
  <c r="D62" i="8" s="1"/>
  <c r="G5" i="53" s="1"/>
  <c r="C54" i="5"/>
  <c r="B54" i="5"/>
  <c r="B62" i="8" s="1"/>
  <c r="A5" i="53" s="1"/>
  <c r="D52" i="5"/>
  <c r="D60" i="8" s="1"/>
  <c r="G5" i="52" s="1"/>
  <c r="C52" i="5"/>
  <c r="C60" i="8" s="1"/>
  <c r="B5" i="52" s="1"/>
  <c r="B52" i="5"/>
  <c r="B60" i="8" s="1"/>
  <c r="A5" i="52" s="1"/>
  <c r="D51" i="5"/>
  <c r="D59" i="8" s="1"/>
  <c r="G5" i="51" s="1"/>
  <c r="C51" i="5"/>
  <c r="C59" i="8" s="1"/>
  <c r="B5" i="51" s="1"/>
  <c r="B51" i="5"/>
  <c r="B59" i="8" s="1"/>
  <c r="A5" i="51" s="1"/>
  <c r="C50" i="5"/>
  <c r="C58" i="8" s="1"/>
  <c r="B3" i="88" s="1"/>
  <c r="B50" i="5"/>
  <c r="B58" i="8" s="1"/>
  <c r="A3" i="88" s="1"/>
  <c r="D49" i="5"/>
  <c r="D56" i="8" s="1"/>
  <c r="G5" i="50" s="1"/>
  <c r="C49" i="5"/>
  <c r="C56" i="8" s="1"/>
  <c r="B5" i="50" s="1"/>
  <c r="B49" i="5"/>
  <c r="B56" i="8" s="1"/>
  <c r="A5" i="50" s="1"/>
  <c r="D48" i="5"/>
  <c r="D55" i="8" s="1"/>
  <c r="G5" i="49" s="1"/>
  <c r="C48" i="5"/>
  <c r="C55" i="8" s="1"/>
  <c r="B5" i="49" s="1"/>
  <c r="B48" i="5"/>
  <c r="B55" i="8" s="1"/>
  <c r="A5" i="49" s="1"/>
  <c r="D47" i="5"/>
  <c r="D54" i="8" s="1"/>
  <c r="G5" i="48" s="1"/>
  <c r="C47" i="5"/>
  <c r="C54" i="8" s="1"/>
  <c r="B5" i="48" s="1"/>
  <c r="B47" i="5"/>
  <c r="B54" i="8" s="1"/>
  <c r="A5" i="48" s="1"/>
  <c r="D46" i="5"/>
  <c r="D53" i="8" s="1"/>
  <c r="G5" i="47" s="1"/>
  <c r="C46" i="5"/>
  <c r="C53" i="8" s="1"/>
  <c r="B5" i="47" s="1"/>
  <c r="B46" i="5"/>
  <c r="B53" i="8" s="1"/>
  <c r="A5" i="47" s="1"/>
  <c r="D45" i="5"/>
  <c r="D52" i="8" s="1"/>
  <c r="G5" i="46" s="1"/>
  <c r="C45" i="5"/>
  <c r="C52" i="8" s="1"/>
  <c r="B5" i="46" s="1"/>
  <c r="B45" i="5"/>
  <c r="B52" i="8" s="1"/>
  <c r="A5" i="46" s="1"/>
  <c r="D44" i="5"/>
  <c r="D51" i="8" s="1"/>
  <c r="G5" i="45" s="1"/>
  <c r="C44" i="5"/>
  <c r="C51" i="8" s="1"/>
  <c r="B5" i="45" s="1"/>
  <c r="B44" i="5"/>
  <c r="B51" i="8" s="1"/>
  <c r="A5" i="45" s="1"/>
  <c r="D43" i="5"/>
  <c r="D50" i="8" s="1"/>
  <c r="G5" i="44" s="1"/>
  <c r="C43" i="5"/>
  <c r="C50" i="8" s="1"/>
  <c r="B5" i="44" s="1"/>
  <c r="B43" i="5"/>
  <c r="B50" i="8" s="1"/>
  <c r="A5" i="44" s="1"/>
  <c r="D42" i="5"/>
  <c r="D49" i="8" s="1"/>
  <c r="G5" i="43" s="1"/>
  <c r="C42" i="5"/>
  <c r="C49" i="8" s="1"/>
  <c r="B5" i="43" s="1"/>
  <c r="B42" i="5"/>
  <c r="B49" i="8" s="1"/>
  <c r="A5" i="43" s="1"/>
  <c r="D41" i="5"/>
  <c r="D48" i="8" s="1"/>
  <c r="G5" i="42" s="1"/>
  <c r="C41" i="5"/>
  <c r="C48" i="8" s="1"/>
  <c r="B5" i="42" s="1"/>
  <c r="B41" i="5"/>
  <c r="B48" i="8" s="1"/>
  <c r="A5" i="42" s="1"/>
  <c r="C40" i="5"/>
  <c r="C47" i="8" s="1"/>
  <c r="B40" i="5"/>
  <c r="B47" i="8" s="1"/>
  <c r="D39" i="5"/>
  <c r="D45" i="8" s="1"/>
  <c r="G5" i="41" s="1"/>
  <c r="C39" i="5"/>
  <c r="C45" i="8" s="1"/>
  <c r="B5" i="41" s="1"/>
  <c r="B39" i="5"/>
  <c r="B45" i="8" s="1"/>
  <c r="A5" i="41" s="1"/>
  <c r="D38" i="5"/>
  <c r="D44" i="8" s="1"/>
  <c r="G5" i="40" s="1"/>
  <c r="C38" i="5"/>
  <c r="C44" i="8" s="1"/>
  <c r="B5" i="40" s="1"/>
  <c r="B38" i="5"/>
  <c r="B44" i="8" s="1"/>
  <c r="A5" i="40" s="1"/>
  <c r="D37" i="5"/>
  <c r="D43" i="8" s="1"/>
  <c r="G5" i="39" s="1"/>
  <c r="C37" i="5"/>
  <c r="C43" i="8" s="1"/>
  <c r="B5" i="39" s="1"/>
  <c r="B37" i="5"/>
  <c r="B43" i="8" s="1"/>
  <c r="A5" i="39" s="1"/>
  <c r="C36" i="5"/>
  <c r="C42" i="8" s="1"/>
  <c r="B36" i="5"/>
  <c r="B42" i="8" s="1"/>
  <c r="D34" i="5"/>
  <c r="D39" i="8" s="1"/>
  <c r="G5" i="37" s="1"/>
  <c r="C34" i="5"/>
  <c r="C39" i="8" s="1"/>
  <c r="B5" i="37" s="1"/>
  <c r="B34" i="5"/>
  <c r="B39" i="8" s="1"/>
  <c r="A5" i="37" s="1"/>
  <c r="D33" i="5"/>
  <c r="D38" i="8" s="1"/>
  <c r="G5" i="36" s="1"/>
  <c r="C33" i="5"/>
  <c r="C38" i="8" s="1"/>
  <c r="B5" i="36" s="1"/>
  <c r="B33" i="5"/>
  <c r="B38" i="8" s="1"/>
  <c r="A5" i="36" s="1"/>
  <c r="D32" i="5"/>
  <c r="D37" i="8" s="1"/>
  <c r="G5" i="35" s="1"/>
  <c r="C32" i="5"/>
  <c r="C37" i="8" s="1"/>
  <c r="B5" i="35" s="1"/>
  <c r="B32" i="5"/>
  <c r="B37" i="8" s="1"/>
  <c r="A5" i="35" s="1"/>
  <c r="D31" i="5"/>
  <c r="D36" i="8" s="1"/>
  <c r="G5" i="34" s="1"/>
  <c r="C31" i="5"/>
  <c r="C36" i="8" s="1"/>
  <c r="B5" i="34" s="1"/>
  <c r="B31" i="5"/>
  <c r="B36" i="8" s="1"/>
  <c r="A5" i="34" s="1"/>
  <c r="D30" i="5"/>
  <c r="D35" i="8" s="1"/>
  <c r="G5" i="33" s="1"/>
  <c r="C30" i="5"/>
  <c r="C35" i="8" s="1"/>
  <c r="B5" i="33" s="1"/>
  <c r="B30" i="5"/>
  <c r="B35" i="8" s="1"/>
  <c r="A5" i="33" s="1"/>
  <c r="D29" i="5"/>
  <c r="D34" i="8" s="1"/>
  <c r="G5" i="31" s="1"/>
  <c r="C29" i="5"/>
  <c r="C34" i="8" s="1"/>
  <c r="B5" i="31" s="1"/>
  <c r="B29" i="5"/>
  <c r="B34" i="8" s="1"/>
  <c r="A5" i="31" s="1"/>
  <c r="D28" i="5"/>
  <c r="D33" i="8" s="1"/>
  <c r="G5" i="30" s="1"/>
  <c r="C28" i="5"/>
  <c r="C33" i="8" s="1"/>
  <c r="B5" i="30" s="1"/>
  <c r="B28" i="5"/>
  <c r="B33" i="8" s="1"/>
  <c r="A5" i="30" s="1"/>
  <c r="D27" i="5"/>
  <c r="D32" i="8" s="1"/>
  <c r="G5" i="29" s="1"/>
  <c r="C27" i="5"/>
  <c r="C32" i="8" s="1"/>
  <c r="B5" i="29" s="1"/>
  <c r="B27" i="5"/>
  <c r="B32" i="8" s="1"/>
  <c r="A5" i="29" s="1"/>
  <c r="C26" i="5"/>
  <c r="C31" i="8" s="1"/>
  <c r="B26" i="5"/>
  <c r="B31" i="8" s="1"/>
  <c r="D25" i="5"/>
  <c r="D29" i="8" s="1"/>
  <c r="G5" i="27" s="1"/>
  <c r="C25" i="5"/>
  <c r="C29" i="8" s="1"/>
  <c r="B5" i="27" s="1"/>
  <c r="B25" i="5"/>
  <c r="B29" i="8" s="1"/>
  <c r="A5" i="27" s="1"/>
  <c r="D24" i="5"/>
  <c r="D28" i="8" s="1"/>
  <c r="G5" i="26" s="1"/>
  <c r="C24" i="5"/>
  <c r="C28" i="8" s="1"/>
  <c r="B5" i="26" s="1"/>
  <c r="B24" i="5"/>
  <c r="B28" i="8" s="1"/>
  <c r="A5" i="26" s="1"/>
  <c r="C23" i="5"/>
  <c r="C27" i="8" s="1"/>
  <c r="B23" i="5"/>
  <c r="B27" i="8" s="1"/>
  <c r="D22" i="5"/>
  <c r="D25" i="8" s="1"/>
  <c r="G5" i="25" s="1"/>
  <c r="C22" i="5"/>
  <c r="C25" i="8" s="1"/>
  <c r="B5" i="25" s="1"/>
  <c r="B22" i="5"/>
  <c r="B25" i="8" s="1"/>
  <c r="A5" i="25" s="1"/>
  <c r="D21" i="5"/>
  <c r="D24" i="8" s="1"/>
  <c r="G5" i="24" s="1"/>
  <c r="C21" i="5"/>
  <c r="C24" i="8" s="1"/>
  <c r="B5" i="24" s="1"/>
  <c r="B21" i="5"/>
  <c r="B24" i="8" s="1"/>
  <c r="A5" i="24" s="1"/>
  <c r="D20" i="5"/>
  <c r="D23" i="8" s="1"/>
  <c r="G5" i="23" s="1"/>
  <c r="C20" i="5"/>
  <c r="C23" i="8" s="1"/>
  <c r="B5" i="23" s="1"/>
  <c r="B20" i="5"/>
  <c r="B23" i="8" s="1"/>
  <c r="A5" i="23" s="1"/>
  <c r="D19" i="5"/>
  <c r="D22" i="8" s="1"/>
  <c r="G5" i="22" s="1"/>
  <c r="C19" i="5"/>
  <c r="C22" i="8" s="1"/>
  <c r="B5" i="22" s="1"/>
  <c r="B19" i="5"/>
  <c r="B22" i="8" s="1"/>
  <c r="A5" i="22" s="1"/>
  <c r="D18" i="5"/>
  <c r="D21" i="8" s="1"/>
  <c r="G5" i="21" s="1"/>
  <c r="C18" i="5"/>
  <c r="C21" i="8" s="1"/>
  <c r="B5" i="21" s="1"/>
  <c r="B18" i="5"/>
  <c r="B21" i="8" s="1"/>
  <c r="A5" i="21" s="1"/>
  <c r="D17" i="5"/>
  <c r="D20" i="8" s="1"/>
  <c r="G5" i="20" s="1"/>
  <c r="C17" i="5"/>
  <c r="C20" i="8" s="1"/>
  <c r="B5" i="20" s="1"/>
  <c r="B17" i="5"/>
  <c r="B20" i="8" s="1"/>
  <c r="A5" i="20" s="1"/>
  <c r="D16" i="5"/>
  <c r="D19" i="8" s="1"/>
  <c r="G5" i="19" s="1"/>
  <c r="C16" i="5"/>
  <c r="C19" i="8" s="1"/>
  <c r="B5" i="19" s="1"/>
  <c r="B16" i="5"/>
  <c r="B19" i="8" s="1"/>
  <c r="A5" i="19" s="1"/>
  <c r="C15" i="5"/>
  <c r="C18" i="8" s="1"/>
  <c r="B15" i="5"/>
  <c r="B18" i="8" s="1"/>
  <c r="A3" i="19" s="1"/>
  <c r="D14" i="5"/>
  <c r="D16" i="8" s="1"/>
  <c r="G5" i="18" s="1"/>
  <c r="C14" i="5"/>
  <c r="C16" i="8" s="1"/>
  <c r="B5" i="18" s="1"/>
  <c r="B14" i="5"/>
  <c r="B16" i="8" s="1"/>
  <c r="A5" i="18" s="1"/>
  <c r="D13" i="5"/>
  <c r="D15" i="8" s="1"/>
  <c r="G5" i="17" s="1"/>
  <c r="C13" i="5"/>
  <c r="C15" i="8" s="1"/>
  <c r="B13" i="5"/>
  <c r="B15" i="8" s="1"/>
  <c r="A5" i="17" s="1"/>
  <c r="D12" i="5"/>
  <c r="D14" i="8" s="1"/>
  <c r="G5" i="16" s="1"/>
  <c r="C12" i="5"/>
  <c r="C14" i="8" s="1"/>
  <c r="B5" i="16" s="1"/>
  <c r="B12" i="5"/>
  <c r="B14" i="8" s="1"/>
  <c r="A5" i="16" s="1"/>
  <c r="C11" i="5"/>
  <c r="C13" i="8" s="1"/>
  <c r="B11" i="5"/>
  <c r="B13" i="8" s="1"/>
  <c r="D10" i="5"/>
  <c r="D11" i="8" s="1"/>
  <c r="G5" i="15" s="1"/>
  <c r="C10" i="5"/>
  <c r="C11" i="8" s="1"/>
  <c r="B5" i="15" s="1"/>
  <c r="B10" i="5"/>
  <c r="B11" i="8" s="1"/>
  <c r="A5" i="15" s="1"/>
  <c r="D9" i="5"/>
  <c r="D10" i="8" s="1"/>
  <c r="G5" i="14" s="1"/>
  <c r="C9" i="5"/>
  <c r="C10" i="8" s="1"/>
  <c r="B5" i="14" s="1"/>
  <c r="B9" i="5"/>
  <c r="B10" i="8" s="1"/>
  <c r="A5" i="14" s="1"/>
  <c r="D8" i="5"/>
  <c r="D9" i="8" s="1"/>
  <c r="G5" i="13" s="1"/>
  <c r="C8" i="5"/>
  <c r="C9" i="8" s="1"/>
  <c r="B5" i="13" s="1"/>
  <c r="B8" i="5"/>
  <c r="B9" i="8" s="1"/>
  <c r="A5" i="13" s="1"/>
  <c r="D7" i="5"/>
  <c r="D8" i="8" s="1"/>
  <c r="G5" i="12" s="1"/>
  <c r="C7" i="5"/>
  <c r="C8" i="8" s="1"/>
  <c r="B5" i="12" s="1"/>
  <c r="B7" i="5"/>
  <c r="B8" i="8" s="1"/>
  <c r="D6" i="5"/>
  <c r="D7" i="8" s="1"/>
  <c r="C6" i="5"/>
  <c r="C7" i="8" s="1"/>
  <c r="B6" i="5"/>
  <c r="B7" i="8" s="1"/>
  <c r="A5" i="11" s="1"/>
  <c r="C5" i="5"/>
  <c r="B5" i="5"/>
  <c r="B6" i="8" s="1"/>
  <c r="A3" i="14" s="1"/>
  <c r="H76" i="4"/>
  <c r="K76" i="4" s="1"/>
  <c r="H75" i="4"/>
  <c r="K75" i="4" s="1"/>
  <c r="H74" i="4"/>
  <c r="K74" i="4" s="1"/>
  <c r="E73" i="5" s="1"/>
  <c r="E83" i="8" s="1"/>
  <c r="K72" i="4"/>
  <c r="E71" i="5" s="1"/>
  <c r="E81" i="8" s="1"/>
  <c r="H71" i="4"/>
  <c r="K71" i="4" s="1"/>
  <c r="E70" i="5" s="1"/>
  <c r="E80" i="8" s="1"/>
  <c r="H70" i="4"/>
  <c r="K70" i="4" s="1"/>
  <c r="H69" i="4"/>
  <c r="K69" i="4" s="1"/>
  <c r="E68" i="5" s="1"/>
  <c r="E78" i="8" s="1"/>
  <c r="C67" i="4"/>
  <c r="H66" i="4"/>
  <c r="K66" i="4" s="1"/>
  <c r="D66" i="4"/>
  <c r="C66" i="4"/>
  <c r="H65" i="4"/>
  <c r="K65" i="4" s="1"/>
  <c r="D65" i="4"/>
  <c r="C65" i="4"/>
  <c r="H64" i="4"/>
  <c r="K64" i="4" s="1"/>
  <c r="D64" i="4"/>
  <c r="C64" i="4"/>
  <c r="H63" i="4"/>
  <c r="K63" i="4" s="1"/>
  <c r="D63" i="4"/>
  <c r="C63" i="4"/>
  <c r="C62" i="4"/>
  <c r="K61" i="4"/>
  <c r="D61" i="4"/>
  <c r="C61" i="4"/>
  <c r="K60" i="4"/>
  <c r="D60" i="4"/>
  <c r="C60" i="4"/>
  <c r="H59" i="4"/>
  <c r="K59" i="4" s="1"/>
  <c r="D59" i="4"/>
  <c r="C59" i="4"/>
  <c r="H57" i="4"/>
  <c r="K57" i="4" s="1"/>
  <c r="D57" i="4"/>
  <c r="C57" i="4"/>
  <c r="H56" i="4"/>
  <c r="K56" i="4" s="1"/>
  <c r="D56" i="4"/>
  <c r="C56" i="4"/>
  <c r="H55" i="4"/>
  <c r="K55" i="4" s="1"/>
  <c r="D55" i="4"/>
  <c r="H53" i="4"/>
  <c r="K53" i="4" s="1"/>
  <c r="D53" i="4"/>
  <c r="C53" i="4"/>
  <c r="D52" i="4"/>
  <c r="C52" i="4"/>
  <c r="C51" i="4"/>
  <c r="H50" i="4"/>
  <c r="K50" i="4" s="1"/>
  <c r="E49" i="5" s="1"/>
  <c r="E56" i="8" s="1"/>
  <c r="D50" i="4"/>
  <c r="C50" i="4"/>
  <c r="H49" i="4"/>
  <c r="K49" i="4" s="1"/>
  <c r="D49" i="4"/>
  <c r="C49" i="4"/>
  <c r="H48" i="4"/>
  <c r="K48" i="4" s="1"/>
  <c r="D48" i="4"/>
  <c r="C48" i="4"/>
  <c r="H47" i="4"/>
  <c r="K47" i="4" s="1"/>
  <c r="D47" i="4"/>
  <c r="C47" i="4"/>
  <c r="H46" i="4"/>
  <c r="K46" i="4" s="1"/>
  <c r="D46" i="4"/>
  <c r="C46" i="4"/>
  <c r="H45" i="4"/>
  <c r="K45" i="4" s="1"/>
  <c r="D45" i="4"/>
  <c r="C45" i="4"/>
  <c r="H44" i="4"/>
  <c r="K44" i="4" s="1"/>
  <c r="D44" i="4"/>
  <c r="C44" i="4"/>
  <c r="H43" i="4"/>
  <c r="K43" i="4" s="1"/>
  <c r="D43" i="4"/>
  <c r="C43" i="4"/>
  <c r="H42" i="4"/>
  <c r="K42" i="4" s="1"/>
  <c r="D42" i="4"/>
  <c r="C42" i="4"/>
  <c r="C41" i="4"/>
  <c r="K39" i="4"/>
  <c r="D39" i="4"/>
  <c r="H38" i="4"/>
  <c r="D38" i="4"/>
  <c r="C38" i="4"/>
  <c r="C37" i="4"/>
  <c r="K35" i="4"/>
  <c r="D35" i="4"/>
  <c r="C35" i="4"/>
  <c r="K34" i="4"/>
  <c r="D34" i="4"/>
  <c r="C34" i="4"/>
  <c r="K33" i="4"/>
  <c r="D33" i="4"/>
  <c r="C33" i="4"/>
  <c r="K32" i="4"/>
  <c r="D32" i="4"/>
  <c r="C32" i="4"/>
  <c r="K31" i="4"/>
  <c r="D31" i="4"/>
  <c r="C31" i="4"/>
  <c r="K30" i="4"/>
  <c r="D30" i="4"/>
  <c r="C30" i="4"/>
  <c r="K29" i="4"/>
  <c r="D29" i="4"/>
  <c r="C29" i="4"/>
  <c r="H28" i="4"/>
  <c r="K28" i="4" s="1"/>
  <c r="D28" i="4"/>
  <c r="C28" i="4"/>
  <c r="C27" i="4"/>
  <c r="H26" i="4"/>
  <c r="K26" i="4" s="1"/>
  <c r="D26" i="4"/>
  <c r="C26" i="4"/>
  <c r="H25" i="4"/>
  <c r="K25" i="4" s="1"/>
  <c r="D25" i="4"/>
  <c r="C25" i="4"/>
  <c r="C24" i="4"/>
  <c r="H23" i="4"/>
  <c r="K23" i="4" s="1"/>
  <c r="D23" i="4"/>
  <c r="C23" i="4"/>
  <c r="K22" i="4"/>
  <c r="D22" i="4"/>
  <c r="C22" i="4"/>
  <c r="H21" i="4"/>
  <c r="K21" i="4" s="1"/>
  <c r="D21" i="4"/>
  <c r="C21" i="4"/>
  <c r="H20" i="4"/>
  <c r="K20" i="4" s="1"/>
  <c r="D20" i="4"/>
  <c r="C20" i="4"/>
  <c r="H19" i="4"/>
  <c r="K19" i="4" s="1"/>
  <c r="D19" i="4"/>
  <c r="C19" i="4"/>
  <c r="H18" i="4"/>
  <c r="K18" i="4" s="1"/>
  <c r="D18" i="4"/>
  <c r="C18" i="4"/>
  <c r="H17" i="4"/>
  <c r="K17" i="4" s="1"/>
  <c r="D17" i="4"/>
  <c r="C16" i="4"/>
  <c r="D15" i="4"/>
  <c r="C15" i="4"/>
  <c r="D14" i="4"/>
  <c r="D13" i="4"/>
  <c r="C13" i="4"/>
  <c r="C12" i="4"/>
  <c r="D11" i="4"/>
  <c r="C11" i="4"/>
  <c r="H10" i="4"/>
  <c r="K10" i="4" s="1"/>
  <c r="D10" i="4"/>
  <c r="C10" i="4"/>
  <c r="H9" i="4"/>
  <c r="K9" i="4" s="1"/>
  <c r="D9" i="4"/>
  <c r="C9" i="4"/>
  <c r="H8" i="4"/>
  <c r="K8" i="4" s="1"/>
  <c r="D8" i="4"/>
  <c r="C8" i="4"/>
  <c r="D7" i="4"/>
  <c r="C7" i="4"/>
  <c r="C6" i="4"/>
  <c r="D4" i="3"/>
  <c r="C4" i="3"/>
  <c r="C4" i="5" s="1"/>
  <c r="B4" i="3"/>
  <c r="B4" i="5" s="1"/>
  <c r="H19" i="36" l="1"/>
  <c r="G19" i="36"/>
  <c r="G20" i="36"/>
  <c r="H20" i="36" s="1"/>
  <c r="G21" i="36"/>
  <c r="H21" i="36" s="1"/>
  <c r="H13" i="30"/>
  <c r="B3" i="37"/>
  <c r="B3" i="89"/>
  <c r="A3" i="29"/>
  <c r="A3" i="89"/>
  <c r="B3" i="87"/>
  <c r="A3" i="87"/>
  <c r="C62" i="8"/>
  <c r="B5" i="53" s="1"/>
  <c r="E75" i="5"/>
  <c r="E85" i="8" s="1"/>
  <c r="G85" i="8" s="1"/>
  <c r="E69" i="5"/>
  <c r="E79" i="8" s="1"/>
  <c r="E74" i="5"/>
  <c r="E84" i="8" s="1"/>
  <c r="A3" i="84"/>
  <c r="A3" i="83"/>
  <c r="B3" i="84"/>
  <c r="B3" i="83"/>
  <c r="G16" i="56"/>
  <c r="H16" i="56" s="1"/>
  <c r="H21" i="56" s="1"/>
  <c r="H23" i="22"/>
  <c r="B5" i="17"/>
  <c r="B5" i="11"/>
  <c r="H13" i="41"/>
  <c r="G5" i="11"/>
  <c r="H13" i="50"/>
  <c r="H13" i="56"/>
  <c r="A5" i="12"/>
  <c r="H22" i="26"/>
  <c r="G18" i="36"/>
  <c r="H18" i="36" s="1"/>
  <c r="H21" i="29"/>
  <c r="H25" i="31"/>
  <c r="H13" i="47"/>
  <c r="H13" i="53"/>
  <c r="H21" i="17"/>
  <c r="H22" i="25"/>
  <c r="H13" i="68"/>
  <c r="H15" i="22"/>
  <c r="H52" i="4"/>
  <c r="K52" i="4" s="1"/>
  <c r="H13" i="14"/>
  <c r="H21" i="14"/>
  <c r="H22" i="33"/>
  <c r="H15" i="35"/>
  <c r="H13" i="52"/>
  <c r="H24" i="58"/>
  <c r="H14" i="21"/>
  <c r="H26" i="37"/>
  <c r="H21" i="41"/>
  <c r="H13" i="54"/>
  <c r="H13" i="55"/>
  <c r="H21" i="57"/>
  <c r="H13" i="71"/>
  <c r="H30" i="72"/>
  <c r="H13" i="57"/>
  <c r="H14" i="40"/>
  <c r="H13" i="46"/>
  <c r="H21" i="16"/>
  <c r="H21" i="24"/>
  <c r="H23" i="23"/>
  <c r="H22" i="20"/>
  <c r="H21" i="15"/>
  <c r="H13" i="15"/>
  <c r="H21" i="12"/>
  <c r="H28" i="12"/>
  <c r="H22" i="7"/>
  <c r="I22" i="7" s="1"/>
  <c r="H32" i="7"/>
  <c r="I32" i="7" s="1"/>
  <c r="J21" i="7"/>
  <c r="H27" i="7"/>
  <c r="I27" i="7" s="1"/>
  <c r="H35" i="7"/>
  <c r="I35" i="7" s="1"/>
  <c r="H41" i="7"/>
  <c r="I41" i="7" s="1"/>
  <c r="A28" i="31"/>
  <c r="H26" i="7"/>
  <c r="I26" i="7" s="1"/>
  <c r="K26" i="7" s="1"/>
  <c r="L26" i="7" s="1"/>
  <c r="H30" i="7"/>
  <c r="I30" i="7" s="1"/>
  <c r="H36" i="7"/>
  <c r="I36" i="7" s="1"/>
  <c r="H38" i="7"/>
  <c r="I38" i="7" s="1"/>
  <c r="J39" i="7"/>
  <c r="J42" i="7"/>
  <c r="H14" i="4"/>
  <c r="K14" i="4" s="1"/>
  <c r="H15" i="4"/>
  <c r="K15" i="4" s="1"/>
  <c r="E14" i="5" s="1"/>
  <c r="E16" i="8" s="1"/>
  <c r="K11" i="4"/>
  <c r="H13" i="4"/>
  <c r="K13" i="4" s="1"/>
  <c r="E60" i="5"/>
  <c r="E68" i="8" s="1"/>
  <c r="E62" i="5"/>
  <c r="E71" i="8" s="1"/>
  <c r="E54" i="5"/>
  <c r="E62" i="8" s="1"/>
  <c r="E55" i="5"/>
  <c r="E63" i="8" s="1"/>
  <c r="K38" i="4"/>
  <c r="E37" i="5" s="1"/>
  <c r="E43" i="8" s="1"/>
  <c r="A3" i="37"/>
  <c r="D4" i="5"/>
  <c r="A3" i="36"/>
  <c r="E47" i="5"/>
  <c r="E54" i="8" s="1"/>
  <c r="E52" i="5"/>
  <c r="E60" i="8" s="1"/>
  <c r="A3" i="16"/>
  <c r="A3" i="17"/>
  <c r="A3" i="18"/>
  <c r="E32" i="5"/>
  <c r="E37" i="8" s="1"/>
  <c r="E28" i="5"/>
  <c r="E33" i="8" s="1"/>
  <c r="E29" i="5"/>
  <c r="E34" i="8" s="1"/>
  <c r="E30" i="5"/>
  <c r="E35" i="8" s="1"/>
  <c r="E6" i="5"/>
  <c r="E7" i="8" s="1"/>
  <c r="E18" i="5"/>
  <c r="E21" i="8" s="1"/>
  <c r="E25" i="5"/>
  <c r="E29" i="8" s="1"/>
  <c r="E34" i="5"/>
  <c r="E39" i="8" s="1"/>
  <c r="E48" i="5"/>
  <c r="E55" i="8" s="1"/>
  <c r="E27" i="5"/>
  <c r="E32" i="8" s="1"/>
  <c r="E31" i="5"/>
  <c r="E36" i="8" s="1"/>
  <c r="E56" i="5"/>
  <c r="E64" i="8" s="1"/>
  <c r="E7" i="5"/>
  <c r="E8" i="8" s="1"/>
  <c r="E17" i="5"/>
  <c r="E19" i="5"/>
  <c r="E22" i="8" s="1"/>
  <c r="E24" i="5"/>
  <c r="E28" i="8" s="1"/>
  <c r="E41" i="5"/>
  <c r="E48" i="8" s="1"/>
  <c r="E8" i="5"/>
  <c r="E9" i="8" s="1"/>
  <c r="E9" i="5"/>
  <c r="E10" i="8" s="1"/>
  <c r="E21" i="5"/>
  <c r="E24" i="8" s="1"/>
  <c r="E22" i="5"/>
  <c r="E25" i="8" s="1"/>
  <c r="E43" i="5"/>
  <c r="E50" i="8" s="1"/>
  <c r="E44" i="5"/>
  <c r="E51" i="8" s="1"/>
  <c r="E45" i="5"/>
  <c r="E52" i="8" s="1"/>
  <c r="E63" i="5"/>
  <c r="E72" i="8" s="1"/>
  <c r="E64" i="5"/>
  <c r="E73" i="8" s="1"/>
  <c r="E42" i="5"/>
  <c r="E49" i="8" s="1"/>
  <c r="E59" i="5"/>
  <c r="E67" i="8" s="1"/>
  <c r="A24" i="66"/>
  <c r="A24" i="54"/>
  <c r="A24" i="55"/>
  <c r="A24" i="53"/>
  <c r="A24" i="52"/>
  <c r="A24" i="51"/>
  <c r="A24" i="11"/>
  <c r="A27" i="58"/>
  <c r="A24" i="56"/>
  <c r="B3" i="26"/>
  <c r="B3" i="54"/>
  <c r="B3" i="53"/>
  <c r="B3" i="52"/>
  <c r="B3" i="51"/>
  <c r="B3" i="57"/>
  <c r="B3" i="58"/>
  <c r="B3" i="56"/>
  <c r="B3" i="55"/>
  <c r="E16" i="5"/>
  <c r="E19" i="8" s="1"/>
  <c r="E33" i="5"/>
  <c r="E38" i="8" s="1"/>
  <c r="E65" i="5"/>
  <c r="E74" i="8" s="1"/>
  <c r="A3" i="12"/>
  <c r="A3" i="13"/>
  <c r="A3" i="26"/>
  <c r="A3" i="27"/>
  <c r="A3" i="49"/>
  <c r="A3" i="47"/>
  <c r="A3" i="43"/>
  <c r="A3" i="42"/>
  <c r="A3" i="50"/>
  <c r="A3" i="45"/>
  <c r="A3" i="44"/>
  <c r="A3" i="48"/>
  <c r="A3" i="46"/>
  <c r="A3" i="57"/>
  <c r="A3" i="51"/>
  <c r="A3" i="56"/>
  <c r="A3" i="53"/>
  <c r="A3" i="58"/>
  <c r="A3" i="63"/>
  <c r="A3" i="59"/>
  <c r="A3" i="61"/>
  <c r="A3" i="60"/>
  <c r="A3" i="71"/>
  <c r="A3" i="67"/>
  <c r="A3" i="68"/>
  <c r="A3" i="69"/>
  <c r="A3" i="72"/>
  <c r="A3" i="70"/>
  <c r="A3" i="66"/>
  <c r="A24" i="57"/>
  <c r="A28" i="35"/>
  <c r="A29" i="37"/>
  <c r="A28" i="34"/>
  <c r="A24" i="49"/>
  <c r="A24" i="45"/>
  <c r="A24" i="50"/>
  <c r="A24" i="47"/>
  <c r="A27" i="42"/>
  <c r="A24" i="46"/>
  <c r="A24" i="44"/>
  <c r="A24" i="48"/>
  <c r="A24" i="43"/>
  <c r="J33" i="7"/>
  <c r="H13" i="11"/>
  <c r="A3" i="15"/>
  <c r="H21" i="18"/>
  <c r="A3" i="21"/>
  <c r="H15" i="23"/>
  <c r="A3" i="30"/>
  <c r="A3" i="54"/>
  <c r="A3" i="55"/>
  <c r="B3" i="17"/>
  <c r="B3" i="16"/>
  <c r="B3" i="18"/>
  <c r="B3" i="22"/>
  <c r="B3" i="20"/>
  <c r="B3" i="23"/>
  <c r="B3" i="24"/>
  <c r="B3" i="19"/>
  <c r="B3" i="34"/>
  <c r="B3" i="33"/>
  <c r="B3" i="31"/>
  <c r="B3" i="36"/>
  <c r="B3" i="29"/>
  <c r="B3" i="35"/>
  <c r="B3" i="41"/>
  <c r="B3" i="39"/>
  <c r="B3" i="40"/>
  <c r="B3" i="50"/>
  <c r="B3" i="45"/>
  <c r="B3" i="44"/>
  <c r="B3" i="48"/>
  <c r="B3" i="47"/>
  <c r="B3" i="46"/>
  <c r="B3" i="49"/>
  <c r="B3" i="60"/>
  <c r="B3" i="63"/>
  <c r="B3" i="59"/>
  <c r="B3" i="61"/>
  <c r="B3" i="72"/>
  <c r="B3" i="66"/>
  <c r="B3" i="71"/>
  <c r="B3" i="67"/>
  <c r="B3" i="70"/>
  <c r="B3" i="68"/>
  <c r="B3" i="69"/>
  <c r="A24" i="14"/>
  <c r="A25" i="40"/>
  <c r="A24" i="19"/>
  <c r="A25" i="39"/>
  <c r="A24" i="29"/>
  <c r="H24" i="7"/>
  <c r="I24" i="7" s="1"/>
  <c r="K24" i="7" s="1"/>
  <c r="H29" i="7"/>
  <c r="I29" i="7" s="1"/>
  <c r="A3" i="11"/>
  <c r="B3" i="21"/>
  <c r="B3" i="25"/>
  <c r="B3" i="27"/>
  <c r="B3" i="30"/>
  <c r="A29" i="36"/>
  <c r="B3" i="42"/>
  <c r="B3" i="43"/>
  <c r="H13" i="48"/>
  <c r="E20" i="5"/>
  <c r="E23" i="8" s="1"/>
  <c r="E38" i="5"/>
  <c r="E44" i="8" s="1"/>
  <c r="E46" i="5"/>
  <c r="E53" i="8" s="1"/>
  <c r="E58" i="5"/>
  <c r="E66" i="8" s="1"/>
  <c r="A24" i="63"/>
  <c r="A24" i="61"/>
  <c r="A24" i="60"/>
  <c r="A24" i="59"/>
  <c r="A25" i="27"/>
  <c r="A26" i="22"/>
  <c r="A24" i="24"/>
  <c r="A25" i="20"/>
  <c r="A31" i="12"/>
  <c r="A26" i="23"/>
  <c r="A25" i="21"/>
  <c r="A25" i="25"/>
  <c r="A3" i="39"/>
  <c r="A3" i="40"/>
  <c r="A3" i="24"/>
  <c r="A3" i="22"/>
  <c r="A3" i="20"/>
  <c r="A3" i="25"/>
  <c r="A3" i="23"/>
  <c r="A3" i="35"/>
  <c r="A3" i="34"/>
  <c r="A3" i="33"/>
  <c r="A3" i="31"/>
  <c r="A24" i="70"/>
  <c r="A24" i="30"/>
  <c r="A24" i="13"/>
  <c r="A24" i="18"/>
  <c r="A24" i="17"/>
  <c r="A24" i="16"/>
  <c r="A24" i="69"/>
  <c r="A24" i="67"/>
  <c r="A24" i="41"/>
  <c r="J36" i="7"/>
  <c r="A32" i="12"/>
  <c r="A24" i="15"/>
  <c r="H16" i="31"/>
  <c r="A3" i="41"/>
  <c r="H24" i="42"/>
  <c r="A3" i="52"/>
  <c r="H21" i="11"/>
  <c r="H13" i="43"/>
  <c r="H21" i="13"/>
  <c r="H21" i="19"/>
  <c r="H22" i="27"/>
  <c r="H15" i="36"/>
  <c r="H22" i="40"/>
  <c r="H16" i="42"/>
  <c r="H13" i="45"/>
  <c r="H13" i="49"/>
  <c r="G17" i="59"/>
  <c r="G16" i="59"/>
  <c r="H13" i="63"/>
  <c r="H13" i="51"/>
  <c r="H21" i="70"/>
  <c r="G24" i="53"/>
  <c r="H13" i="67"/>
  <c r="H21" i="67"/>
  <c r="H26" i="36" l="1"/>
  <c r="E51" i="5"/>
  <c r="E59" i="8" s="1"/>
  <c r="E12" i="5"/>
  <c r="E14" i="8" s="1"/>
  <c r="E13" i="5"/>
  <c r="E15" i="8" s="1"/>
  <c r="E10" i="5"/>
  <c r="E11" i="8" s="1"/>
  <c r="K38" i="7"/>
  <c r="G13" i="7" s="1"/>
  <c r="F24" i="84" s="1"/>
  <c r="H24" i="84" s="1"/>
  <c r="H28" i="84" s="1"/>
  <c r="H30" i="84" s="1"/>
  <c r="F82" i="8" s="1"/>
  <c r="G82" i="8" s="1"/>
  <c r="G9" i="7"/>
  <c r="F26" i="89" s="1"/>
  <c r="H26" i="89" s="1"/>
  <c r="H30" i="89" s="1"/>
  <c r="H32" i="89" s="1"/>
  <c r="F40" i="8" s="1"/>
  <c r="G40" i="8" s="1"/>
  <c r="K35" i="7"/>
  <c r="L35" i="7" s="1"/>
  <c r="K29" i="7"/>
  <c r="G10" i="7" s="1"/>
  <c r="K21" i="7"/>
  <c r="L21" i="7" s="1"/>
  <c r="K41" i="7"/>
  <c r="K32" i="7"/>
  <c r="L32" i="7" s="1"/>
  <c r="E39" i="5"/>
  <c r="E45" i="8" s="1"/>
  <c r="L38" i="7"/>
  <c r="A1" i="15"/>
  <c r="A1" i="16" s="1"/>
  <c r="A1" i="17" s="1"/>
  <c r="A1" i="12"/>
  <c r="A1" i="14"/>
  <c r="A1" i="13"/>
  <c r="G16" i="53"/>
  <c r="H16" i="53" s="1"/>
  <c r="H21" i="53" s="1"/>
  <c r="L24" i="7"/>
  <c r="G8" i="7"/>
  <c r="A1" i="18" l="1"/>
  <c r="A1" i="19" s="1"/>
  <c r="A1" i="20" s="1"/>
  <c r="A1" i="21" s="1"/>
  <c r="A1" i="22" s="1"/>
  <c r="A1" i="23" s="1"/>
  <c r="A1" i="24" s="1"/>
  <c r="A1" i="25" s="1"/>
  <c r="A1" i="26" s="1"/>
  <c r="A1" i="27" s="1"/>
  <c r="F25" i="33"/>
  <c r="H25" i="33" s="1"/>
  <c r="H29" i="33" s="1"/>
  <c r="H31" i="33" s="1"/>
  <c r="F35" i="8" s="1"/>
  <c r="G35" i="8" s="1"/>
  <c r="F29" i="36"/>
  <c r="H29" i="36" s="1"/>
  <c r="H33" i="36" s="1"/>
  <c r="H35" i="36" s="1"/>
  <c r="F38" i="8" s="1"/>
  <c r="G38" i="8" s="1"/>
  <c r="F28" i="34"/>
  <c r="H28" i="34" s="1"/>
  <c r="H32" i="34" s="1"/>
  <c r="H34" i="34" s="1"/>
  <c r="F36" i="8" s="1"/>
  <c r="G36" i="8" s="1"/>
  <c r="F28" i="35"/>
  <c r="H28" i="35" s="1"/>
  <c r="F37" i="8" s="1"/>
  <c r="G37" i="8" s="1"/>
  <c r="F29" i="37"/>
  <c r="H29" i="37" s="1"/>
  <c r="H33" i="37" s="1"/>
  <c r="F28" i="31"/>
  <c r="H28" i="31" s="1"/>
  <c r="H32" i="31" s="1"/>
  <c r="H34" i="31" s="1"/>
  <c r="F34" i="8" s="1"/>
  <c r="G34" i="8" s="1"/>
  <c r="F24" i="57"/>
  <c r="H24" i="57" s="1"/>
  <c r="H28" i="57" s="1"/>
  <c r="H30" i="57" s="1"/>
  <c r="F67" i="8" s="1"/>
  <c r="G67" i="8" s="1"/>
  <c r="G11" i="7"/>
  <c r="G12" i="7"/>
  <c r="F24" i="48" s="1"/>
  <c r="H24" i="48" s="1"/>
  <c r="H28" i="48" s="1"/>
  <c r="H30" i="48" s="1"/>
  <c r="F54" i="8" s="1"/>
  <c r="G54" i="8" s="1"/>
  <c r="L29" i="7"/>
  <c r="G7" i="7"/>
  <c r="L41" i="7"/>
  <c r="G14" i="7"/>
  <c r="F24" i="71"/>
  <c r="H24" i="71" s="1"/>
  <c r="H28" i="71" s="1"/>
  <c r="H30" i="71" s="1"/>
  <c r="F24" i="70"/>
  <c r="H24" i="70" s="1"/>
  <c r="H28" i="70" s="1"/>
  <c r="H30" i="70" s="1"/>
  <c r="F24" i="18"/>
  <c r="F24" i="17"/>
  <c r="H24" i="17" s="1"/>
  <c r="H28" i="17" s="1"/>
  <c r="H30" i="17" s="1"/>
  <c r="F15" i="8" s="1"/>
  <c r="G15" i="8" s="1"/>
  <c r="F24" i="16"/>
  <c r="H24" i="16" s="1"/>
  <c r="H28" i="16" s="1"/>
  <c r="H30" i="16" s="1"/>
  <c r="F14" i="8" s="1"/>
  <c r="G14" i="8" s="1"/>
  <c r="F24" i="30"/>
  <c r="H24" i="30" s="1"/>
  <c r="H28" i="30" s="1"/>
  <c r="H30" i="30" s="1"/>
  <c r="F33" i="8" s="1"/>
  <c r="G33" i="8" s="1"/>
  <c r="F24" i="13"/>
  <c r="H24" i="13" s="1"/>
  <c r="H28" i="13" s="1"/>
  <c r="H30" i="13" s="1"/>
  <c r="F9" i="8" s="1"/>
  <c r="G9" i="8" s="1"/>
  <c r="F25" i="39"/>
  <c r="F43" i="8" s="1"/>
  <c r="G43" i="8" s="1"/>
  <c r="F24" i="29"/>
  <c r="H24" i="29" s="1"/>
  <c r="H28" i="29" s="1"/>
  <c r="H30" i="29" s="1"/>
  <c r="F32" i="8" s="1"/>
  <c r="G32" i="8" s="1"/>
  <c r="F24" i="19"/>
  <c r="H24" i="19" s="1"/>
  <c r="H28" i="19" s="1"/>
  <c r="H30" i="19" s="1"/>
  <c r="F19" i="8" s="1"/>
  <c r="G19" i="8" s="1"/>
  <c r="F25" i="40"/>
  <c r="H25" i="40" s="1"/>
  <c r="H29" i="40" s="1"/>
  <c r="H31" i="40" s="1"/>
  <c r="F44" i="8" s="1"/>
  <c r="G44" i="8" s="1"/>
  <c r="F24" i="68"/>
  <c r="H24" i="68" s="1"/>
  <c r="H28" i="68" s="1"/>
  <c r="H30" i="68" s="1"/>
  <c r="F24" i="69"/>
  <c r="H24" i="69" s="1"/>
  <c r="H28" i="69" s="1"/>
  <c r="H30" i="69" s="1"/>
  <c r="F24" i="67"/>
  <c r="H24" i="67" s="1"/>
  <c r="H28" i="67" s="1"/>
  <c r="H30" i="67" s="1"/>
  <c r="F24" i="41"/>
  <c r="H24" i="41" s="1"/>
  <c r="H28" i="41" s="1"/>
  <c r="H30" i="41" s="1"/>
  <c r="F45" i="8" s="1"/>
  <c r="G45" i="8" s="1"/>
  <c r="F24" i="45"/>
  <c r="H24" i="45" s="1"/>
  <c r="H28" i="45" s="1"/>
  <c r="H30" i="45" s="1"/>
  <c r="F51" i="8" s="1"/>
  <c r="G51" i="8" s="1"/>
  <c r="F24" i="63"/>
  <c r="H28" i="63" s="1"/>
  <c r="F74" i="8" s="1"/>
  <c r="G74" i="8" s="1"/>
  <c r="F26" i="22"/>
  <c r="H26" i="22" s="1"/>
  <c r="H30" i="22" s="1"/>
  <c r="H32" i="22" s="1"/>
  <c r="F22" i="8" s="1"/>
  <c r="G22" i="8" s="1"/>
  <c r="G46" i="8" l="1"/>
  <c r="H35" i="37"/>
  <c r="F39" i="8" s="1"/>
  <c r="G39" i="8" s="1"/>
  <c r="G41" i="8" s="1"/>
  <c r="F24" i="88"/>
  <c r="H24" i="88" s="1"/>
  <c r="H28" i="88" s="1"/>
  <c r="H30" i="88" s="1"/>
  <c r="F65" i="8" s="1"/>
  <c r="G65" i="8" s="1"/>
  <c r="F24" i="87"/>
  <c r="H24" i="87" s="1"/>
  <c r="H28" i="87" s="1"/>
  <c r="H30" i="87" s="1"/>
  <c r="F61" i="8" s="1"/>
  <c r="G61" i="8" s="1"/>
  <c r="F24" i="83"/>
  <c r="H24" i="83" s="1"/>
  <c r="H28" i="83" s="1"/>
  <c r="H30" i="83" s="1"/>
  <c r="F78" i="8" s="1"/>
  <c r="G78" i="8" s="1"/>
  <c r="F83" i="8"/>
  <c r="G83" i="8" s="1"/>
  <c r="F84" i="8"/>
  <c r="G84" i="8" s="1"/>
  <c r="F80" i="8"/>
  <c r="G80" i="8" s="1"/>
  <c r="F79" i="8"/>
  <c r="G79" i="8" s="1"/>
  <c r="F81" i="8"/>
  <c r="G81" i="8" s="1"/>
  <c r="A1" i="30"/>
  <c r="A1" i="31" s="1"/>
  <c r="A1" i="34" s="1"/>
  <c r="A1" i="35" s="1"/>
  <c r="A1" i="36" s="1"/>
  <c r="A1" i="37" s="1"/>
  <c r="A1" i="40" s="1"/>
  <c r="F25" i="25"/>
  <c r="H25" i="25" s="1"/>
  <c r="H29" i="25" s="1"/>
  <c r="F25" i="8" s="1"/>
  <c r="G25" i="8" s="1"/>
  <c r="F24" i="59"/>
  <c r="F71" i="8" s="1"/>
  <c r="G71" i="8" s="1"/>
  <c r="F24" i="60"/>
  <c r="F72" i="8" s="1"/>
  <c r="G72" i="8" s="1"/>
  <c r="F31" i="12"/>
  <c r="H31" i="12" s="1"/>
  <c r="F25" i="21"/>
  <c r="H25" i="21" s="1"/>
  <c r="H29" i="21" s="1"/>
  <c r="H31" i="21" s="1"/>
  <c r="F21" i="8" s="1"/>
  <c r="G21" i="8" s="1"/>
  <c r="F25" i="20"/>
  <c r="H25" i="20" s="1"/>
  <c r="H29" i="20" s="1"/>
  <c r="H31" i="20" s="1"/>
  <c r="F20" i="8" s="1"/>
  <c r="G20" i="8" s="1"/>
  <c r="F24" i="50"/>
  <c r="H24" i="50" s="1"/>
  <c r="H28" i="50" s="1"/>
  <c r="H30" i="50" s="1"/>
  <c r="F56" i="8" s="1"/>
  <c r="G56" i="8" s="1"/>
  <c r="F24" i="46"/>
  <c r="H24" i="46" s="1"/>
  <c r="H28" i="46" s="1"/>
  <c r="H30" i="46" s="1"/>
  <c r="F52" i="8" s="1"/>
  <c r="G52" i="8" s="1"/>
  <c r="F24" i="43"/>
  <c r="H24" i="43" s="1"/>
  <c r="H28" i="43" s="1"/>
  <c r="H30" i="43" s="1"/>
  <c r="F49" i="8" s="1"/>
  <c r="G49" i="8" s="1"/>
  <c r="F27" i="42"/>
  <c r="H27" i="42" s="1"/>
  <c r="H31" i="42" s="1"/>
  <c r="H24" i="18"/>
  <c r="H28" i="18" s="1"/>
  <c r="H30" i="18" s="1"/>
  <c r="F16" i="8" s="1"/>
  <c r="G16" i="8" s="1"/>
  <c r="G17" i="8" s="1"/>
  <c r="F25" i="27"/>
  <c r="H25" i="27" s="1"/>
  <c r="H29" i="27" s="1"/>
  <c r="H31" i="27" s="1"/>
  <c r="F29" i="8" s="1"/>
  <c r="G29" i="8" s="1"/>
  <c r="F26" i="23"/>
  <c r="H26" i="23" s="1"/>
  <c r="H30" i="23" s="1"/>
  <c r="H32" i="23" s="1"/>
  <c r="F23" i="8" s="1"/>
  <c r="G23" i="8" s="1"/>
  <c r="F24" i="24"/>
  <c r="H24" i="24" s="1"/>
  <c r="F24" i="61"/>
  <c r="H24" i="61" s="1"/>
  <c r="H28" i="61" s="1"/>
  <c r="H30" i="61" s="1"/>
  <c r="F73" i="8" s="1"/>
  <c r="G73" i="8" s="1"/>
  <c r="F25" i="26"/>
  <c r="H25" i="26" s="1"/>
  <c r="H29" i="26" s="1"/>
  <c r="H31" i="26" s="1"/>
  <c r="F28" i="8" s="1"/>
  <c r="G28" i="8" s="1"/>
  <c r="F32" i="12"/>
  <c r="H32" i="12" s="1"/>
  <c r="F24" i="47"/>
  <c r="H24" i="47" s="1"/>
  <c r="H28" i="47" s="1"/>
  <c r="H30" i="47" s="1"/>
  <c r="F53" i="8" s="1"/>
  <c r="G53" i="8" s="1"/>
  <c r="F24" i="44"/>
  <c r="H24" i="44" s="1"/>
  <c r="H28" i="44" s="1"/>
  <c r="H30" i="44" s="1"/>
  <c r="F50" i="8" s="1"/>
  <c r="G50" i="8" s="1"/>
  <c r="F24" i="49"/>
  <c r="H24" i="49" s="1"/>
  <c r="H28" i="49" s="1"/>
  <c r="H30" i="49" s="1"/>
  <c r="F55" i="8" s="1"/>
  <c r="G55" i="8" s="1"/>
  <c r="F27" i="58"/>
  <c r="H27" i="58" s="1"/>
  <c r="H31" i="58" s="1"/>
  <c r="H33" i="58" s="1"/>
  <c r="F68" i="8" s="1"/>
  <c r="G68" i="8" s="1"/>
  <c r="F24" i="51"/>
  <c r="H24" i="51" s="1"/>
  <c r="H28" i="51" s="1"/>
  <c r="H30" i="51" s="1"/>
  <c r="F59" i="8" s="1"/>
  <c r="G59" i="8" s="1"/>
  <c r="F24" i="66"/>
  <c r="H24" i="66" s="1"/>
  <c r="H28" i="66" s="1"/>
  <c r="H30" i="66" s="1"/>
  <c r="F24" i="54"/>
  <c r="H24" i="54" s="1"/>
  <c r="H28" i="54" s="1"/>
  <c r="H30" i="54" s="1"/>
  <c r="F63" i="8" s="1"/>
  <c r="G63" i="8" s="1"/>
  <c r="F24" i="15"/>
  <c r="H24" i="15" s="1"/>
  <c r="H28" i="15" s="1"/>
  <c r="H30" i="15" s="1"/>
  <c r="F11" i="8" s="1"/>
  <c r="G11" i="8" s="1"/>
  <c r="F24" i="53"/>
  <c r="H24" i="53" s="1"/>
  <c r="H28" i="53" s="1"/>
  <c r="H30" i="53" s="1"/>
  <c r="F62" i="8" s="1"/>
  <c r="G62" i="8" s="1"/>
  <c r="F24" i="55"/>
  <c r="H24" i="55" s="1"/>
  <c r="H28" i="55" s="1"/>
  <c r="H30" i="55" s="1"/>
  <c r="F64" i="8" s="1"/>
  <c r="G64" i="8" s="1"/>
  <c r="F24" i="11"/>
  <c r="H24" i="11" s="1"/>
  <c r="H28" i="11" s="1"/>
  <c r="H30" i="11" s="1"/>
  <c r="F7" i="8" s="1"/>
  <c r="G7" i="8" s="1"/>
  <c r="F24" i="52"/>
  <c r="H24" i="52" s="1"/>
  <c r="H28" i="52" s="1"/>
  <c r="H30" i="52" s="1"/>
  <c r="F60" i="8" s="1"/>
  <c r="G60" i="8" s="1"/>
  <c r="F24" i="56"/>
  <c r="H24" i="56" s="1"/>
  <c r="H28" i="56" s="1"/>
  <c r="H30" i="56" s="1"/>
  <c r="F66" i="8" s="1"/>
  <c r="G66" i="8" s="1"/>
  <c r="F24" i="14"/>
  <c r="H24" i="14" s="1"/>
  <c r="H28" i="14" s="1"/>
  <c r="H30" i="14" s="1"/>
  <c r="F10" i="8" s="1"/>
  <c r="G10" i="8" s="1"/>
  <c r="G30" i="8" l="1"/>
  <c r="G69" i="8"/>
  <c r="G75" i="8"/>
  <c r="H33" i="42"/>
  <c r="F48" i="8" s="1"/>
  <c r="G48" i="8" s="1"/>
  <c r="G57" i="8" s="1"/>
  <c r="F24" i="8"/>
  <c r="H28" i="24"/>
  <c r="H30" i="24" s="1"/>
  <c r="A1" i="41"/>
  <c r="A1" i="42" s="1"/>
  <c r="A1" i="43" s="1"/>
  <c r="A1" i="44" s="1"/>
  <c r="A1" i="45" s="1"/>
  <c r="A1" i="46" s="1"/>
  <c r="A1" i="47" s="1"/>
  <c r="A1" i="48" s="1"/>
  <c r="A1" i="49" s="1"/>
  <c r="A1" i="50" s="1"/>
  <c r="A1" i="51" s="1"/>
  <c r="F77" i="8"/>
  <c r="G77" i="8" s="1"/>
  <c r="G86" i="8" s="1"/>
  <c r="H35" i="12"/>
  <c r="H37" i="12" s="1"/>
  <c r="F8" i="8" s="1"/>
  <c r="G8" i="8" l="1"/>
  <c r="G12" i="8" s="1"/>
  <c r="G24" i="8"/>
  <c r="G26" i="8" s="1"/>
  <c r="A1" i="52"/>
  <c r="A1" i="53" s="1"/>
  <c r="A1" i="54" s="1"/>
  <c r="A1" i="55" s="1"/>
  <c r="A1" i="87"/>
  <c r="G88" i="8" l="1"/>
  <c r="A1" i="56"/>
  <c r="A1" i="57" s="1"/>
  <c r="A1" i="58" s="1"/>
  <c r="A1" i="59" s="1"/>
  <c r="A1" i="60" s="1"/>
  <c r="A1" i="61" s="1"/>
  <c r="A1" i="88"/>
  <c r="A1" i="67"/>
  <c r="A1" i="68" s="1"/>
  <c r="G89" i="8" l="1"/>
  <c r="A1" i="69"/>
  <c r="A1" i="70" s="1"/>
  <c r="A1" i="71" s="1"/>
  <c r="A1" i="72" s="1"/>
  <c r="A1" i="84"/>
  <c r="E39" i="9" l="1"/>
  <c r="E21" i="9" s="1"/>
  <c r="F21" i="9" s="1"/>
  <c r="E35" i="9" l="1"/>
  <c r="F35" i="9" s="1"/>
  <c r="G35" i="9" s="1"/>
  <c r="G36" i="9" s="1"/>
  <c r="D43" i="9" s="1"/>
  <c r="E41" i="9"/>
  <c r="D40" i="9"/>
  <c r="E43" i="9" s="1"/>
  <c r="G21" i="9"/>
  <c r="G22" i="9" s="1"/>
  <c r="G24" i="9" s="1"/>
  <c r="D41" i="9" s="1"/>
  <c r="F22" i="9"/>
  <c r="F24" i="9" s="1"/>
  <c r="E47" i="9"/>
  <c r="F47" i="9" s="1"/>
  <c r="E42" i="9" l="1"/>
  <c r="F42" i="9" s="1"/>
  <c r="G42" i="9" s="1"/>
  <c r="F36" i="9"/>
  <c r="F41" i="9"/>
  <c r="G41" i="9" s="1"/>
  <c r="F43" i="9"/>
  <c r="G43" i="9" s="1"/>
  <c r="G44" i="9" l="1"/>
  <c r="G90" i="8" s="1"/>
  <c r="G91" i="8" s="1"/>
  <c r="C90" i="8"/>
  <c r="F50" i="9"/>
  <c r="G92" i="8" l="1"/>
</calcChain>
</file>

<file path=xl/sharedStrings.xml><?xml version="1.0" encoding="utf-8"?>
<sst xmlns="http://schemas.openxmlformats.org/spreadsheetml/2006/main" count="2922" uniqueCount="392">
  <si>
    <t>CUADRO DE ACTIVIDADES DE CONSTRUCCIÓN</t>
  </si>
  <si>
    <t>ELABORO:</t>
  </si>
  <si>
    <t>REVISÓ:</t>
  </si>
  <si>
    <t>APROBÓ</t>
  </si>
  <si>
    <t>FECHA:</t>
  </si>
  <si>
    <t>PRELIMINARES</t>
  </si>
  <si>
    <t>GB</t>
  </si>
  <si>
    <t>Campamento en lámina de zinc</t>
  </si>
  <si>
    <t>M2</t>
  </si>
  <si>
    <t>Servicios Provisionales hidrosanitarios y de energia</t>
  </si>
  <si>
    <t>CANTIDADES DE OBRA DE LA CONSTRUCCIÓN</t>
  </si>
  <si>
    <t>Replanteo, alineación y nivelación del terreno</t>
  </si>
  <si>
    <t>Cerramiento con postes de madera y lona verde, altura de 2 mts</t>
  </si>
  <si>
    <t>ITEM</t>
  </si>
  <si>
    <t>ACTIVIDAD</t>
  </si>
  <si>
    <t>ML</t>
  </si>
  <si>
    <t>UNIDAD</t>
  </si>
  <si>
    <t>DIM 1</t>
  </si>
  <si>
    <t>MOVIMIENTO DE TIERRAS</t>
  </si>
  <si>
    <t>DIM 2</t>
  </si>
  <si>
    <t>DIM 3</t>
  </si>
  <si>
    <t>SUB. TOTAL</t>
  </si>
  <si>
    <t>REPETICIÓN</t>
  </si>
  <si>
    <t>FACTOR D.</t>
  </si>
  <si>
    <t>Excavación manual, profundidad inferior a un metro</t>
  </si>
  <si>
    <t>TOTAL</t>
  </si>
  <si>
    <t>M3</t>
  </si>
  <si>
    <t>OBSERVACIONES</t>
  </si>
  <si>
    <t>Rellenos con material de río, compactación manual</t>
  </si>
  <si>
    <t>RED SANITARIA</t>
  </si>
  <si>
    <t>UND</t>
  </si>
  <si>
    <t>Red sanitaria tuberia PVC 4"</t>
  </si>
  <si>
    <t>Red sanitaria tuberia PVC 2"</t>
  </si>
  <si>
    <t>Salida sanitaria en PVC de 4"</t>
  </si>
  <si>
    <t>Salida sanitaria en PVC de 2"</t>
  </si>
  <si>
    <t>Red de aguas lluvias en tuberia PVC de 3"</t>
  </si>
  <si>
    <t>Salida de aguas lluvias en tuberia PVC de 3"</t>
  </si>
  <si>
    <t>RED HIDRAULICA</t>
  </si>
  <si>
    <t>Red hidraulica en tuberia PVC presión de 1/2 "</t>
  </si>
  <si>
    <t>Punto de agua fria en tuberia PVC de 1/2 "</t>
  </si>
  <si>
    <t>ESTRUCTURA EN CONCRETO REFORZADO</t>
  </si>
  <si>
    <t>Acero de refuerzo, incluye alambre de amarre</t>
  </si>
  <si>
    <t>KG</t>
  </si>
  <si>
    <t xml:space="preserve">Concreto para vigas de cimentación </t>
  </si>
  <si>
    <t>Concreto para placa de piso, incluye malla electrosol</t>
  </si>
  <si>
    <t>Concreto para columnas</t>
  </si>
  <si>
    <t xml:space="preserve">Meson de concreto, e=10 cms, Ancho 60 cm </t>
  </si>
  <si>
    <t>INSTALACIÓN ELECTRICA</t>
  </si>
  <si>
    <t>Acometida al contador, incluye contador y accesorios</t>
  </si>
  <si>
    <t>Acometida del contador al tablero general</t>
  </si>
  <si>
    <t>Puesta a tierra del tablero</t>
  </si>
  <si>
    <t xml:space="preserve">Red electrica de distribución, incluye accesorios </t>
  </si>
  <si>
    <t>Salida toma trifilar para la estufa, incluye aparato</t>
  </si>
  <si>
    <t>Salida toma doble con polo a tierra, incluye aparato</t>
  </si>
  <si>
    <t>Salida para iluminación, incluye aparato</t>
  </si>
  <si>
    <t>Salida para interruptor, incluye aparato</t>
  </si>
  <si>
    <t>CARPINTERIA METALICA</t>
  </si>
  <si>
    <t xml:space="preserve">Cubierta de teja de fibro cemento ondulada perfil 7, inc instalación </t>
  </si>
  <si>
    <t xml:space="preserve">Canales y bajantes, incluye instalación </t>
  </si>
  <si>
    <t>APARATOS SANITARIOS</t>
  </si>
  <si>
    <t>Taza y cisterna, incluye instalación y prueba</t>
  </si>
  <si>
    <t>JGO</t>
  </si>
  <si>
    <t>ACABADOS</t>
  </si>
  <si>
    <t>Espejo para el baño, incluye instalación (75x70 cm)</t>
  </si>
  <si>
    <t>Pintura puertas en esmalte, incluye hoja y marco</t>
  </si>
  <si>
    <t>Pintura estructura metálica de cubierta</t>
  </si>
  <si>
    <t>Se dejan 2m de mas para trabajar comodo</t>
  </si>
  <si>
    <t>Aseo fino para entrega de la obra</t>
  </si>
  <si>
    <t>Cuadro de actividades y cantidad</t>
  </si>
  <si>
    <t>CANTIDAD</t>
  </si>
  <si>
    <t>CUADRO DE JORNALES - TIPOS Y VALORES DE CUADRILLA</t>
  </si>
  <si>
    <t>TIPOS DE CUADRILLAS</t>
  </si>
  <si>
    <t>No.</t>
  </si>
  <si>
    <t>DESCRIPCION</t>
  </si>
  <si>
    <t>Valor Hora CUADRILLA</t>
  </si>
  <si>
    <t>Click aquí para volver a PRESUPUESTO</t>
  </si>
  <si>
    <t>SALARIO</t>
  </si>
  <si>
    <t>TOTAL CUADRILLA</t>
  </si>
  <si>
    <t>Cant.</t>
  </si>
  <si>
    <t>Función</t>
  </si>
  <si>
    <t>Vr/Hora</t>
  </si>
  <si>
    <t xml:space="preserve">PRESUPUESTO </t>
  </si>
  <si>
    <t>Vr/Jornal</t>
  </si>
  <si>
    <t>FRP</t>
  </si>
  <si>
    <t>DIA</t>
  </si>
  <si>
    <t>MES</t>
  </si>
  <si>
    <t>DOTACIONES</t>
  </si>
  <si>
    <t>VALOR HORA</t>
  </si>
  <si>
    <t>VALOR DÍA</t>
  </si>
  <si>
    <t>%</t>
  </si>
  <si>
    <t>Cuadrilla de Topografía</t>
  </si>
  <si>
    <t>DESCRIPCIÓN</t>
  </si>
  <si>
    <t>Oficial</t>
  </si>
  <si>
    <t>UNID</t>
  </si>
  <si>
    <t>VR. UNITARIO</t>
  </si>
  <si>
    <t>VR. TOTAL</t>
  </si>
  <si>
    <t>Ayudantes</t>
  </si>
  <si>
    <t>Cuadrilla Oficios Varios</t>
  </si>
  <si>
    <t>Cuadrilla Estructural</t>
  </si>
  <si>
    <t>N° Cap</t>
  </si>
  <si>
    <t>CAPITULO</t>
  </si>
  <si>
    <t>Cuadrilla Mamposteria</t>
  </si>
  <si>
    <t>1. MATERIALES</t>
  </si>
  <si>
    <t>Descripcion</t>
  </si>
  <si>
    <t>Unidad</t>
  </si>
  <si>
    <t>Precio unitario</t>
  </si>
  <si>
    <t>Rendimiento</t>
  </si>
  <si>
    <t>Valor unitario</t>
  </si>
  <si>
    <t>SUBTOTAL</t>
  </si>
  <si>
    <t>Cuadrilla Hidrosanitaria</t>
  </si>
  <si>
    <t>SUBTOTAL MATERIALES</t>
  </si>
  <si>
    <t>Cuadrilla de Electricidad</t>
  </si>
  <si>
    <t>2. EQUIPO</t>
  </si>
  <si>
    <t>Tarifa Hora</t>
  </si>
  <si>
    <t xml:space="preserve">Herramienta menor </t>
  </si>
  <si>
    <t>Cuadrilla Pinturas y Acabados</t>
  </si>
  <si>
    <t>SUBTOTAL EQUIPO</t>
  </si>
  <si>
    <t xml:space="preserve">Cuadrilla Carpintería Metálica </t>
  </si>
  <si>
    <t>4. MANO DE OBRA</t>
  </si>
  <si>
    <t>Trabajador</t>
  </si>
  <si>
    <t>Cantidad</t>
  </si>
  <si>
    <t>Salario Hora</t>
  </si>
  <si>
    <t>SUBTOTAL MANO DE OBRA</t>
  </si>
  <si>
    <t>VALOR TOTAL COSTO DIRECTO</t>
  </si>
  <si>
    <t>Lámina de zinc 3.050 m x 0.80 m</t>
  </si>
  <si>
    <t>Poste rollizo 0.13 m x 0.13m x 6m</t>
  </si>
  <si>
    <t>Puntilla 2" con cabeza x 1 lb</t>
  </si>
  <si>
    <t>LB</t>
  </si>
  <si>
    <t>Puntilla 3" con cabeza x 1 lb</t>
  </si>
  <si>
    <t>Herramienta Mayor</t>
  </si>
  <si>
    <t>Herramienta Menor</t>
  </si>
  <si>
    <t>Andamio certificado</t>
  </si>
  <si>
    <t>SEC</t>
  </si>
  <si>
    <t>3. MANO DE OBRA</t>
  </si>
  <si>
    <t>Poste de Concreto Pretensado de 8 Mts- 510 Kg</t>
  </si>
  <si>
    <t>M</t>
  </si>
  <si>
    <t>Caja Cuadrada 1 Contador Monofasica 20x32 Modever</t>
  </si>
  <si>
    <t xml:space="preserve">UND </t>
  </si>
  <si>
    <t>Kit Varilla Maciza Cobre Polo a Tierra</t>
  </si>
  <si>
    <t xml:space="preserve">Cemento portland de uso general </t>
  </si>
  <si>
    <t>Collarin de toma de carga para tubo en pvc 1/2"</t>
  </si>
  <si>
    <t xml:space="preserve">Triturado 3/4" </t>
  </si>
  <si>
    <t xml:space="preserve">Tapa  para caja de inspección 30 x 30 cm </t>
  </si>
  <si>
    <t>COSTO DIRECTO POR UNIDAD</t>
  </si>
  <si>
    <t xml:space="preserve">Valvula con esfera de laton niquelado con  1/2" </t>
  </si>
  <si>
    <t>Acomerida de 4" en pvc corrugado (incluye accesorios)</t>
  </si>
  <si>
    <t xml:space="preserve">Contador agua chorro unico 1/2" plastico </t>
  </si>
  <si>
    <t>COSTO TOTAL POR UNIDAD</t>
  </si>
  <si>
    <t>Herramienta mayor</t>
  </si>
  <si>
    <t>Herramienta menor</t>
  </si>
  <si>
    <t>Escalera certificada</t>
  </si>
  <si>
    <t xml:space="preserve">Liston de eucalipto 5cm x 5 cm x 25cm </t>
  </si>
  <si>
    <t xml:space="preserve">Rollo de nylon restistente x 100 ML </t>
  </si>
  <si>
    <t>Puntilla de 2 pulg con cabeza</t>
  </si>
  <si>
    <t xml:space="preserve">Estación Total Leica Viva TS16 con Leica Captivate
incluye prisma, baston, mira </t>
  </si>
  <si>
    <t>Postes de madera 2.10 m x 12 cm diámetro</t>
  </si>
  <si>
    <t>Lona verde para cerramiento 2.10 m ancho x 100 m largo</t>
  </si>
  <si>
    <t>Puntilla de 1" con Cabeza</t>
  </si>
  <si>
    <t>Liston de 10 cm con 2 puntila de 1"</t>
  </si>
  <si>
    <t>Volqueta sencilla-6m3 capacidad</t>
  </si>
  <si>
    <t>Material de río (balastro)</t>
  </si>
  <si>
    <t>Pisón manual "8X8" acero nodular</t>
  </si>
  <si>
    <t>m3</t>
  </si>
  <si>
    <t xml:space="preserve">Ladrillo macizo 20x10x6cm </t>
  </si>
  <si>
    <t>Cemento portland gris uso general</t>
  </si>
  <si>
    <t xml:space="preserve">Grava 3/4" </t>
  </si>
  <si>
    <t>Tubo sanitario  pvc 4" x6mts</t>
  </si>
  <si>
    <t>,</t>
  </si>
  <si>
    <t>Soldadura para Pvc 1/64 Galón</t>
  </si>
  <si>
    <t>Removedor Pvc 1/64 60 ml</t>
  </si>
  <si>
    <t>Accesorio sanitario Pvc 4"</t>
  </si>
  <si>
    <t>Tubo sanitario Pvc 2"</t>
  </si>
  <si>
    <t>Accesorio sanitario Pvc 2"</t>
  </si>
  <si>
    <t>Tubo sanitario  pvc 4"</t>
  </si>
  <si>
    <t>Codo 90° 4 " Pvc  con salida de reventilación 1/2"</t>
  </si>
  <si>
    <t>Soldadura para PVC 1/64 Galón</t>
  </si>
  <si>
    <t>Codo 90° Pvc 2"</t>
  </si>
  <si>
    <t>Tubo aguas lluvias PVC 3"</t>
  </si>
  <si>
    <t>Tubo aguas lluvias Pvc 3"</t>
  </si>
  <si>
    <t>Accesorios para aguas lluvias Pvc 3"</t>
  </si>
  <si>
    <t>Tubo Pvc 1/2"x6m Presión 13.5-315psi</t>
  </si>
  <si>
    <t>Tubo Pvc 1/2" Presión 13.5-315psi</t>
  </si>
  <si>
    <t xml:space="preserve">Accesorio Pvc 1/2" </t>
  </si>
  <si>
    <t>Accesorio Pvc 1/2 "presión 13.5-315 psi</t>
  </si>
  <si>
    <t>Agua para mezclado ph7</t>
  </si>
  <si>
    <t>LT</t>
  </si>
  <si>
    <t>Acero en barras corrugadas grado 60 (fy=4200kg/cm2)</t>
  </si>
  <si>
    <t>Alambre galvanizado para atar de 1,30 mm de diametro</t>
  </si>
  <si>
    <t xml:space="preserve">Mezcladora diesel 11/2 bulto </t>
  </si>
  <si>
    <t>Plástico tubular de 2mts calibre 2</t>
  </si>
  <si>
    <t>Vibrador de concreto elétrico</t>
  </si>
  <si>
    <t>Impermeabilizante Sika cem x 150 gr</t>
  </si>
  <si>
    <t>GR</t>
  </si>
  <si>
    <t>Malla electrosoldada  6x2.35m Hueco 15x15cm Diametro 4.0mm (XX-084)</t>
  </si>
  <si>
    <t>Formaleta metálica</t>
  </si>
  <si>
    <t>SUBTOTAL EQUIPOS</t>
  </si>
  <si>
    <t xml:space="preserve"> Cerámica Valparaíso Beige 25x43 cm caja 1.29 m2 </t>
  </si>
  <si>
    <t xml:space="preserve">Pegacor blanco 25 kilos </t>
  </si>
  <si>
    <t>Cruceta juntas plásticas 3mm</t>
  </si>
  <si>
    <t>Concolor Anti hongos Súper Blanco 1-5Milímetros x2kg</t>
  </si>
  <si>
    <t>Cable antifraude  3x8 +10 AwG 600 V</t>
  </si>
  <si>
    <t>Alambre #12 THW</t>
  </si>
  <si>
    <t>Tubo conduit de 1/2 " pvc</t>
  </si>
  <si>
    <t>Accesorios para tuberia conduit 1/2"</t>
  </si>
  <si>
    <t>Tubo conduit  de 1/2 "  PVC</t>
  </si>
  <si>
    <t>Interruptor automatico de protección</t>
  </si>
  <si>
    <t>Tubo conduit 1/2" PVC</t>
  </si>
  <si>
    <t>Toma trifilar 20 amperios</t>
  </si>
  <si>
    <t>Alambre #10 THW</t>
  </si>
  <si>
    <t>Tubo coduit de 1/2 " PVC</t>
  </si>
  <si>
    <t>Caja sencilla conduit</t>
  </si>
  <si>
    <t>Toma doble polo a tierra</t>
  </si>
  <si>
    <t xml:space="preserve">Tubo coduit de 1/2 " 3 metros </t>
  </si>
  <si>
    <t>Roseta porcelana</t>
  </si>
  <si>
    <t>Interruptor</t>
  </si>
  <si>
    <t>Ventana Aluminio  4 mm</t>
  </si>
  <si>
    <t>Chazos puntilla</t>
  </si>
  <si>
    <t>silicona vidrios y aluminios 280ml</t>
  </si>
  <si>
    <t>Bisagra aluminio incluye remaches</t>
  </si>
  <si>
    <t>Chapa a juego completo</t>
  </si>
  <si>
    <t>Electrodos</t>
  </si>
  <si>
    <t>Equipo de sodadura</t>
  </si>
  <si>
    <t>Amarre de alambre galvanizado</t>
  </si>
  <si>
    <t xml:space="preserve">Ganchos teja 10cm long </t>
  </si>
  <si>
    <t xml:space="preserve">Canal amazonas blanca </t>
  </si>
  <si>
    <t>Bajante blanca (pavco)</t>
  </si>
  <si>
    <t xml:space="preserve">Uniones para bajantes y canales </t>
  </si>
  <si>
    <t xml:space="preserve">Tapa externa canal </t>
  </si>
  <si>
    <t>Soporte plastico para bajante</t>
  </si>
  <si>
    <t>Codos de 45° para bajantes</t>
  </si>
  <si>
    <t>Sanitario Acuaplus ultra Bone. inc Taza (Corona)</t>
  </si>
  <si>
    <t>Kit de instalación</t>
  </si>
  <si>
    <t>Griferia lavaplatos</t>
  </si>
  <si>
    <t>Vidrio transparente 4 mm</t>
  </si>
  <si>
    <t>Espejo para baño Ellis Rovere</t>
  </si>
  <si>
    <t>GL</t>
  </si>
  <si>
    <t xml:space="preserve">Brocha popular Mona 3" </t>
  </si>
  <si>
    <t>Pintulux 1 Galón</t>
  </si>
  <si>
    <t>Rodillo Popular espuma 3"</t>
  </si>
  <si>
    <t>Rodillo Popular espuma 9"</t>
  </si>
  <si>
    <t>Escalera</t>
  </si>
  <si>
    <t>Agua  ph7</t>
  </si>
  <si>
    <t>Detergente 4000g</t>
  </si>
  <si>
    <t>Elementos de aseo</t>
  </si>
  <si>
    <t>Información</t>
  </si>
  <si>
    <t>ANALISIS DE CUADRILLAS</t>
  </si>
  <si>
    <t>FECHA</t>
  </si>
  <si>
    <t>REVISO:</t>
  </si>
  <si>
    <t>APROBO</t>
  </si>
  <si>
    <t>Arena de rio</t>
  </si>
  <si>
    <t>Arena rio</t>
  </si>
  <si>
    <t>Arena de peña</t>
  </si>
  <si>
    <t>CÁLCULO DEL A. I. U.</t>
  </si>
  <si>
    <t>DURACIÓN (MESES)</t>
  </si>
  <si>
    <t>1.- ADMINISTRACIÓN</t>
  </si>
  <si>
    <t>PARTICIPACIÓN</t>
  </si>
  <si>
    <t>CUANTÍA MES</t>
  </si>
  <si>
    <t>VALOR 1 MES</t>
  </si>
  <si>
    <t>HONORARIOS</t>
  </si>
  <si>
    <t>RESIDENTE DE OBRA</t>
  </si>
  <si>
    <t>MAESTRO DE OBRA</t>
  </si>
  <si>
    <t>CELADOR</t>
  </si>
  <si>
    <t>SUBTOTAL HONORARIOS</t>
  </si>
  <si>
    <t>GASTOS OPERATIVOS</t>
  </si>
  <si>
    <t>SERVICIOS PÚBLICOS</t>
  </si>
  <si>
    <t>GASTOS DE OFICINA</t>
  </si>
  <si>
    <t>CAJA MENOR DE OBRA</t>
  </si>
  <si>
    <t>SUBTOTAL GASTOS OPERATIVOS</t>
  </si>
  <si>
    <t>GARANTÍAS DE RIESGO</t>
  </si>
  <si>
    <t>SUBTOTAL GARANTÍAS DE RIESGO</t>
  </si>
  <si>
    <t>2.- IMPREVISTOS</t>
  </si>
  <si>
    <t>% RIESGO</t>
  </si>
  <si>
    <t>OBRAS MAL EJECUTADAS</t>
  </si>
  <si>
    <t>DETERIORO MATERIALES</t>
  </si>
  <si>
    <t>ACCIDENTES EN OBRA</t>
  </si>
  <si>
    <t>FACTORES CLIMÁTICOS</t>
  </si>
  <si>
    <t>3.- UTILIDAD</t>
  </si>
  <si>
    <t>UTILIDAD ESCOGIDA</t>
  </si>
  <si>
    <t>DETERMINACIÓN DE LOS PORCENTAJES:</t>
  </si>
  <si>
    <t>A.- SI LA UTILIDAD ES DEL 5%, EL CONTRATO VALE</t>
  </si>
  <si>
    <t>B.- SI EL CONTRATO VALE</t>
  </si>
  <si>
    <t>SE ASUME</t>
  </si>
  <si>
    <t>ADMINISTRACIÓN =</t>
  </si>
  <si>
    <t>IMPREVISTOS =</t>
  </si>
  <si>
    <t>UTILIDAD =</t>
  </si>
  <si>
    <t>C.- IVA=</t>
  </si>
  <si>
    <t>DÍAS CALENDARIO</t>
  </si>
  <si>
    <t>DISEÑO ESTRUCTURAL DE UN SALÓN SOCIAL PARA LA COMUNIDAD DEL BARRIO NUEVA JERUSALÉN UBICADO EN LA CIUDAD DE VILLAVICENCIO - META</t>
  </si>
  <si>
    <t>Titulo del Proyecto</t>
  </si>
  <si>
    <t>Johan Sebastian Alvarez, Daniel Eduardo Ochoa Mora</t>
  </si>
  <si>
    <t>ing. Alexander Solarte Benavides</t>
  </si>
  <si>
    <t>ing.Alexander Solarte Benavides</t>
  </si>
  <si>
    <t>Descapote de terreno de 220 m2 de área a 30 cm de profundidad</t>
  </si>
  <si>
    <t>Objetivo</t>
  </si>
  <si>
    <t>Ventaneria metalica, según diseño, inc. instalación</t>
  </si>
  <si>
    <t>Dim1:Balcon 1, Dim2:Balcon 2</t>
  </si>
  <si>
    <t>Dim1:Baños niñas, Dim2:Baño niños, Dim3:Hombres y mujeres</t>
  </si>
  <si>
    <t xml:space="preserve">Lavamanos sencillo </t>
  </si>
  <si>
    <t>Lavamanos con pedestal blanco, incluye griferia, (incluye instalación y prueba)</t>
  </si>
  <si>
    <t xml:space="preserve">Para baño de Hombres y mujeres </t>
  </si>
  <si>
    <t>Lavaplatos de insertar en el mesón de acero inoxidable, incluye griferia</t>
  </si>
  <si>
    <t>Para cocina</t>
  </si>
  <si>
    <t>Manual de mantenimiento del salon comunal</t>
  </si>
  <si>
    <t>Caja de inspección en concreto 100X100X100</t>
  </si>
  <si>
    <t>PRESUPUESTO PARA LA CONSTRUCCION DE SALON SOCIAL EN LA COMUNIDAD DE NUEVA JERUSALEN</t>
  </si>
  <si>
    <t>Poste de madera 8 Mts</t>
  </si>
  <si>
    <t>Alambre #8</t>
  </si>
  <si>
    <t xml:space="preserve">Acometida en pvc presion de 1/2" </t>
  </si>
  <si>
    <t>Caja de inspección prefabricada de concreto 30x30x30 cm</t>
  </si>
  <si>
    <t>Conexión al alcantarillado local (pvc)</t>
  </si>
  <si>
    <t xml:space="preserve">Estaca  5cm x5 cmx 80cm </t>
  </si>
  <si>
    <t>Se dejan espacio de mas para cerramiento</t>
  </si>
  <si>
    <t>Concreto para viga a nivel de culata</t>
  </si>
  <si>
    <t>Concreto para viga de entrepiso</t>
  </si>
  <si>
    <t>Piedra Media zonga</t>
  </si>
  <si>
    <t>Bloque tradicional 12x20x30cm</t>
  </si>
  <si>
    <t xml:space="preserve">Muro en bloque de arcilla, espesor 12 centimetros </t>
  </si>
  <si>
    <t>Dim1:Area ambos perfiles. Dim2:Area frontal y trasera Dim3: Muros internos</t>
  </si>
  <si>
    <t>12 de Noviembre del 2020</t>
  </si>
  <si>
    <t>Ácido Muriático 4000ml</t>
  </si>
  <si>
    <t>Pintura en vinilo para interiores, 3 manos</t>
  </si>
  <si>
    <t>Pintura vinilo viniltex</t>
  </si>
  <si>
    <t>Espejo para el baño, incluye instalación (120x70 cm)</t>
  </si>
  <si>
    <t>ESPEJO DE BAÑO CON MARCO DE APOYO</t>
  </si>
  <si>
    <t>Lavaplatos Doble Poceta 84x56 Cms Acero Inoxidable</t>
  </si>
  <si>
    <t>Lavamanos Milano con Pedestal</t>
  </si>
  <si>
    <t xml:space="preserve">Pañetes de muros en mortero 1:4 impermeabilizado </t>
  </si>
  <si>
    <t>Todos los muros son pañetados</t>
  </si>
  <si>
    <t>Dim1: viga cimentacion, Dim2:Concreto ciclopeo, Dim3: Redes sanitarias</t>
  </si>
  <si>
    <t>MAMPOSTERIA EN BLOQUE DE LADRILLO</t>
  </si>
  <si>
    <t>Dim1: Cableato toma corriente, Dim2: Cableado iluminación</t>
  </si>
  <si>
    <t>Caja taco 3 circuitos r/cti-3</t>
  </si>
  <si>
    <t>Puerta lámina / marco metalico,para Interiores incluye instalación</t>
  </si>
  <si>
    <t>Dim1:P.Interiores</t>
  </si>
  <si>
    <t>Dim1:P.exteriores</t>
  </si>
  <si>
    <t>Puerta metalica 0.85 x 2,10. inc marco</t>
  </si>
  <si>
    <t>Puerta lámina porton doble para exteriores incluye instalación</t>
  </si>
  <si>
    <t>Porton doble metalico 1,70 x 2,10. inc marco</t>
  </si>
  <si>
    <t>Divisiones De Baño En Acero Inoxidable</t>
  </si>
  <si>
    <t xml:space="preserve">Divisiones sanitarias en acero inoxidable (Altura 1.80m) incluye instalación </t>
  </si>
  <si>
    <t xml:space="preserve">Ventana tipo corredera de 4 hojas en aluminio, incluye instalación </t>
  </si>
  <si>
    <t>Ventanas tipo corredera de 4 hojas sobre 2 railes inc. Vidrios de 32mm</t>
  </si>
  <si>
    <t>Perfil C Gr 50 100x50x1.5mm (Anticorrosivo)</t>
  </si>
  <si>
    <t>Dim1: Correas perfil C</t>
  </si>
  <si>
    <t>Estructura metalica de cubierta, correas perfil C (espesor 1.5 mm)</t>
  </si>
  <si>
    <t xml:space="preserve">Teja perfil 7  N°6 Gris 1.83 x 0.92m </t>
  </si>
  <si>
    <t>Caballete G</t>
  </si>
  <si>
    <t>Dim1: total area cubierta</t>
  </si>
  <si>
    <t>Estructura metalica de cubierta, perfiles A500 Grado C para cercha</t>
  </si>
  <si>
    <t xml:space="preserve">Tubo cuadrado 150x150 x4 mm </t>
  </si>
  <si>
    <t>Tubo cuadrado 100x100x2mm</t>
  </si>
  <si>
    <t>Dim1: tubo de 150x150, Dim2 tubo de 100x100</t>
  </si>
  <si>
    <t xml:space="preserve">Pasamano tipo barandal para balcon en acero inoxidable, incluye instalación </t>
  </si>
  <si>
    <t>Barandal 4 lineas de 1/2" inoxidable (90cm de altura)</t>
  </si>
  <si>
    <t>Varilla Maciza Cobre Polo a Tierra</t>
  </si>
  <si>
    <t>und</t>
  </si>
  <si>
    <t>kit de instalación</t>
  </si>
  <si>
    <t>KIT de instalacion</t>
  </si>
  <si>
    <t>Soporte para canal</t>
  </si>
  <si>
    <t xml:space="preserve">Lavamanos doble </t>
  </si>
  <si>
    <t>Esmalte 1gl</t>
  </si>
  <si>
    <t>anticorrosivo</t>
  </si>
  <si>
    <t>Pintura fachada en vinilo para exteriores</t>
  </si>
  <si>
    <t xml:space="preserve">Pintura para exteriores  </t>
  </si>
  <si>
    <t>Concreto ciclopeo 60/40</t>
  </si>
  <si>
    <t xml:space="preserve">Tablero general de distribución de 3 circuitos </t>
  </si>
  <si>
    <t>Estructura placa facil para entrepiso</t>
  </si>
  <si>
    <t>Malla electrosoldada  6x2.35m Hueco 15x15cm Diametro 4.5mm (XX-0106)</t>
  </si>
  <si>
    <t>Bloquelón 80x8x23 cm</t>
  </si>
  <si>
    <t>Lavamanos dobles, incluye griferia, (incluye instalación y prueba)</t>
  </si>
  <si>
    <t>COSTO TOTAL DEL PROYECTO</t>
  </si>
  <si>
    <t>Perfil entrepiso colmena 130x90cm</t>
  </si>
  <si>
    <t>Cargue manual y retiro de escombro</t>
  </si>
  <si>
    <t>Dim1 y2: Relleno al area de los dos extremos del sobrecimiento, Dim3: relleno de redes</t>
  </si>
  <si>
    <t>Soporte en L</t>
  </si>
  <si>
    <t>Aseo grueso y diario</t>
  </si>
  <si>
    <t>Enchape ceramico para piso y pared</t>
  </si>
  <si>
    <t>VALOR 6 MESES</t>
  </si>
  <si>
    <t>TOTAL ADMINISTRACIÓN CUATRO (6) MESES</t>
  </si>
  <si>
    <t>TOTAL IMPREVISTOS CUATRO (6) MESES</t>
  </si>
  <si>
    <t>TOTAL UTIIDAD CUATRO (6) MESES</t>
  </si>
  <si>
    <t>Dim1: Todo el piso, Dim2 : Meson de cocina, Dim3: Pared Baños y cocina</t>
  </si>
  <si>
    <t xml:space="preserve">PÓLIZAS DE SEGURO </t>
  </si>
  <si>
    <t>Mezcladora</t>
  </si>
  <si>
    <t xml:space="preserve">Dim1:Ventanas 1planta, Dim2:Ventanas 2planta </t>
  </si>
  <si>
    <t>COSTO DIRECTO REDONDEADO A LA UNIDAD</t>
  </si>
  <si>
    <t xml:space="preserve">COSTO TOTAL REDONDEADO </t>
  </si>
  <si>
    <t>Dim1: Total kg Acero. Dim2: Total kg Alambre (10% acero total)</t>
  </si>
  <si>
    <t>Retiro de lo excavado</t>
  </si>
  <si>
    <t>pintura para el item 8.7</t>
  </si>
  <si>
    <t>Pintura para exteriores relacionado con el item 6.1</t>
  </si>
  <si>
    <t>pintura par interiores relacionado con el item 6.1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</si>
</sst>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6" formatCode="&quot;$&quot;\ #,##0;[Red]\-&quot;$&quot;\ #,##0"/>
    <numFmt numFmtId="8" formatCode="&quot;$&quot;\ #,##0.00;[Red]\-&quot;$&quot;\ #,##0.00"/>
    <numFmt numFmtId="42" formatCode="_-&quot;$&quot;\ * #,##0_-;\-&quot;$&quot;\ * #,##0_-;_-&quot;$&quot;\ * &quot;-&quot;_-;_-@_-"/>
    <numFmt numFmtId="164" formatCode="d/m/yyyy"/>
    <numFmt numFmtId="165" formatCode="_-* #,##0.0000_-;\-* #,##0.0000_-;_-* &quot;-&quot;_-;_-@"/>
    <numFmt numFmtId="166" formatCode="0.0"/>
    <numFmt numFmtId="167" formatCode="_-* #,##0.00_-;\-* #,##0.00_-;_-* &quot;-&quot;_-;_-@"/>
    <numFmt numFmtId="168" formatCode="0.000"/>
    <numFmt numFmtId="169" formatCode="#,##0.000"/>
    <numFmt numFmtId="170" formatCode="_(* #,##0.00_);_(* \(#,##0.00\);_(* &quot;-&quot;??_);_(@_)"/>
    <numFmt numFmtId="171" formatCode="[$ $]#,##0"/>
    <numFmt numFmtId="172" formatCode="_-* #,##0.00_-;\-* #,##0.00_-;_-* &quot;-&quot;??_-;_-@"/>
    <numFmt numFmtId="173" formatCode="_-* #,##0_-;\-* #,##0_-;_-* &quot;-&quot;??_-;_-@"/>
    <numFmt numFmtId="174" formatCode="_(&quot;$&quot;\ * #,##0.00_);_(&quot;$&quot;\ * \(#,##0.00\);_(&quot;$&quot;\ * &quot;-&quot;??_);_(@_)"/>
    <numFmt numFmtId="175" formatCode="_(&quot;$&quot;* #,##0.00000_);_(&quot;$&quot;* \(#,##0.00000\);_(&quot;$&quot;* &quot;-&quot;?????_);_(@_)"/>
    <numFmt numFmtId="176" formatCode="d/m"/>
    <numFmt numFmtId="177" formatCode="_(&quot;$&quot;\ * #,##0.0000_);_(&quot;$&quot;\ * \(#,##0.0000\);_(&quot;$&quot;\ * &quot;-&quot;??.00_);_(@_)"/>
    <numFmt numFmtId="178" formatCode="0.000000000000000"/>
    <numFmt numFmtId="179" formatCode="#,##0.0000"/>
    <numFmt numFmtId="180" formatCode="#,##0.00\ [$€-1]"/>
    <numFmt numFmtId="181" formatCode="0.0000"/>
    <numFmt numFmtId="182" formatCode="&quot;$&quot;\ #,##0"/>
    <numFmt numFmtId="183" formatCode="&quot;$&quot;\ #,##0.00"/>
    <numFmt numFmtId="184" formatCode="0.0%"/>
    <numFmt numFmtId="185" formatCode="0.000%"/>
    <numFmt numFmtId="186" formatCode="_-&quot;$&quot;\ * #,##0.00_-;\-&quot;$&quot;\ * #,##0.00_-;_-&quot;$&quot;\ * &quot;-&quot;_-;_-@_-"/>
  </numFmts>
  <fonts count="44">
    <font>
      <sz val="11"/>
      <color theme="1"/>
      <name val="Arial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sz val="10"/>
      <color theme="1"/>
      <name val="Cambria"/>
      <family val="1"/>
    </font>
    <font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</font>
    <font>
      <b/>
      <sz val="18"/>
      <color theme="1"/>
      <name val="Calibri"/>
      <family val="2"/>
    </font>
    <font>
      <sz val="10"/>
      <color rgb="FF000000"/>
      <name val="Arial"/>
      <family val="2"/>
    </font>
    <font>
      <u/>
      <sz val="11"/>
      <color rgb="FF0000FF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Inconsolata"/>
    </font>
    <font>
      <sz val="11"/>
      <color rgb="FF333333"/>
      <name val="Calibri"/>
      <family val="2"/>
    </font>
    <font>
      <u/>
      <sz val="11"/>
      <color rgb="FF0000FF"/>
      <name val="Arial"/>
      <family val="2"/>
    </font>
    <font>
      <sz val="11"/>
      <color rgb="FF333333"/>
      <name val="Calibri"/>
      <family val="2"/>
    </font>
    <font>
      <u/>
      <sz val="11"/>
      <color theme="10"/>
      <name val="Arial"/>
      <family val="2"/>
    </font>
    <font>
      <sz val="10"/>
      <name val="Cambria"/>
      <family val="1"/>
    </font>
    <font>
      <sz val="10"/>
      <name val="Arial"/>
      <family val="2"/>
    </font>
    <font>
      <b/>
      <sz val="16"/>
      <name val="Cambria"/>
      <family val="1"/>
    </font>
    <font>
      <b/>
      <sz val="11"/>
      <name val="Arial"/>
      <family val="2"/>
    </font>
    <font>
      <sz val="10"/>
      <color theme="1"/>
      <name val="Calibri"/>
      <family val="2"/>
      <scheme val="maj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ajor"/>
    </font>
    <font>
      <sz val="11"/>
      <color rgb="FF000000"/>
      <name val="Verdan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2D050"/>
        <bgColor rgb="FF92D05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A8D08D"/>
      </patternFill>
    </fill>
    <fill>
      <patternFill patternType="solid">
        <fgColor theme="9" tint="0.79998168889431442"/>
        <bgColor rgb="FFC5E0B3"/>
      </patternFill>
    </fill>
  </fills>
  <borders count="1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</borders>
  <cellStyleXfs count="6">
    <xf numFmtId="0" fontId="0" fillId="0" borderId="0"/>
    <xf numFmtId="0" fontId="24" fillId="0" borderId="0" applyNumberFormat="0" applyFill="0" applyBorder="0" applyAlignment="0" applyProtection="0"/>
    <xf numFmtId="0" fontId="10" fillId="0" borderId="33"/>
    <xf numFmtId="0" fontId="26" fillId="0" borderId="33"/>
    <xf numFmtId="42" fontId="36" fillId="0" borderId="0" applyFont="0" applyFill="0" applyBorder="0" applyAlignment="0" applyProtection="0"/>
    <xf numFmtId="9" fontId="37" fillId="0" borderId="0" applyFont="0" applyFill="0" applyBorder="0" applyAlignment="0" applyProtection="0"/>
  </cellStyleXfs>
  <cellXfs count="90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/>
    <xf numFmtId="0" fontId="11" fillId="0" borderId="0" xfId="0" applyFont="1"/>
    <xf numFmtId="0" fontId="14" fillId="0" borderId="15" xfId="0" applyFont="1" applyBorder="1" applyAlignment="1">
      <alignment horizontal="center" vertical="center"/>
    </xf>
    <xf numFmtId="170" fontId="14" fillId="0" borderId="19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top"/>
    </xf>
    <xf numFmtId="0" fontId="18" fillId="0" borderId="0" xfId="0" applyFont="1" applyAlignment="1"/>
    <xf numFmtId="0" fontId="14" fillId="0" borderId="16" xfId="0" applyFont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1" fontId="13" fillId="0" borderId="50" xfId="0" applyNumberFormat="1" applyFont="1" applyBorder="1" applyAlignment="1">
      <alignment horizontal="center" vertical="center"/>
    </xf>
    <xf numFmtId="169" fontId="13" fillId="0" borderId="50" xfId="0" applyNumberFormat="1" applyFont="1" applyBorder="1" applyAlignment="1">
      <alignment horizontal="center" vertical="center"/>
    </xf>
    <xf numFmtId="3" fontId="13" fillId="0" borderId="50" xfId="0" applyNumberFormat="1" applyFont="1" applyBorder="1" applyAlignment="1">
      <alignment horizontal="center" vertical="center"/>
    </xf>
    <xf numFmtId="1" fontId="13" fillId="0" borderId="51" xfId="0" applyNumberFormat="1" applyFont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169" fontId="13" fillId="0" borderId="51" xfId="0" applyNumberFormat="1" applyFont="1" applyBorder="1" applyAlignment="1">
      <alignment horizontal="center" vertical="center"/>
    </xf>
    <xf numFmtId="3" fontId="13" fillId="0" borderId="5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7" fontId="6" fillId="0" borderId="9" xfId="0" applyNumberFormat="1" applyFont="1" applyBorder="1" applyAlignment="1">
      <alignment horizontal="left" vertical="center"/>
    </xf>
    <xf numFmtId="0" fontId="13" fillId="0" borderId="15" xfId="0" applyFont="1" applyBorder="1" applyAlignment="1">
      <alignment horizontal="center" vertical="center"/>
    </xf>
    <xf numFmtId="1" fontId="13" fillId="0" borderId="16" xfId="0" applyNumberFormat="1" applyFont="1" applyBorder="1" applyAlignment="1">
      <alignment horizontal="center" vertical="center"/>
    </xf>
    <xf numFmtId="174" fontId="1" fillId="0" borderId="0" xfId="0" applyNumberFormat="1" applyFont="1"/>
    <xf numFmtId="169" fontId="13" fillId="0" borderId="16" xfId="0" applyNumberFormat="1" applyFont="1" applyBorder="1" applyAlignment="1">
      <alignment horizontal="center" vertical="center"/>
    </xf>
    <xf numFmtId="167" fontId="6" fillId="4" borderId="9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1" fontId="13" fillId="0" borderId="55" xfId="0" applyNumberFormat="1" applyFont="1" applyBorder="1" applyAlignment="1">
      <alignment horizontal="center" vertical="center"/>
    </xf>
    <xf numFmtId="169" fontId="13" fillId="0" borderId="55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3" fontId="13" fillId="0" borderId="5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11" fillId="0" borderId="0" xfId="0" applyFont="1" applyAlignment="1"/>
    <xf numFmtId="1" fontId="11" fillId="0" borderId="0" xfId="0" applyNumberFormat="1" applyFont="1"/>
    <xf numFmtId="4" fontId="1" fillId="0" borderId="43" xfId="0" applyNumberFormat="1" applyFont="1" applyBorder="1" applyAlignment="1">
      <alignment horizontal="right"/>
    </xf>
    <xf numFmtId="0" fontId="1" fillId="0" borderId="55" xfId="0" applyFont="1" applyBorder="1" applyAlignment="1">
      <alignment horizontal="center"/>
    </xf>
    <xf numFmtId="174" fontId="1" fillId="0" borderId="55" xfId="0" applyNumberFormat="1" applyFont="1" applyBorder="1"/>
    <xf numFmtId="174" fontId="3" fillId="0" borderId="0" xfId="0" applyNumberFormat="1" applyFont="1" applyAlignment="1"/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167" fontId="6" fillId="0" borderId="9" xfId="0" applyNumberFormat="1" applyFont="1" applyBorder="1" applyAlignment="1">
      <alignment horizontal="center" vertical="center"/>
    </xf>
    <xf numFmtId="0" fontId="4" fillId="0" borderId="50" xfId="0" applyFont="1" applyBorder="1"/>
    <xf numFmtId="0" fontId="4" fillId="0" borderId="5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69" fontId="13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175" fontId="1" fillId="0" borderId="0" xfId="0" applyNumberFormat="1" applyFont="1"/>
    <xf numFmtId="0" fontId="6" fillId="4" borderId="9" xfId="0" applyFont="1" applyFill="1" applyBorder="1" applyAlignment="1">
      <alignment horizontal="center" vertical="center"/>
    </xf>
    <xf numFmtId="167" fontId="6" fillId="4" borderId="9" xfId="0" applyNumberFormat="1" applyFont="1" applyFill="1" applyBorder="1" applyAlignment="1">
      <alignment horizontal="center" vertical="center"/>
    </xf>
    <xf numFmtId="0" fontId="1" fillId="4" borderId="0" xfId="0" applyFont="1" applyFill="1"/>
    <xf numFmtId="4" fontId="3" fillId="4" borderId="9" xfId="0" applyNumberFormat="1" applyFont="1" applyFill="1" applyBorder="1" applyAlignment="1"/>
    <xf numFmtId="166" fontId="3" fillId="4" borderId="9" xfId="0" applyNumberFormat="1" applyFont="1" applyFill="1" applyBorder="1" applyAlignment="1">
      <alignment horizontal="center"/>
    </xf>
    <xf numFmtId="4" fontId="1" fillId="0" borderId="43" xfId="0" applyNumberFormat="1" applyFont="1" applyBorder="1"/>
    <xf numFmtId="4" fontId="3" fillId="0" borderId="9" xfId="0" applyNumberFormat="1" applyFont="1" applyBorder="1" applyAlignment="1"/>
    <xf numFmtId="4" fontId="1" fillId="0" borderId="21" xfId="0" applyNumberFormat="1" applyFont="1" applyBorder="1"/>
    <xf numFmtId="0" fontId="6" fillId="4" borderId="55" xfId="0" applyFont="1" applyFill="1" applyBorder="1" applyAlignment="1">
      <alignment horizontal="center" vertical="center"/>
    </xf>
    <xf numFmtId="167" fontId="6" fillId="4" borderId="55" xfId="0" applyNumberFormat="1" applyFont="1" applyFill="1" applyBorder="1" applyAlignment="1">
      <alignment horizontal="center" vertical="center"/>
    </xf>
    <xf numFmtId="4" fontId="1" fillId="0" borderId="9" xfId="0" applyNumberFormat="1" applyFont="1" applyBorder="1"/>
    <xf numFmtId="4" fontId="1" fillId="0" borderId="55" xfId="0" applyNumberFormat="1" applyFont="1" applyBorder="1"/>
    <xf numFmtId="4" fontId="1" fillId="0" borderId="26" xfId="0" applyNumberFormat="1" applyFont="1" applyBorder="1"/>
    <xf numFmtId="4" fontId="3" fillId="0" borderId="1" xfId="0" applyNumberFormat="1" applyFont="1" applyBorder="1" applyAlignment="1"/>
    <xf numFmtId="4" fontId="1" fillId="0" borderId="1" xfId="0" applyNumberFormat="1" applyFont="1" applyBorder="1"/>
    <xf numFmtId="0" fontId="1" fillId="0" borderId="51" xfId="0" applyFont="1" applyBorder="1" applyAlignment="1">
      <alignment horizontal="center"/>
    </xf>
    <xf numFmtId="4" fontId="1" fillId="0" borderId="17" xfId="0" applyNumberFormat="1" applyFont="1" applyBorder="1"/>
    <xf numFmtId="4" fontId="1" fillId="0" borderId="65" xfId="0" applyNumberFormat="1" applyFont="1" applyBorder="1"/>
    <xf numFmtId="4" fontId="1" fillId="3" borderId="26" xfId="0" applyNumberFormat="1" applyFont="1" applyFill="1" applyBorder="1"/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3" fillId="0" borderId="9" xfId="0" applyNumberFormat="1" applyFont="1" applyBorder="1" applyAlignment="1">
      <alignment vertical="center"/>
    </xf>
    <xf numFmtId="0" fontId="8" fillId="4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73" fontId="8" fillId="0" borderId="0" xfId="0" applyNumberFormat="1" applyFont="1" applyAlignment="1">
      <alignment vertical="center"/>
    </xf>
    <xf numFmtId="49" fontId="1" fillId="0" borderId="0" xfId="0" applyNumberFormat="1" applyFont="1"/>
    <xf numFmtId="0" fontId="6" fillId="0" borderId="0" xfId="0" applyFont="1" applyAlignment="1">
      <alignment vertical="center" wrapText="1"/>
    </xf>
    <xf numFmtId="172" fontId="6" fillId="0" borderId="0" xfId="0" applyNumberFormat="1" applyFont="1" applyAlignment="1">
      <alignment vertical="center"/>
    </xf>
    <xf numFmtId="173" fontId="6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1" fillId="0" borderId="43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/>
    <xf numFmtId="174" fontId="22" fillId="0" borderId="0" xfId="0" applyNumberFormat="1" applyFont="1" applyAlignment="1"/>
    <xf numFmtId="4" fontId="3" fillId="4" borderId="1" xfId="0" applyNumberFormat="1" applyFont="1" applyFill="1" applyBorder="1" applyAlignment="1"/>
    <xf numFmtId="4" fontId="3" fillId="0" borderId="9" xfId="0" applyNumberFormat="1" applyFont="1" applyBorder="1" applyAlignment="1">
      <alignment horizontal="center"/>
    </xf>
    <xf numFmtId="176" fontId="3" fillId="0" borderId="0" xfId="0" applyNumberFormat="1" applyFont="1" applyAlignment="1"/>
    <xf numFmtId="174" fontId="1" fillId="0" borderId="0" xfId="0" applyNumberFormat="1" applyFont="1" applyAlignment="1"/>
    <xf numFmtId="2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" fontId="2" fillId="0" borderId="0" xfId="0" applyNumberFormat="1" applyFont="1" applyAlignment="1">
      <alignment horizontal="right"/>
    </xf>
    <xf numFmtId="0" fontId="3" fillId="0" borderId="9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vertical="center"/>
    </xf>
    <xf numFmtId="0" fontId="1" fillId="0" borderId="0" xfId="0" applyFont="1"/>
    <xf numFmtId="178" fontId="1" fillId="0" borderId="0" xfId="0" applyNumberFormat="1" applyFont="1"/>
    <xf numFmtId="174" fontId="3" fillId="0" borderId="0" xfId="0" applyNumberFormat="1" applyFont="1" applyAlignment="1">
      <alignment horizontal="right"/>
    </xf>
    <xf numFmtId="4" fontId="2" fillId="0" borderId="9" xfId="0" applyNumberFormat="1" applyFont="1" applyBorder="1"/>
    <xf numFmtId="174" fontId="1" fillId="0" borderId="26" xfId="0" applyNumberFormat="1" applyFont="1" applyBorder="1"/>
    <xf numFmtId="179" fontId="2" fillId="0" borderId="0" xfId="0" applyNumberFormat="1" applyFont="1" applyAlignment="1"/>
    <xf numFmtId="0" fontId="3" fillId="0" borderId="46" xfId="0" applyFont="1" applyBorder="1" applyAlignment="1">
      <alignment horizontal="center"/>
    </xf>
    <xf numFmtId="4" fontId="1" fillId="0" borderId="46" xfId="0" applyNumberFormat="1" applyFont="1" applyBorder="1"/>
    <xf numFmtId="0" fontId="1" fillId="0" borderId="46" xfId="0" applyFont="1" applyBorder="1" applyAlignment="1">
      <alignment horizontal="center"/>
    </xf>
    <xf numFmtId="4" fontId="1" fillId="0" borderId="49" xfId="0" applyNumberFormat="1" applyFont="1" applyBorder="1"/>
    <xf numFmtId="0" fontId="7" fillId="0" borderId="57" xfId="0" applyFont="1" applyBorder="1" applyAlignment="1">
      <alignment horizontal="center" vertical="center"/>
    </xf>
    <xf numFmtId="4" fontId="3" fillId="0" borderId="46" xfId="0" applyNumberFormat="1" applyFont="1" applyBorder="1" applyAlignment="1"/>
    <xf numFmtId="4" fontId="1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" fontId="1" fillId="0" borderId="0" xfId="0" applyNumberFormat="1" applyFont="1"/>
    <xf numFmtId="4" fontId="2" fillId="0" borderId="70" xfId="0" applyNumberFormat="1" applyFont="1" applyBorder="1"/>
    <xf numFmtId="4" fontId="1" fillId="0" borderId="4" xfId="0" applyNumberFormat="1" applyFont="1" applyBorder="1" applyAlignment="1">
      <alignment horizontal="right"/>
    </xf>
    <xf numFmtId="0" fontId="1" fillId="0" borderId="0" xfId="0" applyFont="1" applyAlignment="1"/>
    <xf numFmtId="174" fontId="1" fillId="0" borderId="0" xfId="0" applyNumberFormat="1" applyFont="1" applyAlignment="1"/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/>
    <xf numFmtId="4" fontId="2" fillId="0" borderId="0" xfId="0" applyNumberFormat="1" applyFont="1"/>
    <xf numFmtId="174" fontId="1" fillId="0" borderId="21" xfId="0" applyNumberFormat="1" applyFont="1" applyBorder="1"/>
    <xf numFmtId="0" fontId="9" fillId="0" borderId="0" xfId="0" applyFont="1" applyAlignment="1"/>
    <xf numFmtId="3" fontId="2" fillId="0" borderId="0" xfId="0" applyNumberFormat="1" applyFont="1" applyAlignment="1"/>
    <xf numFmtId="4" fontId="3" fillId="0" borderId="43" xfId="0" applyNumberFormat="1" applyFont="1" applyBorder="1" applyAlignment="1"/>
    <xf numFmtId="0" fontId="3" fillId="0" borderId="24" xfId="0" applyFont="1" applyBorder="1" applyAlignment="1">
      <alignment horizontal="center"/>
    </xf>
    <xf numFmtId="4" fontId="3" fillId="0" borderId="9" xfId="0" applyNumberFormat="1" applyFont="1" applyBorder="1" applyAlignment="1">
      <alignment horizontal="right" vertical="center"/>
    </xf>
    <xf numFmtId="0" fontId="3" fillId="0" borderId="55" xfId="0" applyFont="1" applyBorder="1" applyAlignment="1">
      <alignment horizontal="center"/>
    </xf>
    <xf numFmtId="168" fontId="1" fillId="0" borderId="9" xfId="0" applyNumberFormat="1" applyFont="1" applyBorder="1" applyAlignment="1">
      <alignment horizontal="center"/>
    </xf>
    <xf numFmtId="4" fontId="1" fillId="0" borderId="31" xfId="0" applyNumberFormat="1" applyFont="1" applyBorder="1"/>
    <xf numFmtId="168" fontId="3" fillId="0" borderId="9" xfId="0" applyNumberFormat="1" applyFont="1" applyBorder="1" applyAlignment="1">
      <alignment horizontal="center"/>
    </xf>
    <xf numFmtId="175" fontId="3" fillId="0" borderId="0" xfId="0" applyNumberFormat="1" applyFont="1" applyAlignment="1"/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/>
    </xf>
    <xf numFmtId="169" fontId="3" fillId="0" borderId="9" xfId="0" applyNumberFormat="1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4" fontId="3" fillId="0" borderId="51" xfId="0" applyNumberFormat="1" applyFont="1" applyBorder="1" applyAlignment="1"/>
    <xf numFmtId="4" fontId="1" fillId="0" borderId="45" xfId="0" applyNumberFormat="1" applyFont="1" applyBorder="1"/>
    <xf numFmtId="0" fontId="4" fillId="0" borderId="42" xfId="0" applyFont="1" applyBorder="1" applyAlignment="1">
      <alignment horizontal="center"/>
    </xf>
    <xf numFmtId="4" fontId="1" fillId="0" borderId="71" xfId="0" applyNumberFormat="1" applyFont="1" applyBorder="1"/>
    <xf numFmtId="2" fontId="1" fillId="0" borderId="14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" fontId="3" fillId="0" borderId="6" xfId="0" applyNumberFormat="1" applyFont="1" applyBorder="1" applyAlignment="1">
      <alignment horizontal="right"/>
    </xf>
    <xf numFmtId="0" fontId="3" fillId="0" borderId="24" xfId="0" applyFont="1" applyBorder="1" applyAlignment="1">
      <alignment horizontal="center"/>
    </xf>
    <xf numFmtId="4" fontId="3" fillId="0" borderId="24" xfId="0" applyNumberFormat="1" applyFont="1" applyBorder="1" applyAlignment="1">
      <alignment horizontal="right"/>
    </xf>
    <xf numFmtId="0" fontId="3" fillId="0" borderId="46" xfId="0" applyFont="1" applyBorder="1" applyAlignment="1">
      <alignment horizontal="center"/>
    </xf>
    <xf numFmtId="4" fontId="3" fillId="0" borderId="46" xfId="0" applyNumberFormat="1" applyFont="1" applyBorder="1" applyAlignment="1">
      <alignment horizontal="right"/>
    </xf>
    <xf numFmtId="1" fontId="1" fillId="0" borderId="9" xfId="0" applyNumberFormat="1" applyFont="1" applyBorder="1" applyAlignment="1">
      <alignment horizontal="center"/>
    </xf>
    <xf numFmtId="4" fontId="1" fillId="0" borderId="51" xfId="0" applyNumberFormat="1" applyFont="1" applyBorder="1"/>
    <xf numFmtId="1" fontId="3" fillId="0" borderId="9" xfId="0" applyNumberFormat="1" applyFont="1" applyBorder="1" applyAlignment="1">
      <alignment horizontal="center"/>
    </xf>
    <xf numFmtId="181" fontId="1" fillId="0" borderId="0" xfId="0" applyNumberFormat="1" applyFont="1"/>
    <xf numFmtId="2" fontId="1" fillId="0" borderId="9" xfId="0" applyNumberFormat="1" applyFont="1" applyBorder="1" applyAlignment="1">
      <alignment horizontal="center"/>
    </xf>
    <xf numFmtId="0" fontId="2" fillId="0" borderId="0" xfId="0" applyFont="1"/>
    <xf numFmtId="0" fontId="0" fillId="0" borderId="33" xfId="0" applyFont="1" applyBorder="1" applyAlignment="1"/>
    <xf numFmtId="0" fontId="0" fillId="0" borderId="33" xfId="0" applyFont="1" applyFill="1" applyBorder="1" applyAlignment="1"/>
    <xf numFmtId="0" fontId="10" fillId="0" borderId="33" xfId="2"/>
    <xf numFmtId="0" fontId="27" fillId="0" borderId="33" xfId="3" applyFont="1" applyAlignment="1">
      <alignment vertical="center"/>
    </xf>
    <xf numFmtId="0" fontId="2" fillId="0" borderId="0" xfId="0" applyFont="1" applyFill="1"/>
    <xf numFmtId="0" fontId="0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9" fontId="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left"/>
    </xf>
    <xf numFmtId="0" fontId="25" fillId="0" borderId="33" xfId="0" applyFont="1" applyFill="1" applyBorder="1" applyAlignment="1"/>
    <xf numFmtId="0" fontId="11" fillId="0" borderId="0" xfId="0" applyFont="1" applyFill="1"/>
    <xf numFmtId="0" fontId="12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170" fontId="14" fillId="0" borderId="0" xfId="0" applyNumberFormat="1" applyFont="1" applyFill="1" applyAlignment="1">
      <alignment horizontal="center" vertical="center" wrapText="1"/>
    </xf>
    <xf numFmtId="171" fontId="13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3" fillId="0" borderId="126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1" fontId="13" fillId="0" borderId="84" xfId="0" applyNumberFormat="1" applyFont="1" applyBorder="1" applyAlignment="1">
      <alignment horizontal="center" vertical="center"/>
    </xf>
    <xf numFmtId="3" fontId="13" fillId="0" borderId="84" xfId="0" applyNumberFormat="1" applyFont="1" applyBorder="1" applyAlignment="1">
      <alignment horizontal="center" vertical="center"/>
    </xf>
    <xf numFmtId="169" fontId="13" fillId="0" borderId="84" xfId="0" applyNumberFormat="1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10" fillId="0" borderId="108" xfId="0" applyFont="1" applyBorder="1" applyAlignment="1">
      <alignment horizontal="center"/>
    </xf>
    <xf numFmtId="0" fontId="10" fillId="0" borderId="109" xfId="0" applyFont="1" applyBorder="1" applyAlignment="1">
      <alignment horizontal="left"/>
    </xf>
    <xf numFmtId="0" fontId="10" fillId="0" borderId="109" xfId="0" applyFont="1" applyBorder="1" applyAlignment="1">
      <alignment horizontal="center"/>
    </xf>
    <xf numFmtId="0" fontId="10" fillId="0" borderId="110" xfId="0" applyFont="1" applyBorder="1" applyAlignment="1">
      <alignment horizontal="center"/>
    </xf>
    <xf numFmtId="0" fontId="30" fillId="3" borderId="104" xfId="0" applyFont="1" applyFill="1" applyBorder="1" applyAlignment="1">
      <alignment horizontal="center"/>
    </xf>
    <xf numFmtId="0" fontId="10" fillId="0" borderId="122" xfId="0" applyFont="1" applyBorder="1" applyAlignment="1">
      <alignment horizontal="center"/>
    </xf>
    <xf numFmtId="0" fontId="10" fillId="0" borderId="123" xfId="0" applyFont="1" applyBorder="1" applyAlignment="1">
      <alignment horizontal="left"/>
    </xf>
    <xf numFmtId="0" fontId="10" fillId="0" borderId="123" xfId="0" applyFont="1" applyBorder="1" applyAlignment="1">
      <alignment horizontal="center"/>
    </xf>
    <xf numFmtId="167" fontId="10" fillId="0" borderId="124" xfId="0" applyNumberFormat="1" applyFont="1" applyBorder="1"/>
    <xf numFmtId="0" fontId="10" fillId="0" borderId="114" xfId="0" applyFont="1" applyBorder="1" applyAlignment="1">
      <alignment horizontal="center"/>
    </xf>
    <xf numFmtId="0" fontId="10" fillId="0" borderId="107" xfId="0" applyFont="1" applyBorder="1" applyAlignment="1">
      <alignment horizontal="left"/>
    </xf>
    <xf numFmtId="0" fontId="10" fillId="0" borderId="107" xfId="0" applyFont="1" applyBorder="1" applyAlignment="1">
      <alignment horizontal="center"/>
    </xf>
    <xf numFmtId="167" fontId="10" fillId="0" borderId="115" xfId="0" applyNumberFormat="1" applyFont="1" applyBorder="1"/>
    <xf numFmtId="0" fontId="10" fillId="0" borderId="119" xfId="0" applyFont="1" applyBorder="1" applyAlignment="1">
      <alignment horizontal="center"/>
    </xf>
    <xf numFmtId="0" fontId="10" fillId="0" borderId="120" xfId="0" applyFont="1" applyBorder="1" applyAlignment="1">
      <alignment horizontal="left"/>
    </xf>
    <xf numFmtId="0" fontId="10" fillId="0" borderId="120" xfId="0" applyFont="1" applyBorder="1" applyAlignment="1">
      <alignment horizontal="center"/>
    </xf>
    <xf numFmtId="167" fontId="10" fillId="0" borderId="121" xfId="0" applyNumberFormat="1" applyFont="1" applyBorder="1"/>
    <xf numFmtId="0" fontId="30" fillId="0" borderId="80" xfId="0" applyFont="1" applyBorder="1" applyAlignment="1">
      <alignment horizontal="center"/>
    </xf>
    <xf numFmtId="0" fontId="31" fillId="0" borderId="80" xfId="0" applyFont="1" applyBorder="1" applyAlignment="1">
      <alignment horizontal="center"/>
    </xf>
    <xf numFmtId="0" fontId="10" fillId="0" borderId="22" xfId="0" applyFont="1" applyBorder="1" applyAlignment="1">
      <alignment horizontal="center" vertical="center"/>
    </xf>
    <xf numFmtId="0" fontId="32" fillId="5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9" fontId="32" fillId="5" borderId="22" xfId="0" applyNumberFormat="1" applyFont="1" applyFill="1" applyBorder="1" applyAlignment="1">
      <alignment horizontal="center" vertical="center"/>
    </xf>
    <xf numFmtId="167" fontId="10" fillId="3" borderId="22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32" fillId="5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9" fontId="32" fillId="5" borderId="9" xfId="0" applyNumberFormat="1" applyFont="1" applyFill="1" applyBorder="1" applyAlignment="1">
      <alignment horizontal="center" vertical="center"/>
    </xf>
    <xf numFmtId="167" fontId="10" fillId="3" borderId="9" xfId="0" applyNumberFormat="1" applyFont="1" applyFill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32" fillId="5" borderId="55" xfId="0" applyFont="1" applyFill="1" applyBorder="1" applyAlignment="1">
      <alignment horizontal="center" vertical="center"/>
    </xf>
    <xf numFmtId="0" fontId="10" fillId="3" borderId="55" xfId="0" applyFont="1" applyFill="1" applyBorder="1" applyAlignment="1">
      <alignment horizontal="center" vertical="center"/>
    </xf>
    <xf numFmtId="9" fontId="32" fillId="5" borderId="55" xfId="0" applyNumberFormat="1" applyFont="1" applyFill="1" applyBorder="1" applyAlignment="1">
      <alignment horizontal="center" vertical="center"/>
    </xf>
    <xf numFmtId="167" fontId="10" fillId="3" borderId="55" xfId="0" applyNumberFormat="1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9" fontId="32" fillId="0" borderId="22" xfId="0" applyNumberFormat="1" applyFont="1" applyBorder="1" applyAlignment="1">
      <alignment horizontal="center" vertical="center"/>
    </xf>
    <xf numFmtId="9" fontId="32" fillId="0" borderId="9" xfId="0" applyNumberFormat="1" applyFont="1" applyBorder="1" applyAlignment="1">
      <alignment horizontal="center" vertical="center"/>
    </xf>
    <xf numFmtId="9" fontId="32" fillId="0" borderId="55" xfId="0" applyNumberFormat="1" applyFont="1" applyBorder="1" applyAlignment="1">
      <alignment horizontal="center" vertical="center"/>
    </xf>
    <xf numFmtId="0" fontId="32" fillId="0" borderId="84" xfId="0" applyFont="1" applyBorder="1" applyAlignment="1">
      <alignment horizontal="center" vertical="center"/>
    </xf>
    <xf numFmtId="0" fontId="10" fillId="3" borderId="84" xfId="0" applyFont="1" applyFill="1" applyBorder="1" applyAlignment="1">
      <alignment horizontal="center" vertical="center"/>
    </xf>
    <xf numFmtId="0" fontId="32" fillId="5" borderId="84" xfId="0" applyFont="1" applyFill="1" applyBorder="1" applyAlignment="1">
      <alignment horizontal="center" vertical="center"/>
    </xf>
    <xf numFmtId="9" fontId="32" fillId="0" borderId="84" xfId="0" applyNumberFormat="1" applyFont="1" applyBorder="1" applyAlignment="1">
      <alignment horizontal="center" vertical="center"/>
    </xf>
    <xf numFmtId="167" fontId="10" fillId="3" borderId="84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0" fillId="0" borderId="88" xfId="0" applyFont="1" applyBorder="1" applyAlignment="1">
      <alignment horizontal="center"/>
    </xf>
    <xf numFmtId="0" fontId="32" fillId="0" borderId="87" xfId="0" applyFont="1" applyBorder="1" applyAlignment="1">
      <alignment horizontal="center"/>
    </xf>
    <xf numFmtId="0" fontId="10" fillId="0" borderId="0" xfId="0" applyFont="1"/>
    <xf numFmtId="0" fontId="32" fillId="0" borderId="82" xfId="0" applyFont="1" applyBorder="1" applyAlignment="1">
      <alignment horizontal="center"/>
    </xf>
    <xf numFmtId="0" fontId="10" fillId="0" borderId="33" xfId="0" applyFont="1" applyFill="1" applyBorder="1" applyAlignment="1"/>
    <xf numFmtId="0" fontId="10" fillId="0" borderId="33" xfId="0" applyFont="1" applyFill="1" applyBorder="1" applyAlignment="1">
      <alignment horizontal="center"/>
    </xf>
    <xf numFmtId="0" fontId="10" fillId="0" borderId="33" xfId="0" applyFont="1" applyFill="1" applyBorder="1" applyAlignment="1">
      <alignment horizontal="center" vertical="center"/>
    </xf>
    <xf numFmtId="9" fontId="10" fillId="0" borderId="33" xfId="0" applyNumberFormat="1" applyFont="1" applyFill="1" applyBorder="1" applyAlignment="1">
      <alignment horizontal="center" vertical="center"/>
    </xf>
    <xf numFmtId="165" fontId="10" fillId="0" borderId="33" xfId="0" applyNumberFormat="1" applyFont="1" applyFill="1" applyBorder="1" applyAlignment="1">
      <alignment horizontal="center" vertical="center"/>
    </xf>
    <xf numFmtId="0" fontId="32" fillId="0" borderId="90" xfId="0" applyFont="1" applyBorder="1" applyAlignment="1">
      <alignment horizontal="center"/>
    </xf>
    <xf numFmtId="0" fontId="32" fillId="0" borderId="0" xfId="0" applyFont="1" applyAlignment="1"/>
    <xf numFmtId="0" fontId="10" fillId="0" borderId="33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107" xfId="0" applyFont="1" applyBorder="1"/>
    <xf numFmtId="0" fontId="8" fillId="0" borderId="33" xfId="0" applyFont="1" applyFill="1" applyBorder="1" applyAlignment="1">
      <alignment horizontal="center" vertical="center"/>
    </xf>
    <xf numFmtId="173" fontId="8" fillId="0" borderId="33" xfId="0" applyNumberFormat="1" applyFont="1" applyFill="1" applyBorder="1" applyAlignment="1">
      <alignment vertical="center"/>
    </xf>
    <xf numFmtId="0" fontId="4" fillId="0" borderId="135" xfId="0" applyFont="1" applyBorder="1" applyAlignment="1">
      <alignment horizontal="center"/>
    </xf>
    <xf numFmtId="0" fontId="2" fillId="0" borderId="33" xfId="0" applyFont="1" applyFill="1" applyBorder="1" applyAlignment="1"/>
    <xf numFmtId="0" fontId="4" fillId="0" borderId="126" xfId="0" applyFont="1" applyBorder="1" applyAlignment="1">
      <alignment horizontal="center"/>
    </xf>
    <xf numFmtId="0" fontId="1" fillId="0" borderId="140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/>
    </xf>
    <xf numFmtId="0" fontId="20" fillId="4" borderId="75" xfId="0" applyFont="1" applyFill="1" applyBorder="1" applyAlignment="1">
      <alignment horizontal="center"/>
    </xf>
    <xf numFmtId="0" fontId="4" fillId="0" borderId="87" xfId="0" applyFont="1" applyBorder="1" applyAlignment="1">
      <alignment horizontal="center"/>
    </xf>
    <xf numFmtId="4" fontId="1" fillId="0" borderId="82" xfId="0" applyNumberFormat="1" applyFont="1" applyBorder="1"/>
    <xf numFmtId="4" fontId="1" fillId="0" borderId="144" xfId="0" applyNumberFormat="1" applyFont="1" applyBorder="1"/>
    <xf numFmtId="0" fontId="4" fillId="0" borderId="87" xfId="0" applyFont="1" applyBorder="1" applyAlignment="1">
      <alignment horizontal="center" vertical="center"/>
    </xf>
    <xf numFmtId="4" fontId="1" fillId="0" borderId="145" xfId="0" applyNumberFormat="1" applyFont="1" applyBorder="1"/>
    <xf numFmtId="0" fontId="4" fillId="0" borderId="127" xfId="0" applyFont="1" applyBorder="1" applyAlignment="1">
      <alignment horizontal="center"/>
    </xf>
    <xf numFmtId="4" fontId="1" fillId="0" borderId="90" xfId="0" applyNumberFormat="1" applyFont="1" applyBorder="1"/>
    <xf numFmtId="4" fontId="1" fillId="0" borderId="151" xfId="0" applyNumberFormat="1" applyFont="1" applyBorder="1"/>
    <xf numFmtId="4" fontId="1" fillId="3" borderId="80" xfId="0" applyNumberFormat="1" applyFont="1" applyFill="1" applyBorder="1"/>
    <xf numFmtId="0" fontId="1" fillId="0" borderId="0" xfId="0" applyFont="1" applyFill="1"/>
    <xf numFmtId="0" fontId="0" fillId="0" borderId="107" xfId="0" applyFont="1" applyBorder="1" applyAlignment="1"/>
    <xf numFmtId="0" fontId="10" fillId="0" borderId="107" xfId="0" applyFont="1" applyBorder="1" applyAlignment="1"/>
    <xf numFmtId="0" fontId="34" fillId="0" borderId="107" xfId="0" applyFont="1" applyBorder="1" applyAlignment="1"/>
    <xf numFmtId="0" fontId="34" fillId="0" borderId="107" xfId="0" applyFont="1" applyBorder="1"/>
    <xf numFmtId="174" fontId="1" fillId="0" borderId="0" xfId="0" applyNumberFormat="1" applyFont="1" applyFill="1"/>
    <xf numFmtId="174" fontId="3" fillId="0" borderId="0" xfId="0" applyNumberFormat="1" applyFont="1" applyFill="1" applyAlignment="1"/>
    <xf numFmtId="0" fontId="3" fillId="0" borderId="0" xfId="0" applyFont="1" applyFill="1" applyAlignment="1"/>
    <xf numFmtId="168" fontId="7" fillId="0" borderId="0" xfId="0" applyNumberFormat="1" applyFont="1" applyFill="1" applyAlignment="1">
      <alignment horizontal="center"/>
    </xf>
    <xf numFmtId="177" fontId="1" fillId="0" borderId="0" xfId="0" applyNumberFormat="1" applyFont="1" applyFill="1"/>
    <xf numFmtId="0" fontId="2" fillId="0" borderId="0" xfId="0" applyFont="1" applyFill="1" applyAlignment="1"/>
    <xf numFmtId="174" fontId="1" fillId="0" borderId="33" xfId="0" applyNumberFormat="1" applyFont="1" applyFill="1" applyBorder="1"/>
    <xf numFmtId="174" fontId="3" fillId="0" borderId="33" xfId="0" applyNumberFormat="1" applyFont="1" applyFill="1" applyBorder="1" applyAlignment="1"/>
    <xf numFmtId="0" fontId="3" fillId="0" borderId="33" xfId="0" applyFont="1" applyFill="1" applyBorder="1" applyAlignment="1"/>
    <xf numFmtId="0" fontId="4" fillId="0" borderId="33" xfId="0" applyFont="1" applyFill="1" applyBorder="1" applyAlignment="1">
      <alignment horizontal="center"/>
    </xf>
    <xf numFmtId="0" fontId="10" fillId="0" borderId="0" xfId="0" applyFont="1" applyFill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3" fontId="0" fillId="0" borderId="0" xfId="0" applyNumberFormat="1" applyFont="1" applyAlignment="1"/>
    <xf numFmtId="3" fontId="10" fillId="0" borderId="0" xfId="0" applyNumberFormat="1" applyFont="1" applyAlignment="1"/>
    <xf numFmtId="0" fontId="0" fillId="0" borderId="0" xfId="0" applyFont="1" applyAlignment="1"/>
    <xf numFmtId="0" fontId="10" fillId="0" borderId="153" xfId="2" applyFont="1" applyBorder="1"/>
    <xf numFmtId="0" fontId="10" fillId="0" borderId="81" xfId="2" applyFont="1" applyBorder="1"/>
    <xf numFmtId="0" fontId="10" fillId="0" borderId="83" xfId="2" applyFont="1" applyBorder="1"/>
    <xf numFmtId="0" fontId="0" fillId="0" borderId="0" xfId="0" applyFont="1" applyAlignment="1"/>
    <xf numFmtId="0" fontId="0" fillId="0" borderId="0" xfId="0" applyFont="1" applyAlignment="1"/>
    <xf numFmtId="0" fontId="3" fillId="0" borderId="22" xfId="0" applyFont="1" applyBorder="1" applyAlignment="1">
      <alignment horizontal="center"/>
    </xf>
    <xf numFmtId="4" fontId="3" fillId="0" borderId="22" xfId="0" applyNumberFormat="1" applyFont="1" applyBorder="1" applyAlignment="1"/>
    <xf numFmtId="0" fontId="4" fillId="0" borderId="164" xfId="0" applyFont="1" applyBorder="1" applyAlignment="1">
      <alignment horizontal="center"/>
    </xf>
    <xf numFmtId="0" fontId="0" fillId="0" borderId="0" xfId="0" applyFont="1" applyAlignment="1"/>
    <xf numFmtId="0" fontId="1" fillId="0" borderId="107" xfId="0" applyFont="1" applyBorder="1" applyAlignment="1">
      <alignment horizontal="center"/>
    </xf>
    <xf numFmtId="0" fontId="1" fillId="0" borderId="112" xfId="0" applyFont="1" applyBorder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/>
    <xf numFmtId="0" fontId="3" fillId="0" borderId="0" xfId="0" applyFont="1" applyAlignment="1"/>
    <xf numFmtId="4" fontId="0" fillId="0" borderId="0" xfId="0" applyNumberFormat="1" applyFont="1" applyAlignment="1"/>
    <xf numFmtId="0" fontId="1" fillId="0" borderId="0" xfId="0" applyNumberFormat="1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174" fontId="1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2" fontId="2" fillId="0" borderId="0" xfId="0" applyNumberFormat="1" applyFont="1" applyAlignment="1"/>
    <xf numFmtId="12" fontId="3" fillId="0" borderId="0" xfId="0" applyNumberFormat="1" applyFont="1" applyAlignment="1"/>
    <xf numFmtId="0" fontId="4" fillId="0" borderId="48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/>
    </xf>
    <xf numFmtId="0" fontId="3" fillId="0" borderId="107" xfId="0" applyFont="1" applyBorder="1" applyAlignment="1">
      <alignment horizontal="center"/>
    </xf>
    <xf numFmtId="4" fontId="3" fillId="0" borderId="107" xfId="0" applyNumberFormat="1" applyFont="1" applyBorder="1" applyAlignment="1"/>
    <xf numFmtId="4" fontId="1" fillId="0" borderId="107" xfId="0" applyNumberFormat="1" applyFont="1" applyBorder="1"/>
    <xf numFmtId="0" fontId="3" fillId="0" borderId="112" xfId="0" applyFont="1" applyBorder="1" applyAlignment="1">
      <alignment horizontal="center"/>
    </xf>
    <xf numFmtId="4" fontId="3" fillId="0" borderId="112" xfId="0" applyNumberFormat="1" applyFont="1" applyBorder="1" applyAlignment="1"/>
    <xf numFmtId="4" fontId="1" fillId="0" borderId="113" xfId="0" applyNumberFormat="1" applyFont="1" applyBorder="1"/>
    <xf numFmtId="4" fontId="1" fillId="0" borderId="115" xfId="0" applyNumberFormat="1" applyFont="1" applyBorder="1"/>
    <xf numFmtId="0" fontId="0" fillId="0" borderId="115" xfId="0" applyFont="1" applyBorder="1" applyAlignment="1"/>
    <xf numFmtId="0" fontId="1" fillId="0" borderId="117" xfId="0" applyFont="1" applyBorder="1" applyAlignment="1">
      <alignment horizontal="center"/>
    </xf>
    <xf numFmtId="4" fontId="1" fillId="0" borderId="117" xfId="0" applyNumberFormat="1" applyFont="1" applyBorder="1"/>
    <xf numFmtId="4" fontId="1" fillId="0" borderId="118" xfId="0" applyNumberFormat="1" applyFont="1" applyBorder="1"/>
    <xf numFmtId="12" fontId="0" fillId="0" borderId="0" xfId="0" applyNumberFormat="1" applyFont="1" applyAlignment="1"/>
    <xf numFmtId="0" fontId="3" fillId="0" borderId="9" xfId="0" applyNumberFormat="1" applyFont="1" applyBorder="1" applyAlignment="1">
      <alignment horizontal="center"/>
    </xf>
    <xf numFmtId="0" fontId="10" fillId="0" borderId="107" xfId="0" applyFont="1" applyFill="1" applyBorder="1" applyAlignment="1">
      <alignment horizontal="left"/>
    </xf>
    <xf numFmtId="0" fontId="10" fillId="0" borderId="120" xfId="0" applyFont="1" applyFill="1" applyBorder="1" applyAlignment="1">
      <alignment horizontal="left"/>
    </xf>
    <xf numFmtId="0" fontId="6" fillId="0" borderId="9" xfId="0" applyFont="1" applyFill="1" applyBorder="1" applyAlignment="1">
      <alignment horizontal="center" vertical="center"/>
    </xf>
    <xf numFmtId="167" fontId="6" fillId="0" borderId="9" xfId="0" applyNumberFormat="1" applyFont="1" applyFill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/>
    </xf>
    <xf numFmtId="0" fontId="31" fillId="2" borderId="92" xfId="0" applyFont="1" applyFill="1" applyBorder="1" applyAlignment="1">
      <alignment horizontal="center" vertical="center"/>
    </xf>
    <xf numFmtId="0" fontId="32" fillId="0" borderId="131" xfId="0" applyFont="1" applyBorder="1" applyAlignment="1">
      <alignment horizontal="center" vertical="center"/>
    </xf>
    <xf numFmtId="0" fontId="4" fillId="0" borderId="33" xfId="0" applyFont="1" applyBorder="1"/>
    <xf numFmtId="0" fontId="30" fillId="0" borderId="72" xfId="0" applyFont="1" applyBorder="1" applyAlignment="1">
      <alignment horizontal="left"/>
    </xf>
    <xf numFmtId="0" fontId="32" fillId="0" borderId="81" xfId="0" applyFont="1" applyFill="1" applyBorder="1" applyAlignment="1">
      <alignment horizontal="left" vertical="center"/>
    </xf>
    <xf numFmtId="0" fontId="32" fillId="0" borderId="89" xfId="0" applyFont="1" applyFill="1" applyBorder="1" applyAlignment="1">
      <alignment horizontal="left" vertical="center"/>
    </xf>
    <xf numFmtId="0" fontId="32" fillId="0" borderId="86" xfId="0" applyFont="1" applyFill="1" applyBorder="1" applyAlignment="1">
      <alignment horizontal="left" vertical="center"/>
    </xf>
    <xf numFmtId="0" fontId="5" fillId="0" borderId="81" xfId="0" applyFont="1" applyFill="1" applyBorder="1" applyAlignment="1">
      <alignment horizontal="left" vertical="center"/>
    </xf>
    <xf numFmtId="0" fontId="5" fillId="0" borderId="89" xfId="0" applyFont="1" applyFill="1" applyBorder="1" applyAlignment="1">
      <alignment horizontal="left" vertical="center"/>
    </xf>
    <xf numFmtId="0" fontId="32" fillId="0" borderId="86" xfId="0" applyFont="1" applyBorder="1" applyAlignment="1">
      <alignment horizontal="left" vertical="center"/>
    </xf>
    <xf numFmtId="0" fontId="32" fillId="0" borderId="81" xfId="0" applyFont="1" applyBorder="1" applyAlignment="1">
      <alignment horizontal="left" vertical="center"/>
    </xf>
    <xf numFmtId="0" fontId="32" fillId="0" borderId="81" xfId="0" applyFont="1" applyBorder="1" applyAlignment="1">
      <alignment horizontal="left" vertical="center" wrapText="1"/>
    </xf>
    <xf numFmtId="0" fontId="32" fillId="4" borderId="81" xfId="0" applyFont="1" applyFill="1" applyBorder="1" applyAlignment="1">
      <alignment horizontal="left" vertical="center"/>
    </xf>
    <xf numFmtId="0" fontId="32" fillId="0" borderId="94" xfId="0" applyFont="1" applyBorder="1" applyAlignment="1">
      <alignment horizontal="left" vertical="center"/>
    </xf>
    <xf numFmtId="0" fontId="10" fillId="0" borderId="95" xfId="0" applyFont="1" applyBorder="1" applyAlignment="1">
      <alignment horizontal="center" vertical="center"/>
    </xf>
    <xf numFmtId="0" fontId="1" fillId="0" borderId="33" xfId="0" applyFont="1" applyBorder="1" applyAlignment="1">
      <alignment horizontal="left"/>
    </xf>
    <xf numFmtId="0" fontId="32" fillId="0" borderId="130" xfId="0" applyFont="1" applyBorder="1" applyAlignment="1">
      <alignment horizontal="center"/>
    </xf>
    <xf numFmtId="0" fontId="32" fillId="0" borderId="153" xfId="0" applyFont="1" applyFill="1" applyBorder="1" applyAlignment="1">
      <alignment horizontal="left" vertical="center"/>
    </xf>
    <xf numFmtId="0" fontId="10" fillId="0" borderId="167" xfId="0" applyFont="1" applyBorder="1" applyAlignment="1">
      <alignment horizontal="center" vertical="center"/>
    </xf>
    <xf numFmtId="0" fontId="32" fillId="0" borderId="167" xfId="0" applyFont="1" applyBorder="1" applyAlignment="1">
      <alignment horizontal="center" vertical="center"/>
    </xf>
    <xf numFmtId="0" fontId="10" fillId="3" borderId="167" xfId="0" applyFont="1" applyFill="1" applyBorder="1" applyAlignment="1">
      <alignment horizontal="center" vertical="center"/>
    </xf>
    <xf numFmtId="0" fontId="32" fillId="5" borderId="167" xfId="0" applyFont="1" applyFill="1" applyBorder="1" applyAlignment="1">
      <alignment horizontal="center" vertical="center"/>
    </xf>
    <xf numFmtId="9" fontId="32" fillId="0" borderId="167" xfId="0" applyNumberFormat="1" applyFont="1" applyBorder="1" applyAlignment="1">
      <alignment horizontal="center" vertical="center"/>
    </xf>
    <xf numFmtId="167" fontId="10" fillId="3" borderId="167" xfId="0" applyNumberFormat="1" applyFont="1" applyFill="1" applyBorder="1" applyAlignment="1">
      <alignment horizontal="center" vertical="center"/>
    </xf>
    <xf numFmtId="0" fontId="6" fillId="4" borderId="107" xfId="0" applyFont="1" applyFill="1" applyBorder="1" applyAlignment="1">
      <alignment horizontal="center" vertical="center"/>
    </xf>
    <xf numFmtId="167" fontId="6" fillId="4" borderId="107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8" fillId="3" borderId="153" xfId="0" applyFont="1" applyFill="1" applyBorder="1" applyAlignment="1">
      <alignment horizontal="center" vertical="center"/>
    </xf>
    <xf numFmtId="0" fontId="8" fillId="3" borderId="167" xfId="0" applyFont="1" applyFill="1" applyBorder="1" applyAlignment="1">
      <alignment horizontal="center" vertical="center" wrapText="1"/>
    </xf>
    <xf numFmtId="0" fontId="8" fillId="3" borderId="167" xfId="0" applyFont="1" applyFill="1" applyBorder="1" applyAlignment="1">
      <alignment horizontal="center" vertical="center"/>
    </xf>
    <xf numFmtId="172" fontId="8" fillId="3" borderId="167" xfId="0" applyNumberFormat="1" applyFont="1" applyFill="1" applyBorder="1" applyAlignment="1">
      <alignment horizontal="center" vertical="center"/>
    </xf>
    <xf numFmtId="173" fontId="8" fillId="3" borderId="130" xfId="0" applyNumberFormat="1" applyFont="1" applyFill="1" applyBorder="1" applyAlignment="1">
      <alignment horizontal="center" vertical="center"/>
    </xf>
    <xf numFmtId="0" fontId="8" fillId="3" borderId="81" xfId="0" applyFont="1" applyFill="1" applyBorder="1" applyAlignment="1">
      <alignment horizontal="center" vertical="center"/>
    </xf>
    <xf numFmtId="0" fontId="19" fillId="4" borderId="131" xfId="0" applyFont="1" applyFill="1" applyBorder="1" applyAlignment="1">
      <alignment horizontal="center" vertical="center"/>
    </xf>
    <xf numFmtId="0" fontId="8" fillId="3" borderId="89" xfId="0" applyFont="1" applyFill="1" applyBorder="1" applyAlignment="1">
      <alignment horizontal="center" vertical="center"/>
    </xf>
    <xf numFmtId="0" fontId="6" fillId="4" borderId="84" xfId="0" applyFont="1" applyFill="1" applyBorder="1" applyAlignment="1">
      <alignment horizontal="center" vertical="center"/>
    </xf>
    <xf numFmtId="167" fontId="6" fillId="4" borderId="84" xfId="0" applyNumberFormat="1" applyFont="1" applyFill="1" applyBorder="1" applyAlignment="1">
      <alignment horizontal="center" vertical="center"/>
    </xf>
    <xf numFmtId="0" fontId="32" fillId="0" borderId="113" xfId="0" applyFont="1" applyBorder="1" applyAlignment="1">
      <alignment horizontal="center"/>
    </xf>
    <xf numFmtId="0" fontId="32" fillId="0" borderId="115" xfId="0" applyFont="1" applyBorder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/>
    <xf numFmtId="2" fontId="32" fillId="0" borderId="132" xfId="0" applyNumberFormat="1" applyFont="1" applyBorder="1" applyAlignment="1">
      <alignment horizontal="center" vertical="center"/>
    </xf>
    <xf numFmtId="0" fontId="10" fillId="0" borderId="123" xfId="0" applyFont="1" applyFill="1" applyBorder="1" applyAlignment="1">
      <alignment horizontal="left"/>
    </xf>
    <xf numFmtId="4" fontId="3" fillId="0" borderId="55" xfId="0" applyNumberFormat="1" applyFont="1" applyBorder="1" applyAlignment="1"/>
    <xf numFmtId="0" fontId="10" fillId="0" borderId="97" xfId="0" applyFont="1" applyBorder="1" applyAlignment="1">
      <alignment horizontal="center"/>
    </xf>
    <xf numFmtId="0" fontId="32" fillId="0" borderId="6" xfId="0" applyFont="1" applyFill="1" applyBorder="1" applyAlignment="1"/>
    <xf numFmtId="0" fontId="32" fillId="0" borderId="6" xfId="0" applyFont="1" applyFill="1" applyBorder="1"/>
    <xf numFmtId="0" fontId="32" fillId="0" borderId="6" xfId="0" applyFont="1" applyFill="1" applyBorder="1" applyAlignment="1">
      <alignment horizontal="left"/>
    </xf>
    <xf numFmtId="0" fontId="10" fillId="0" borderId="62" xfId="0" applyFont="1" applyFill="1" applyBorder="1"/>
    <xf numFmtId="0" fontId="32" fillId="0" borderId="24" xfId="0" applyFont="1" applyFill="1" applyBorder="1"/>
    <xf numFmtId="0" fontId="32" fillId="0" borderId="62" xfId="0" applyFont="1" applyFill="1" applyBorder="1"/>
    <xf numFmtId="0" fontId="32" fillId="0" borderId="129" xfId="0" applyFont="1" applyFill="1" applyBorder="1"/>
    <xf numFmtId="0" fontId="32" fillId="0" borderId="62" xfId="0" applyFont="1" applyFill="1" applyBorder="1" applyAlignment="1"/>
    <xf numFmtId="0" fontId="32" fillId="0" borderId="170" xfId="0" applyFont="1" applyBorder="1" applyAlignment="1"/>
    <xf numFmtId="0" fontId="32" fillId="0" borderId="165" xfId="0" applyFont="1" applyFill="1" applyBorder="1" applyAlignment="1"/>
    <xf numFmtId="0" fontId="32" fillId="0" borderId="165" xfId="0" applyFont="1" applyBorder="1" applyAlignment="1"/>
    <xf numFmtId="0" fontId="10" fillId="0" borderId="24" xfId="0" applyFont="1" applyBorder="1"/>
    <xf numFmtId="0" fontId="10" fillId="0" borderId="6" xfId="0" applyFont="1" applyBorder="1"/>
    <xf numFmtId="0" fontId="32" fillId="0" borderId="6" xfId="0" applyFont="1" applyBorder="1" applyAlignment="1"/>
    <xf numFmtId="0" fontId="10" fillId="0" borderId="80" xfId="0" applyFont="1" applyBorder="1" applyAlignment="1">
      <alignment horizontal="center"/>
    </xf>
    <xf numFmtId="0" fontId="31" fillId="0" borderId="80" xfId="0" applyFont="1" applyFill="1" applyBorder="1" applyAlignment="1">
      <alignment horizontal="center"/>
    </xf>
    <xf numFmtId="0" fontId="32" fillId="3" borderId="157" xfId="0" applyFont="1" applyFill="1" applyBorder="1" applyAlignment="1">
      <alignment horizontal="center"/>
    </xf>
    <xf numFmtId="0" fontId="32" fillId="3" borderId="160" xfId="0" applyFont="1" applyFill="1" applyBorder="1" applyAlignment="1">
      <alignment horizontal="center"/>
    </xf>
    <xf numFmtId="0" fontId="32" fillId="3" borderId="158" xfId="0" applyFont="1" applyFill="1" applyBorder="1" applyAlignment="1">
      <alignment horizontal="center"/>
    </xf>
    <xf numFmtId="0" fontId="32" fillId="3" borderId="171" xfId="0" applyFont="1" applyFill="1" applyBorder="1" applyAlignment="1">
      <alignment horizontal="center"/>
    </xf>
    <xf numFmtId="0" fontId="31" fillId="0" borderId="172" xfId="0" applyFont="1" applyFill="1" applyBorder="1" applyAlignment="1">
      <alignment horizontal="center"/>
    </xf>
    <xf numFmtId="0" fontId="31" fillId="0" borderId="173" xfId="0" applyFont="1" applyFill="1" applyBorder="1" applyAlignment="1">
      <alignment horizontal="center"/>
    </xf>
    <xf numFmtId="0" fontId="32" fillId="3" borderId="174" xfId="0" applyFont="1" applyFill="1" applyBorder="1" applyAlignment="1">
      <alignment horizontal="center"/>
    </xf>
    <xf numFmtId="0" fontId="10" fillId="0" borderId="165" xfId="0" applyFont="1" applyFill="1" applyBorder="1"/>
    <xf numFmtId="0" fontId="32" fillId="5" borderId="48" xfId="0" applyFont="1" applyFill="1" applyBorder="1" applyAlignment="1">
      <alignment horizontal="center" vertical="center"/>
    </xf>
    <xf numFmtId="2" fontId="32" fillId="3" borderId="174" xfId="0" applyNumberFormat="1" applyFont="1" applyFill="1" applyBorder="1" applyAlignment="1">
      <alignment horizontal="center"/>
    </xf>
    <xf numFmtId="0" fontId="10" fillId="0" borderId="6" xfId="0" applyFont="1" applyFill="1" applyBorder="1"/>
    <xf numFmtId="0" fontId="32" fillId="0" borderId="82" xfId="0" applyFont="1" applyFill="1" applyBorder="1" applyAlignment="1">
      <alignment horizontal="center"/>
    </xf>
    <xf numFmtId="0" fontId="10" fillId="0" borderId="134" xfId="0" applyFont="1" applyFill="1" applyBorder="1"/>
    <xf numFmtId="0" fontId="32" fillId="0" borderId="85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166" fontId="3" fillId="0" borderId="9" xfId="0" applyNumberFormat="1" applyFont="1" applyBorder="1" applyAlignment="1">
      <alignment horizontal="center"/>
    </xf>
    <xf numFmtId="0" fontId="10" fillId="0" borderId="123" xfId="0" applyFont="1" applyFill="1" applyBorder="1" applyAlignment="1">
      <alignment horizontal="center"/>
    </xf>
    <xf numFmtId="167" fontId="10" fillId="0" borderId="124" xfId="0" applyNumberFormat="1" applyFont="1" applyFill="1" applyBorder="1"/>
    <xf numFmtId="0" fontId="32" fillId="3" borderId="159" xfId="0" applyFont="1" applyFill="1" applyBorder="1" applyAlignment="1">
      <alignment horizontal="center"/>
    </xf>
    <xf numFmtId="0" fontId="32" fillId="0" borderId="33" xfId="0" applyFont="1" applyFill="1" applyBorder="1" applyAlignment="1"/>
    <xf numFmtId="0" fontId="0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/>
    <xf numFmtId="9" fontId="6" fillId="0" borderId="0" xfId="0" applyNumberFormat="1" applyFont="1" applyAlignment="1">
      <alignment vertical="center"/>
    </xf>
    <xf numFmtId="182" fontId="0" fillId="0" borderId="0" xfId="0" applyNumberFormat="1" applyFont="1" applyAlignment="1"/>
    <xf numFmtId="0" fontId="3" fillId="0" borderId="55" xfId="0" applyFont="1" applyBorder="1" applyAlignment="1">
      <alignment horizontal="center" vertical="center"/>
    </xf>
    <xf numFmtId="4" fontId="3" fillId="0" borderId="55" xfId="0" applyNumberFormat="1" applyFont="1" applyBorder="1" applyAlignment="1">
      <alignment horizontal="right" vertical="center"/>
    </xf>
    <xf numFmtId="0" fontId="3" fillId="0" borderId="107" xfId="0" applyFont="1" applyBorder="1" applyAlignment="1">
      <alignment horizontal="center" vertical="center"/>
    </xf>
    <xf numFmtId="4" fontId="3" fillId="0" borderId="107" xfId="0" applyNumberFormat="1" applyFont="1" applyBorder="1" applyAlignment="1">
      <alignment vertical="center"/>
    </xf>
    <xf numFmtId="4" fontId="1" fillId="0" borderId="88" xfId="0" applyNumberFormat="1" applyFont="1" applyBorder="1"/>
    <xf numFmtId="4" fontId="3" fillId="0" borderId="9" xfId="0" applyNumberFormat="1" applyFont="1" applyBorder="1"/>
    <xf numFmtId="0" fontId="4" fillId="0" borderId="167" xfId="0" applyFont="1" applyBorder="1" applyAlignment="1">
      <alignment horizontal="center"/>
    </xf>
    <xf numFmtId="0" fontId="4" fillId="0" borderId="130" xfId="0" applyFont="1" applyBorder="1" applyAlignment="1">
      <alignment horizontal="center"/>
    </xf>
    <xf numFmtId="0" fontId="3" fillId="0" borderId="84" xfId="0" applyFont="1" applyBorder="1" applyAlignment="1">
      <alignment horizontal="center"/>
    </xf>
    <xf numFmtId="4" fontId="3" fillId="0" borderId="84" xfId="0" applyNumberFormat="1" applyFont="1" applyBorder="1" applyAlignment="1"/>
    <xf numFmtId="0" fontId="3" fillId="0" borderId="117" xfId="0" applyFont="1" applyBorder="1" applyAlignment="1">
      <alignment horizontal="center" vertical="center"/>
    </xf>
    <xf numFmtId="2" fontId="32" fillId="0" borderId="131" xfId="0" applyNumberFormat="1" applyFont="1" applyBorder="1" applyAlignment="1">
      <alignment horizontal="center" vertical="center"/>
    </xf>
    <xf numFmtId="2" fontId="10" fillId="0" borderId="119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center" wrapText="1"/>
    </xf>
    <xf numFmtId="0" fontId="6" fillId="0" borderId="10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0" fontId="6" fillId="0" borderId="107" xfId="0" applyFont="1" applyFill="1" applyBorder="1" applyAlignment="1">
      <alignment vertical="center" wrapText="1"/>
    </xf>
    <xf numFmtId="8" fontId="0" fillId="0" borderId="0" xfId="0" applyNumberFormat="1" applyFont="1" applyAlignment="1"/>
    <xf numFmtId="9" fontId="0" fillId="0" borderId="0" xfId="5" applyFont="1" applyAlignment="1"/>
    <xf numFmtId="0" fontId="1" fillId="0" borderId="140" xfId="0" applyFont="1" applyBorder="1" applyAlignment="1">
      <alignment horizontal="center"/>
    </xf>
    <xf numFmtId="0" fontId="4" fillId="0" borderId="183" xfId="0" applyFont="1" applyBorder="1" applyAlignment="1">
      <alignment horizontal="center"/>
    </xf>
    <xf numFmtId="4" fontId="1" fillId="0" borderId="87" xfId="0" applyNumberFormat="1" applyFont="1" applyBorder="1"/>
    <xf numFmtId="4" fontId="1" fillId="0" borderId="82" xfId="0" applyNumberFormat="1" applyFont="1" applyBorder="1" applyAlignment="1">
      <alignment vertical="center"/>
    </xf>
    <xf numFmtId="0" fontId="24" fillId="4" borderId="81" xfId="1" applyFont="1" applyFill="1" applyBorder="1" applyAlignment="1">
      <alignment horizontal="center" vertical="center"/>
    </xf>
    <xf numFmtId="0" fontId="24" fillId="4" borderId="89" xfId="1" applyFont="1" applyFill="1" applyBorder="1" applyAlignment="1">
      <alignment horizontal="center" vertical="center"/>
    </xf>
    <xf numFmtId="2" fontId="24" fillId="4" borderId="114" xfId="1" applyNumberFormat="1" applyFont="1" applyFill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vertical="center"/>
    </xf>
    <xf numFmtId="182" fontId="6" fillId="0" borderId="0" xfId="0" applyNumberFormat="1" applyFont="1" applyAlignment="1">
      <alignment vertical="center"/>
    </xf>
    <xf numFmtId="3" fontId="35" fillId="0" borderId="33" xfId="0" applyNumberFormat="1" applyFont="1" applyBorder="1" applyAlignment="1">
      <alignment horizontal="right" wrapText="1"/>
    </xf>
    <xf numFmtId="185" fontId="0" fillId="0" borderId="0" xfId="5" applyNumberFormat="1" applyFont="1" applyAlignment="1"/>
    <xf numFmtId="1" fontId="3" fillId="0" borderId="9" xfId="4" applyNumberFormat="1" applyFont="1" applyBorder="1" applyAlignment="1"/>
    <xf numFmtId="1" fontId="2" fillId="0" borderId="9" xfId="4" applyNumberFormat="1" applyFont="1" applyBorder="1" applyAlignment="1"/>
    <xf numFmtId="9" fontId="0" fillId="0" borderId="0" xfId="0" applyNumberFormat="1" applyFont="1" applyAlignment="1"/>
    <xf numFmtId="9" fontId="0" fillId="0" borderId="0" xfId="5" applyNumberFormat="1" applyFont="1" applyAlignment="1"/>
    <xf numFmtId="3" fontId="13" fillId="0" borderId="16" xfId="0" applyNumberFormat="1" applyFont="1" applyBorder="1" applyAlignment="1">
      <alignment horizontal="center" vertical="center"/>
    </xf>
    <xf numFmtId="3" fontId="13" fillId="0" borderId="19" xfId="0" applyNumberFormat="1" applyFont="1" applyBorder="1" applyAlignment="1">
      <alignment horizontal="center" vertical="center"/>
    </xf>
    <xf numFmtId="0" fontId="0" fillId="0" borderId="0" xfId="0" applyFont="1" applyAlignment="1"/>
    <xf numFmtId="182" fontId="0" fillId="0" borderId="0" xfId="0" applyNumberFormat="1" applyFont="1" applyFill="1" applyAlignment="1"/>
    <xf numFmtId="166" fontId="10" fillId="0" borderId="122" xfId="0" applyNumberFormat="1" applyFont="1" applyBorder="1" applyAlignment="1">
      <alignment horizontal="center"/>
    </xf>
    <xf numFmtId="0" fontId="32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/>
    <xf numFmtId="3" fontId="13" fillId="0" borderId="42" xfId="0" applyNumberFormat="1" applyFont="1" applyBorder="1" applyAlignment="1">
      <alignment horizontal="center" vertical="center"/>
    </xf>
    <xf numFmtId="0" fontId="6" fillId="0" borderId="0" xfId="0" applyFont="1" applyFill="1"/>
    <xf numFmtId="0" fontId="13" fillId="0" borderId="13" xfId="0" applyFont="1" applyBorder="1" applyAlignment="1">
      <alignment horizontal="center" vertical="center"/>
    </xf>
    <xf numFmtId="3" fontId="13" fillId="0" borderId="43" xfId="0" applyNumberFormat="1" applyFont="1" applyBorder="1" applyAlignment="1">
      <alignment horizontal="center" vertical="center"/>
    </xf>
    <xf numFmtId="0" fontId="6" fillId="0" borderId="0" xfId="0" applyFont="1" applyFill="1" applyAlignment="1"/>
    <xf numFmtId="3" fontId="13" fillId="0" borderId="45" xfId="0" applyNumberFormat="1" applyFont="1" applyBorder="1" applyAlignment="1">
      <alignment horizontal="center" vertical="center"/>
    </xf>
    <xf numFmtId="0" fontId="10" fillId="4" borderId="9" xfId="0" applyFont="1" applyFill="1" applyBorder="1" applyAlignment="1">
      <alignment horizontal="center"/>
    </xf>
    <xf numFmtId="167" fontId="10" fillId="4" borderId="9" xfId="0" applyNumberFormat="1" applyFont="1" applyFill="1" applyBorder="1" applyAlignment="1">
      <alignment horizontal="center"/>
    </xf>
    <xf numFmtId="0" fontId="24" fillId="4" borderId="114" xfId="1" applyFont="1" applyFill="1" applyBorder="1" applyAlignment="1">
      <alignment horizontal="center" vertical="center"/>
    </xf>
    <xf numFmtId="0" fontId="24" fillId="0" borderId="81" xfId="1" applyFont="1" applyFill="1" applyBorder="1" applyAlignment="1">
      <alignment horizontal="center" vertical="center"/>
    </xf>
    <xf numFmtId="0" fontId="10" fillId="0" borderId="111" xfId="0" applyFont="1" applyBorder="1"/>
    <xf numFmtId="0" fontId="10" fillId="0" borderId="114" xfId="0" applyFont="1" applyBorder="1"/>
    <xf numFmtId="0" fontId="10" fillId="0" borderId="116" xfId="0" applyFont="1" applyBorder="1"/>
    <xf numFmtId="0" fontId="31" fillId="0" borderId="104" xfId="0" applyFont="1" applyBorder="1" applyAlignment="1">
      <alignment wrapText="1"/>
    </xf>
    <xf numFmtId="0" fontId="31" fillId="0" borderId="106" xfId="0" applyFont="1" applyBorder="1" applyAlignment="1">
      <alignment horizontal="center" wrapText="1"/>
    </xf>
    <xf numFmtId="0" fontId="30" fillId="0" borderId="156" xfId="0" applyFont="1" applyBorder="1" applyAlignment="1">
      <alignment horizontal="center" vertical="center" wrapText="1"/>
    </xf>
    <xf numFmtId="0" fontId="10" fillId="0" borderId="33" xfId="0" applyFont="1" applyBorder="1" applyAlignment="1">
      <alignment wrapText="1"/>
    </xf>
    <xf numFmtId="0" fontId="31" fillId="7" borderId="107" xfId="0" applyFont="1" applyFill="1" applyBorder="1" applyAlignment="1">
      <alignment wrapText="1"/>
    </xf>
    <xf numFmtId="0" fontId="31" fillId="7" borderId="107" xfId="0" applyFont="1" applyFill="1" applyBorder="1" applyAlignment="1">
      <alignment horizontal="center" wrapText="1"/>
    </xf>
    <xf numFmtId="0" fontId="32" fillId="0" borderId="107" xfId="0" applyFont="1" applyBorder="1" applyAlignment="1">
      <alignment wrapText="1"/>
    </xf>
    <xf numFmtId="9" fontId="32" fillId="0" borderId="107" xfId="0" applyNumberFormat="1" applyFont="1" applyBorder="1" applyAlignment="1">
      <alignment horizontal="center" wrapText="1"/>
    </xf>
    <xf numFmtId="3" fontId="32" fillId="0" borderId="107" xfId="0" applyNumberFormat="1" applyFont="1" applyBorder="1" applyAlignment="1">
      <alignment horizontal="right" wrapText="1"/>
    </xf>
    <xf numFmtId="0" fontId="32" fillId="0" borderId="120" xfId="0" applyFont="1" applyBorder="1" applyAlignment="1">
      <alignment wrapText="1"/>
    </xf>
    <xf numFmtId="9" fontId="32" fillId="0" borderId="120" xfId="0" applyNumberFormat="1" applyFont="1" applyBorder="1" applyAlignment="1">
      <alignment horizontal="center" wrapText="1"/>
    </xf>
    <xf numFmtId="3" fontId="32" fillId="0" borderId="120" xfId="0" applyNumberFormat="1" applyFont="1" applyBorder="1" applyAlignment="1">
      <alignment horizontal="right" wrapText="1"/>
    </xf>
    <xf numFmtId="3" fontId="32" fillId="0" borderId="104" xfId="0" applyNumberFormat="1" applyFont="1" applyBorder="1" applyAlignment="1">
      <alignment horizontal="right" wrapText="1"/>
    </xf>
    <xf numFmtId="3" fontId="31" fillId="0" borderId="106" xfId="0" applyNumberFormat="1" applyFont="1" applyBorder="1" applyAlignment="1">
      <alignment horizontal="right" wrapText="1"/>
    </xf>
    <xf numFmtId="9" fontId="32" fillId="0" borderId="120" xfId="0" applyNumberFormat="1" applyFont="1" applyFill="1" applyBorder="1" applyAlignment="1">
      <alignment horizontal="center" wrapText="1"/>
    </xf>
    <xf numFmtId="4" fontId="32" fillId="0" borderId="120" xfId="0" applyNumberFormat="1" applyFont="1" applyFill="1" applyBorder="1" applyAlignment="1">
      <alignment horizontal="right" wrapText="1"/>
    </xf>
    <xf numFmtId="4" fontId="31" fillId="0" borderId="106" xfId="0" applyNumberFormat="1" applyFont="1" applyBorder="1" applyAlignment="1">
      <alignment horizontal="right" wrapText="1"/>
    </xf>
    <xf numFmtId="3" fontId="32" fillId="0" borderId="105" xfId="0" applyNumberFormat="1" applyFont="1" applyBorder="1" applyAlignment="1">
      <alignment horizontal="right" wrapText="1"/>
    </xf>
    <xf numFmtId="3" fontId="31" fillId="0" borderId="91" xfId="0" applyNumberFormat="1" applyFont="1" applyBorder="1" applyAlignment="1">
      <alignment horizontal="right" wrapText="1"/>
    </xf>
    <xf numFmtId="0" fontId="31" fillId="0" borderId="33" xfId="0" applyFont="1" applyBorder="1" applyAlignment="1">
      <alignment wrapText="1"/>
    </xf>
    <xf numFmtId="0" fontId="32" fillId="7" borderId="107" xfId="0" applyFont="1" applyFill="1" applyBorder="1" applyAlignment="1">
      <alignment horizontal="center" wrapText="1"/>
    </xf>
    <xf numFmtId="0" fontId="32" fillId="0" borderId="33" xfId="0" applyFont="1" applyBorder="1" applyAlignment="1">
      <alignment horizontal="center" wrapText="1"/>
    </xf>
    <xf numFmtId="3" fontId="32" fillId="0" borderId="120" xfId="0" applyNumberFormat="1" applyFont="1" applyFill="1" applyBorder="1" applyAlignment="1">
      <alignment horizontal="right" wrapText="1"/>
    </xf>
    <xf numFmtId="182" fontId="10" fillId="0" borderId="33" xfId="0" applyNumberFormat="1" applyFont="1" applyBorder="1" applyAlignment="1">
      <alignment wrapText="1"/>
    </xf>
    <xf numFmtId="8" fontId="32" fillId="0" borderId="33" xfId="0" applyNumberFormat="1" applyFont="1" applyBorder="1" applyAlignment="1">
      <alignment horizontal="right" wrapText="1"/>
    </xf>
    <xf numFmtId="9" fontId="32" fillId="0" borderId="33" xfId="0" applyNumberFormat="1" applyFont="1" applyBorder="1" applyAlignment="1">
      <alignment horizontal="center" wrapText="1"/>
    </xf>
    <xf numFmtId="0" fontId="32" fillId="0" borderId="33" xfId="0" applyFont="1" applyBorder="1" applyAlignment="1">
      <alignment wrapText="1"/>
    </xf>
    <xf numFmtId="6" fontId="32" fillId="0" borderId="33" xfId="0" applyNumberFormat="1" applyFont="1" applyBorder="1" applyAlignment="1">
      <alignment horizontal="center" wrapText="1"/>
    </xf>
    <xf numFmtId="0" fontId="31" fillId="0" borderId="107" xfId="0" applyFont="1" applyBorder="1" applyAlignment="1">
      <alignment horizontal="center" wrapText="1"/>
    </xf>
    <xf numFmtId="0" fontId="32" fillId="0" borderId="33" xfId="0" applyFont="1" applyBorder="1" applyAlignment="1">
      <alignment horizontal="right" wrapText="1"/>
    </xf>
    <xf numFmtId="6" fontId="32" fillId="0" borderId="152" xfId="0" applyNumberFormat="1" applyFont="1" applyBorder="1" applyAlignment="1">
      <alignment horizontal="right" wrapText="1"/>
    </xf>
    <xf numFmtId="10" fontId="32" fillId="0" borderId="33" xfId="0" applyNumberFormat="1" applyFont="1" applyBorder="1" applyAlignment="1">
      <alignment horizontal="center" wrapText="1"/>
    </xf>
    <xf numFmtId="9" fontId="31" fillId="0" borderId="107" xfId="5" applyNumberFormat="1" applyFont="1" applyBorder="1" applyAlignment="1">
      <alignment horizontal="center" wrapText="1"/>
    </xf>
    <xf numFmtId="9" fontId="31" fillId="0" borderId="80" xfId="0" applyNumberFormat="1" applyFont="1" applyBorder="1" applyAlignment="1">
      <alignment horizontal="center" wrapText="1"/>
    </xf>
    <xf numFmtId="9" fontId="31" fillId="0" borderId="33" xfId="0" applyNumberFormat="1" applyFont="1" applyBorder="1" applyAlignment="1">
      <alignment horizontal="center" wrapText="1"/>
    </xf>
    <xf numFmtId="0" fontId="10" fillId="0" borderId="33" xfId="0" applyFont="1" applyBorder="1" applyAlignment="1">
      <alignment horizontal="right" wrapText="1"/>
    </xf>
    <xf numFmtId="0" fontId="10" fillId="0" borderId="33" xfId="0" applyFont="1" applyBorder="1" applyAlignment="1">
      <alignment horizontal="center" wrapText="1"/>
    </xf>
    <xf numFmtId="0" fontId="32" fillId="0" borderId="92" xfId="0" applyFont="1" applyBorder="1" applyAlignment="1">
      <alignment horizontal="right" wrapText="1"/>
    </xf>
    <xf numFmtId="9" fontId="32" fillId="0" borderId="93" xfId="0" applyNumberFormat="1" applyFont="1" applyBorder="1" applyAlignment="1">
      <alignment horizontal="center" wrapText="1"/>
    </xf>
    <xf numFmtId="182" fontId="10" fillId="0" borderId="80" xfId="4" applyNumberFormat="1" applyFont="1" applyBorder="1" applyAlignment="1">
      <alignment horizontal="right" wrapText="1"/>
    </xf>
    <xf numFmtId="183" fontId="10" fillId="0" borderId="80" xfId="4" applyNumberFormat="1" applyFont="1" applyBorder="1" applyAlignment="1">
      <alignment horizontal="right" wrapText="1"/>
    </xf>
    <xf numFmtId="8" fontId="10" fillId="0" borderId="80" xfId="0" applyNumberFormat="1" applyFont="1" applyBorder="1" applyAlignment="1"/>
    <xf numFmtId="0" fontId="0" fillId="0" borderId="0" xfId="0" applyFont="1" applyAlignment="1"/>
    <xf numFmtId="184" fontId="0" fillId="0" borderId="0" xfId="5" applyNumberFormat="1" applyFont="1" applyAlignment="1"/>
    <xf numFmtId="186" fontId="17" fillId="0" borderId="82" xfId="4" applyNumberFormat="1" applyFont="1" applyBorder="1" applyAlignment="1">
      <alignment horizontal="right" vertical="center"/>
    </xf>
    <xf numFmtId="186" fontId="8" fillId="4" borderId="144" xfId="4" applyNumberFormat="1" applyFont="1" applyFill="1" applyBorder="1" applyAlignment="1">
      <alignment vertical="center"/>
    </xf>
    <xf numFmtId="186" fontId="8" fillId="0" borderId="74" xfId="4" applyNumberFormat="1" applyFont="1" applyBorder="1" applyAlignment="1">
      <alignment vertical="center"/>
    </xf>
    <xf numFmtId="186" fontId="8" fillId="0" borderId="80" xfId="4" applyNumberFormat="1" applyFont="1" applyBorder="1" applyAlignment="1">
      <alignment vertical="center"/>
    </xf>
    <xf numFmtId="186" fontId="6" fillId="4" borderId="9" xfId="4" applyNumberFormat="1" applyFont="1" applyFill="1" applyBorder="1" applyAlignment="1">
      <alignment horizontal="right" vertical="center"/>
    </xf>
    <xf numFmtId="186" fontId="10" fillId="0" borderId="84" xfId="4" applyNumberFormat="1" applyFont="1" applyBorder="1" applyAlignment="1">
      <alignment horizontal="right"/>
    </xf>
    <xf numFmtId="186" fontId="8" fillId="4" borderId="96" xfId="4" applyNumberFormat="1" applyFont="1" applyFill="1" applyBorder="1" applyAlignment="1">
      <alignment vertical="center"/>
    </xf>
    <xf numFmtId="186" fontId="6" fillId="0" borderId="9" xfId="4" applyNumberFormat="1" applyFont="1" applyFill="1" applyBorder="1" applyAlignment="1">
      <alignment horizontal="right" vertical="center"/>
    </xf>
    <xf numFmtId="186" fontId="6" fillId="4" borderId="55" xfId="4" applyNumberFormat="1" applyFont="1" applyFill="1" applyBorder="1" applyAlignment="1">
      <alignment horizontal="right" vertical="center"/>
    </xf>
    <xf numFmtId="186" fontId="6" fillId="4" borderId="107" xfId="4" applyNumberFormat="1" applyFont="1" applyFill="1" applyBorder="1" applyAlignment="1">
      <alignment horizontal="right" vertical="center"/>
    </xf>
    <xf numFmtId="186" fontId="8" fillId="4" borderId="169" xfId="4" applyNumberFormat="1" applyFont="1" applyFill="1" applyBorder="1" applyAlignment="1">
      <alignment vertical="center"/>
    </xf>
    <xf numFmtId="186" fontId="17" fillId="0" borderId="115" xfId="0" applyNumberFormat="1" applyFont="1" applyBorder="1" applyAlignment="1">
      <alignment horizontal="right" vertical="center"/>
    </xf>
    <xf numFmtId="186" fontId="8" fillId="4" borderId="88" xfId="4" applyNumberFormat="1" applyFont="1" applyFill="1" applyBorder="1" applyAlignment="1">
      <alignment horizontal="right" vertical="center"/>
    </xf>
    <xf numFmtId="186" fontId="6" fillId="0" borderId="9" xfId="4" applyNumberFormat="1" applyFont="1" applyBorder="1" applyAlignment="1">
      <alignment horizontal="right" vertical="center"/>
    </xf>
    <xf numFmtId="186" fontId="6" fillId="0" borderId="55" xfId="4" applyNumberFormat="1" applyFont="1" applyBorder="1" applyAlignment="1">
      <alignment horizontal="right" vertical="center"/>
    </xf>
    <xf numFmtId="186" fontId="10" fillId="4" borderId="9" xfId="4" applyNumberFormat="1" applyFont="1" applyFill="1" applyBorder="1"/>
    <xf numFmtId="186" fontId="10" fillId="4" borderId="55" xfId="4" applyNumberFormat="1" applyFont="1" applyFill="1" applyBorder="1"/>
    <xf numFmtId="186" fontId="8" fillId="0" borderId="144" xfId="4" applyNumberFormat="1" applyFont="1" applyBorder="1" applyAlignment="1">
      <alignment vertical="center"/>
    </xf>
    <xf numFmtId="49" fontId="10" fillId="2" borderId="1" xfId="2" applyNumberFormat="1" applyFont="1" applyFill="1" applyBorder="1" applyAlignment="1">
      <alignment horizontal="center"/>
    </xf>
    <xf numFmtId="0" fontId="5" fillId="0" borderId="5" xfId="2" applyFont="1" applyBorder="1"/>
    <xf numFmtId="0" fontId="5" fillId="0" borderId="99" xfId="2" applyFont="1" applyBorder="1"/>
    <xf numFmtId="164" fontId="10" fillId="2" borderId="100" xfId="2" applyNumberFormat="1" applyFont="1" applyFill="1" applyBorder="1" applyAlignment="1">
      <alignment horizontal="center"/>
    </xf>
    <xf numFmtId="0" fontId="5" fillId="0" borderId="133" xfId="2" applyFont="1" applyBorder="1"/>
    <xf numFmtId="0" fontId="5" fillId="0" borderId="101" xfId="2" applyFont="1" applyBorder="1"/>
    <xf numFmtId="0" fontId="30" fillId="0" borderId="67" xfId="2" applyFont="1" applyBorder="1" applyAlignment="1">
      <alignment horizontal="center"/>
    </xf>
    <xf numFmtId="0" fontId="5" fillId="0" borderId="68" xfId="2" applyFont="1" applyBorder="1"/>
    <xf numFmtId="0" fontId="5" fillId="0" borderId="69" xfId="2" applyFont="1" applyBorder="1"/>
    <xf numFmtId="0" fontId="5" fillId="7" borderId="72" xfId="3" applyFont="1" applyFill="1" applyBorder="1" applyAlignment="1">
      <alignment horizontal="center" vertical="center" wrapText="1"/>
    </xf>
    <xf numFmtId="0" fontId="5" fillId="7" borderId="73" xfId="3" applyFont="1" applyFill="1" applyBorder="1" applyAlignment="1">
      <alignment horizontal="center" vertical="center" wrapText="1"/>
    </xf>
    <xf numFmtId="0" fontId="5" fillId="7" borderId="74" xfId="3" applyFont="1" applyFill="1" applyBorder="1" applyAlignment="1">
      <alignment horizontal="center" vertical="center" wrapText="1"/>
    </xf>
    <xf numFmtId="0" fontId="5" fillId="7" borderId="75" xfId="3" applyFont="1" applyFill="1" applyBorder="1" applyAlignment="1">
      <alignment horizontal="center" vertical="center" wrapText="1"/>
    </xf>
    <xf numFmtId="0" fontId="5" fillId="7" borderId="33" xfId="3" applyFont="1" applyFill="1" applyAlignment="1">
      <alignment horizontal="center" vertical="center" wrapText="1"/>
    </xf>
    <xf numFmtId="0" fontId="5" fillId="7" borderId="76" xfId="3" applyFont="1" applyFill="1" applyBorder="1" applyAlignment="1">
      <alignment horizontal="center" vertical="center" wrapText="1"/>
    </xf>
    <xf numFmtId="0" fontId="30" fillId="0" borderId="67" xfId="2" applyFont="1" applyBorder="1" applyAlignment="1">
      <alignment horizontal="center" vertical="center"/>
    </xf>
    <xf numFmtId="0" fontId="5" fillId="0" borderId="68" xfId="2" applyFont="1" applyBorder="1" applyAlignment="1">
      <alignment vertical="center"/>
    </xf>
    <xf numFmtId="0" fontId="5" fillId="0" borderId="69" xfId="2" applyFont="1" applyBorder="1" applyAlignment="1">
      <alignment vertical="center"/>
    </xf>
    <xf numFmtId="0" fontId="30" fillId="9" borderId="92" xfId="2" applyFont="1" applyFill="1" applyBorder="1" applyAlignment="1">
      <alignment horizontal="center" vertical="center" wrapText="1"/>
    </xf>
    <xf numFmtId="0" fontId="28" fillId="7" borderId="93" xfId="2" applyFont="1" applyFill="1" applyBorder="1"/>
    <xf numFmtId="0" fontId="28" fillId="7" borderId="91" xfId="2" applyFont="1" applyFill="1" applyBorder="1"/>
    <xf numFmtId="0" fontId="30" fillId="0" borderId="33" xfId="2" applyFont="1" applyBorder="1" applyAlignment="1">
      <alignment horizontal="center"/>
    </xf>
    <xf numFmtId="0" fontId="5" fillId="0" borderId="33" xfId="2" applyFont="1" applyBorder="1"/>
    <xf numFmtId="49" fontId="10" fillId="2" borderId="154" xfId="2" applyNumberFormat="1" applyFont="1" applyFill="1" applyBorder="1" applyAlignment="1">
      <alignment horizontal="center"/>
    </xf>
    <xf numFmtId="0" fontId="5" fillId="0" borderId="128" xfId="2" applyFont="1" applyBorder="1"/>
    <xf numFmtId="0" fontId="5" fillId="0" borderId="155" xfId="2" applyFont="1" applyBorder="1"/>
    <xf numFmtId="0" fontId="31" fillId="0" borderId="93" xfId="0" applyFont="1" applyBorder="1" applyAlignment="1">
      <alignment horizontal="left"/>
    </xf>
    <xf numFmtId="0" fontId="31" fillId="0" borderId="91" xfId="0" applyFont="1" applyBorder="1" applyAlignment="1">
      <alignment horizontal="left"/>
    </xf>
    <xf numFmtId="0" fontId="30" fillId="0" borderId="93" xfId="0" applyFont="1" applyBorder="1" applyAlignment="1">
      <alignment horizontal="left"/>
    </xf>
    <xf numFmtId="0" fontId="30" fillId="0" borderId="91" xfId="0" applyFont="1" applyBorder="1" applyAlignment="1">
      <alignment horizontal="left"/>
    </xf>
    <xf numFmtId="0" fontId="30" fillId="0" borderId="78" xfId="0" applyFont="1" applyBorder="1" applyAlignment="1">
      <alignment horizontal="left"/>
    </xf>
    <xf numFmtId="0" fontId="30" fillId="0" borderId="79" xfId="0" applyFont="1" applyBorder="1" applyAlignment="1">
      <alignment horizontal="left"/>
    </xf>
    <xf numFmtId="0" fontId="31" fillId="0" borderId="73" xfId="0" applyFont="1" applyBorder="1" applyAlignment="1">
      <alignment horizontal="left"/>
    </xf>
    <xf numFmtId="0" fontId="31" fillId="0" borderId="74" xfId="0" applyFont="1" applyBorder="1" applyAlignment="1">
      <alignment horizontal="left"/>
    </xf>
    <xf numFmtId="0" fontId="31" fillId="0" borderId="78" xfId="0" applyFont="1" applyBorder="1" applyAlignment="1">
      <alignment horizontal="left"/>
    </xf>
    <xf numFmtId="0" fontId="31" fillId="0" borderId="79" xfId="0" applyFont="1" applyBorder="1" applyAlignment="1">
      <alignment horizontal="left"/>
    </xf>
    <xf numFmtId="0" fontId="39" fillId="8" borderId="92" xfId="0" applyFont="1" applyFill="1" applyBorder="1" applyAlignment="1">
      <alignment horizontal="center" vertical="center"/>
    </xf>
    <xf numFmtId="0" fontId="40" fillId="7" borderId="93" xfId="0" applyFont="1" applyFill="1" applyBorder="1" applyAlignment="1">
      <alignment vertical="center"/>
    </xf>
    <xf numFmtId="0" fontId="40" fillId="7" borderId="91" xfId="0" applyFont="1" applyFill="1" applyBorder="1" applyAlignment="1">
      <alignment vertical="center"/>
    </xf>
    <xf numFmtId="0" fontId="31" fillId="0" borderId="75" xfId="0" applyFont="1" applyBorder="1" applyAlignment="1">
      <alignment horizontal="center" vertical="center"/>
    </xf>
    <xf numFmtId="0" fontId="5" fillId="0" borderId="33" xfId="0" applyFont="1" applyBorder="1" applyAlignment="1">
      <alignment vertical="center"/>
    </xf>
    <xf numFmtId="0" fontId="5" fillId="0" borderId="76" xfId="0" applyFont="1" applyBorder="1" applyAlignment="1">
      <alignment vertical="center"/>
    </xf>
    <xf numFmtId="0" fontId="10" fillId="0" borderId="64" xfId="0" applyFont="1" applyBorder="1" applyAlignment="1">
      <alignment horizontal="center" vertical="center" wrapText="1"/>
    </xf>
    <xf numFmtId="0" fontId="5" fillId="0" borderId="10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5" fillId="0" borderId="10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31" fillId="2" borderId="92" xfId="0" applyFont="1" applyFill="1" applyBorder="1" applyAlignment="1">
      <alignment horizontal="left" vertical="center"/>
    </xf>
    <xf numFmtId="0" fontId="31" fillId="2" borderId="93" xfId="0" applyFont="1" applyFill="1" applyBorder="1" applyAlignment="1">
      <alignment horizontal="left" vertical="center"/>
    </xf>
    <xf numFmtId="0" fontId="31" fillId="2" borderId="91" xfId="0" applyFont="1" applyFill="1" applyBorder="1" applyAlignment="1">
      <alignment horizontal="left" vertical="center"/>
    </xf>
    <xf numFmtId="0" fontId="13" fillId="9" borderId="92" xfId="0" applyFont="1" applyFill="1" applyBorder="1" applyAlignment="1">
      <alignment horizontal="center" vertical="center" wrapText="1"/>
    </xf>
    <xf numFmtId="0" fontId="38" fillId="7" borderId="93" xfId="0" applyFont="1" applyFill="1" applyBorder="1"/>
    <xf numFmtId="0" fontId="38" fillId="7" borderId="91" xfId="0" applyFont="1" applyFill="1" applyBorder="1"/>
    <xf numFmtId="0" fontId="30" fillId="4" borderId="75" xfId="0" applyFont="1" applyFill="1" applyBorder="1" applyAlignment="1">
      <alignment horizontal="center" vertical="center" wrapText="1"/>
    </xf>
    <xf numFmtId="0" fontId="5" fillId="0" borderId="33" xfId="0" applyFont="1" applyBorder="1"/>
    <xf numFmtId="0" fontId="5" fillId="0" borderId="76" xfId="0" applyFont="1" applyBorder="1"/>
    <xf numFmtId="0" fontId="32" fillId="0" borderId="64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0" fillId="0" borderId="73" xfId="0" applyFont="1" applyBorder="1" applyAlignment="1">
      <alignment horizontal="center"/>
    </xf>
    <xf numFmtId="0" fontId="5" fillId="0" borderId="74" xfId="0" applyFont="1" applyBorder="1"/>
    <xf numFmtId="0" fontId="5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2" fillId="0" borderId="154" xfId="0" applyFont="1" applyBorder="1" applyAlignment="1">
      <alignment horizontal="center" vertical="center" wrapText="1"/>
    </xf>
    <xf numFmtId="0" fontId="5" fillId="0" borderId="155" xfId="0" applyFont="1" applyBorder="1" applyAlignment="1">
      <alignment horizontal="center" vertical="center" wrapText="1"/>
    </xf>
    <xf numFmtId="0" fontId="32" fillId="0" borderId="176" xfId="0" applyFont="1" applyBorder="1" applyAlignment="1">
      <alignment horizontal="center" vertical="center" wrapText="1"/>
    </xf>
    <xf numFmtId="0" fontId="32" fillId="0" borderId="177" xfId="0" applyFont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10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32" fillId="0" borderId="99" xfId="0" applyFont="1" applyBorder="1" applyAlignment="1">
      <alignment horizontal="center" vertical="center" wrapText="1"/>
    </xf>
    <xf numFmtId="0" fontId="6" fillId="9" borderId="92" xfId="0" applyFont="1" applyFill="1" applyBorder="1" applyAlignment="1">
      <alignment horizontal="center" vertical="center" wrapText="1"/>
    </xf>
    <xf numFmtId="0" fontId="6" fillId="9" borderId="93" xfId="0" applyFont="1" applyFill="1" applyBorder="1" applyAlignment="1">
      <alignment horizontal="center" vertical="center" wrapText="1"/>
    </xf>
    <xf numFmtId="0" fontId="6" fillId="9" borderId="91" xfId="0" applyFont="1" applyFill="1" applyBorder="1" applyAlignment="1">
      <alignment horizontal="center" vertical="center" wrapText="1"/>
    </xf>
    <xf numFmtId="0" fontId="42" fillId="0" borderId="104" xfId="0" applyFont="1" applyBorder="1" applyAlignment="1">
      <alignment horizontal="center" vertical="center"/>
    </xf>
    <xf numFmtId="0" fontId="43" fillId="0" borderId="105" xfId="0" applyFont="1" applyBorder="1" applyAlignment="1">
      <alignment vertical="center"/>
    </xf>
    <xf numFmtId="0" fontId="43" fillId="0" borderId="106" xfId="0" applyFont="1" applyBorder="1" applyAlignment="1">
      <alignment vertical="center"/>
    </xf>
    <xf numFmtId="0" fontId="30" fillId="3" borderId="125" xfId="0" applyFont="1" applyFill="1" applyBorder="1" applyAlignment="1">
      <alignment horizontal="left"/>
    </xf>
    <xf numFmtId="0" fontId="30" fillId="3" borderId="93" xfId="0" applyFont="1" applyFill="1" applyBorder="1" applyAlignment="1">
      <alignment horizontal="left"/>
    </xf>
    <xf numFmtId="0" fontId="30" fillId="3" borderId="91" xfId="0" applyFont="1" applyFill="1" applyBorder="1" applyAlignment="1">
      <alignment horizontal="left"/>
    </xf>
    <xf numFmtId="0" fontId="14" fillId="7" borderId="27" xfId="0" applyFont="1" applyFill="1" applyBorder="1" applyAlignment="1">
      <alignment horizontal="center" vertical="center"/>
    </xf>
    <xf numFmtId="0" fontId="5" fillId="7" borderId="28" xfId="0" applyFont="1" applyFill="1" applyBorder="1"/>
    <xf numFmtId="0" fontId="5" fillId="7" borderId="68" xfId="0" applyFont="1" applyFill="1" applyBorder="1"/>
    <xf numFmtId="0" fontId="5" fillId="7" borderId="29" xfId="0" applyFont="1" applyFill="1" applyBorder="1"/>
    <xf numFmtId="0" fontId="14" fillId="7" borderId="30" xfId="0" applyFont="1" applyFill="1" applyBorder="1" applyAlignment="1">
      <alignment horizontal="center" vertical="center"/>
    </xf>
    <xf numFmtId="0" fontId="10" fillId="7" borderId="0" xfId="0" applyFont="1" applyFill="1" applyAlignment="1"/>
    <xf numFmtId="0" fontId="5" fillId="7" borderId="31" xfId="0" applyFont="1" applyFill="1" applyBorder="1"/>
    <xf numFmtId="0" fontId="14" fillId="0" borderId="38" xfId="0" applyFont="1" applyBorder="1" applyAlignment="1">
      <alignment horizontal="center" vertical="center"/>
    </xf>
    <xf numFmtId="0" fontId="5" fillId="0" borderId="37" xfId="0" applyFont="1" applyBorder="1"/>
    <xf numFmtId="0" fontId="14" fillId="7" borderId="72" xfId="0" applyFont="1" applyFill="1" applyBorder="1" applyAlignment="1">
      <alignment horizontal="center" vertical="center"/>
    </xf>
    <xf numFmtId="0" fontId="5" fillId="7" borderId="73" xfId="0" applyFont="1" applyFill="1" applyBorder="1"/>
    <xf numFmtId="0" fontId="5" fillId="7" borderId="74" xfId="0" applyFont="1" applyFill="1" applyBorder="1"/>
    <xf numFmtId="3" fontId="13" fillId="0" borderId="127" xfId="0" applyNumberFormat="1" applyFont="1" applyBorder="1" applyAlignment="1">
      <alignment horizontal="center" vertical="center"/>
    </xf>
    <xf numFmtId="0" fontId="5" fillId="0" borderId="96" xfId="0" applyFont="1" applyBorder="1"/>
    <xf numFmtId="0" fontId="14" fillId="7" borderId="32" xfId="0" applyFont="1" applyFill="1" applyBorder="1" applyAlignment="1">
      <alignment horizontal="center" vertical="center"/>
    </xf>
    <xf numFmtId="0" fontId="5" fillId="7" borderId="33" xfId="0" applyFont="1" applyFill="1" applyBorder="1"/>
    <xf numFmtId="0" fontId="5" fillId="7" borderId="34" xfId="0" applyFont="1" applyFill="1" applyBorder="1"/>
    <xf numFmtId="0" fontId="14" fillId="0" borderId="73" xfId="0" applyFont="1" applyBorder="1" applyAlignment="1">
      <alignment horizontal="center" vertical="center"/>
    </xf>
    <xf numFmtId="0" fontId="14" fillId="0" borderId="7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30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/>
    <xf numFmtId="0" fontId="5" fillId="0" borderId="34" xfId="0" applyFont="1" applyFill="1" applyBorder="1"/>
    <xf numFmtId="0" fontId="1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14" fillId="0" borderId="39" xfId="0" applyFont="1" applyBorder="1" applyAlignment="1">
      <alignment horizontal="center" vertical="center"/>
    </xf>
    <xf numFmtId="0" fontId="5" fillId="0" borderId="28" xfId="0" applyFont="1" applyBorder="1"/>
    <xf numFmtId="0" fontId="5" fillId="0" borderId="68" xfId="0" applyFont="1" applyBorder="1"/>
    <xf numFmtId="0" fontId="5" fillId="0" borderId="40" xfId="0" applyFont="1" applyBorder="1"/>
    <xf numFmtId="0" fontId="13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5" fillId="0" borderId="41" xfId="0" applyFont="1" applyBorder="1"/>
    <xf numFmtId="0" fontId="14" fillId="0" borderId="72" xfId="0" applyFont="1" applyBorder="1" applyAlignment="1">
      <alignment horizontal="center" vertical="center"/>
    </xf>
    <xf numFmtId="0" fontId="14" fillId="0" borderId="74" xfId="0" applyFont="1" applyBorder="1" applyAlignment="1">
      <alignment horizontal="center" vertical="center"/>
    </xf>
    <xf numFmtId="0" fontId="14" fillId="0" borderId="77" xfId="0" applyFont="1" applyBorder="1" applyAlignment="1">
      <alignment horizontal="center" vertical="center"/>
    </xf>
    <xf numFmtId="0" fontId="14" fillId="0" borderId="7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5" fillId="0" borderId="18" xfId="0" applyFont="1" applyBorder="1"/>
    <xf numFmtId="0" fontId="5" fillId="0" borderId="44" xfId="0" applyFont="1" applyBorder="1"/>
    <xf numFmtId="0" fontId="6" fillId="9" borderId="72" xfId="0" applyFont="1" applyFill="1" applyBorder="1" applyAlignment="1">
      <alignment horizontal="center" vertical="center" wrapText="1"/>
    </xf>
    <xf numFmtId="0" fontId="6" fillId="9" borderId="73" xfId="0" applyFont="1" applyFill="1" applyBorder="1" applyAlignment="1">
      <alignment horizontal="center" vertical="center" wrapText="1"/>
    </xf>
    <xf numFmtId="0" fontId="6" fillId="9" borderId="74" xfId="0" applyFont="1" applyFill="1" applyBorder="1" applyAlignment="1">
      <alignment horizontal="center" vertical="center" wrapText="1"/>
    </xf>
    <xf numFmtId="0" fontId="6" fillId="9" borderId="77" xfId="0" applyFont="1" applyFill="1" applyBorder="1" applyAlignment="1">
      <alignment horizontal="center" vertical="center" wrapText="1"/>
    </xf>
    <xf numFmtId="0" fontId="6" fillId="9" borderId="78" xfId="0" applyFont="1" applyFill="1" applyBorder="1" applyAlignment="1">
      <alignment horizontal="center" vertical="center" wrapText="1"/>
    </xf>
    <xf numFmtId="0" fontId="6" fillId="9" borderId="79" xfId="0" applyFont="1" applyFill="1" applyBorder="1" applyAlignment="1">
      <alignment horizontal="center" vertical="center" wrapText="1"/>
    </xf>
    <xf numFmtId="3" fontId="13" fillId="0" borderId="16" xfId="0" applyNumberFormat="1" applyFont="1" applyBorder="1" applyAlignment="1">
      <alignment horizontal="center" vertical="center"/>
    </xf>
    <xf numFmtId="0" fontId="5" fillId="0" borderId="52" xfId="0" applyFont="1" applyBorder="1"/>
    <xf numFmtId="3" fontId="13" fillId="0" borderId="19" xfId="0" applyNumberFormat="1" applyFont="1" applyBorder="1" applyAlignment="1">
      <alignment horizontal="center" vertical="center"/>
    </xf>
    <xf numFmtId="0" fontId="5" fillId="0" borderId="53" xfId="0" applyFont="1" applyBorder="1"/>
    <xf numFmtId="0" fontId="5" fillId="0" borderId="95" xfId="0" applyFont="1" applyBorder="1"/>
    <xf numFmtId="0" fontId="8" fillId="3" borderId="64" xfId="0" applyFont="1" applyFill="1" applyBorder="1" applyAlignment="1">
      <alignment vertical="center" wrapText="1"/>
    </xf>
    <xf numFmtId="0" fontId="5" fillId="0" borderId="61" xfId="0" applyFont="1" applyBorder="1"/>
    <xf numFmtId="0" fontId="5" fillId="0" borderId="102" xfId="0" applyFont="1" applyBorder="1"/>
    <xf numFmtId="0" fontId="8" fillId="4" borderId="142" xfId="0" applyFont="1" applyFill="1" applyBorder="1" applyAlignment="1">
      <alignment horizontal="center" vertical="center"/>
    </xf>
    <xf numFmtId="0" fontId="5" fillId="0" borderId="47" xfId="0" applyFont="1" applyBorder="1"/>
    <xf numFmtId="0" fontId="8" fillId="4" borderId="92" xfId="0" applyFont="1" applyFill="1" applyBorder="1" applyAlignment="1">
      <alignment horizontal="center" vertical="center"/>
    </xf>
    <xf numFmtId="0" fontId="5" fillId="0" borderId="93" xfId="0" applyFont="1" applyBorder="1"/>
    <xf numFmtId="0" fontId="5" fillId="0" borderId="97" xfId="0" applyFont="1" applyBorder="1"/>
    <xf numFmtId="0" fontId="8" fillId="3" borderId="1" xfId="0" applyFont="1" applyFill="1" applyBorder="1" applyAlignment="1">
      <alignment vertical="center" wrapText="1"/>
    </xf>
    <xf numFmtId="0" fontId="5" fillId="0" borderId="103" xfId="0" applyFont="1" applyBorder="1"/>
    <xf numFmtId="0" fontId="10" fillId="0" borderId="107" xfId="0" applyFont="1" applyBorder="1" applyAlignment="1">
      <alignment horizontal="center"/>
    </xf>
    <xf numFmtId="0" fontId="10" fillId="0" borderId="115" xfId="0" applyFont="1" applyBorder="1" applyAlignment="1">
      <alignment horizontal="center"/>
    </xf>
    <xf numFmtId="0" fontId="5" fillId="0" borderId="99" xfId="0" applyFont="1" applyBorder="1"/>
    <xf numFmtId="0" fontId="8" fillId="4" borderId="13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5" fillId="0" borderId="59" xfId="0" applyFont="1" applyBorder="1"/>
    <xf numFmtId="0" fontId="5" fillId="0" borderId="24" xfId="0" applyFont="1" applyBorder="1"/>
    <xf numFmtId="0" fontId="8" fillId="4" borderId="38" xfId="0" applyFont="1" applyFill="1" applyBorder="1" applyAlignment="1">
      <alignment horizontal="center" vertical="center"/>
    </xf>
    <xf numFmtId="0" fontId="5" fillId="0" borderId="36" xfId="0" applyFont="1" applyBorder="1"/>
    <xf numFmtId="0" fontId="5" fillId="0" borderId="166" xfId="0" applyFont="1" applyBorder="1"/>
    <xf numFmtId="0" fontId="8" fillId="0" borderId="92" xfId="0" applyFont="1" applyBorder="1" applyAlignment="1">
      <alignment horizontal="center" vertical="center"/>
    </xf>
    <xf numFmtId="0" fontId="8" fillId="0" borderId="93" xfId="0" applyFont="1" applyBorder="1" applyAlignment="1">
      <alignment horizontal="center" vertical="center"/>
    </xf>
    <xf numFmtId="0" fontId="8" fillId="0" borderId="91" xfId="0" applyFont="1" applyBorder="1" applyAlignment="1">
      <alignment horizontal="center" vertical="center"/>
    </xf>
    <xf numFmtId="14" fontId="10" fillId="0" borderId="117" xfId="0" applyNumberFormat="1" applyFont="1" applyBorder="1" applyAlignment="1">
      <alignment horizontal="center"/>
    </xf>
    <xf numFmtId="14" fontId="10" fillId="0" borderId="118" xfId="0" applyNumberFormat="1" applyFont="1" applyBorder="1" applyAlignment="1">
      <alignment horizontal="center"/>
    </xf>
    <xf numFmtId="0" fontId="8" fillId="4" borderId="77" xfId="0" applyFont="1" applyFill="1" applyBorder="1" applyAlignment="1">
      <alignment horizontal="center" vertical="center"/>
    </xf>
    <xf numFmtId="0" fontId="5" fillId="0" borderId="78" xfId="0" applyFont="1" applyBorder="1"/>
    <xf numFmtId="0" fontId="5" fillId="0" borderId="168" xfId="0" applyFont="1" applyBorder="1"/>
    <xf numFmtId="0" fontId="5" fillId="0" borderId="91" xfId="0" applyFont="1" applyBorder="1"/>
    <xf numFmtId="10" fontId="24" fillId="0" borderId="92" xfId="5" applyNumberFormat="1" applyFont="1" applyFill="1" applyBorder="1" applyAlignment="1">
      <alignment horizontal="center"/>
    </xf>
    <xf numFmtId="10" fontId="24" fillId="0" borderId="93" xfId="5" applyNumberFormat="1" applyFont="1" applyFill="1" applyBorder="1" applyAlignment="1">
      <alignment horizontal="center"/>
    </xf>
    <xf numFmtId="10" fontId="24" fillId="0" borderId="91" xfId="5" applyNumberFormat="1" applyFont="1" applyFill="1" applyBorder="1" applyAlignment="1">
      <alignment horizontal="center"/>
    </xf>
    <xf numFmtId="0" fontId="10" fillId="0" borderId="112" xfId="0" applyFont="1" applyBorder="1" applyAlignment="1">
      <alignment horizontal="center"/>
    </xf>
    <xf numFmtId="0" fontId="10" fillId="0" borderId="11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0" borderId="0" xfId="0" applyFont="1" applyAlignment="1"/>
    <xf numFmtId="0" fontId="5" fillId="0" borderId="31" xfId="0" applyFont="1" applyBorder="1"/>
    <xf numFmtId="0" fontId="8" fillId="3" borderId="1" xfId="0" applyFont="1" applyFill="1" applyBorder="1" applyAlignment="1">
      <alignment horizontal="left" vertical="center"/>
    </xf>
    <xf numFmtId="0" fontId="10" fillId="0" borderId="92" xfId="0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10" fillId="0" borderId="91" xfId="0" applyFont="1" applyBorder="1" applyAlignment="1">
      <alignment horizontal="center"/>
    </xf>
    <xf numFmtId="0" fontId="31" fillId="0" borderId="104" xfId="0" applyFont="1" applyBorder="1" applyAlignment="1">
      <alignment horizontal="right" wrapText="1"/>
    </xf>
    <xf numFmtId="0" fontId="31" fillId="0" borderId="105" xfId="0" applyFont="1" applyBorder="1" applyAlignment="1">
      <alignment horizontal="right" wrapText="1"/>
    </xf>
    <xf numFmtId="0" fontId="31" fillId="0" borderId="106" xfId="0" applyFont="1" applyBorder="1" applyAlignment="1">
      <alignment horizontal="right" wrapText="1"/>
    </xf>
    <xf numFmtId="0" fontId="31" fillId="7" borderId="123" xfId="0" applyFont="1" applyFill="1" applyBorder="1" applyAlignment="1">
      <alignment vertical="center" wrapText="1"/>
    </xf>
    <xf numFmtId="0" fontId="31" fillId="7" borderId="107" xfId="0" applyFont="1" applyFill="1" applyBorder="1" applyAlignment="1">
      <alignment vertical="center" wrapText="1"/>
    </xf>
    <xf numFmtId="0" fontId="32" fillId="0" borderId="33" xfId="0" applyFont="1" applyBorder="1" applyAlignment="1">
      <alignment horizontal="left" vertical="center" wrapText="1"/>
    </xf>
    <xf numFmtId="0" fontId="8" fillId="9" borderId="92" xfId="0" applyFont="1" applyFill="1" applyBorder="1" applyAlignment="1">
      <alignment horizontal="center" vertical="center" wrapText="1"/>
    </xf>
    <xf numFmtId="0" fontId="8" fillId="9" borderId="93" xfId="0" applyFont="1" applyFill="1" applyBorder="1" applyAlignment="1">
      <alignment horizontal="center" vertical="center" wrapText="1"/>
    </xf>
    <xf numFmtId="0" fontId="8" fillId="9" borderId="91" xfId="0" applyFont="1" applyFill="1" applyBorder="1" applyAlignment="1">
      <alignment horizontal="center" vertical="center" wrapText="1"/>
    </xf>
    <xf numFmtId="0" fontId="31" fillId="0" borderId="92" xfId="0" applyFont="1" applyBorder="1" applyAlignment="1">
      <alignment horizontal="center" wrapText="1"/>
    </xf>
    <xf numFmtId="0" fontId="31" fillId="0" borderId="93" xfId="0" applyFont="1" applyBorder="1" applyAlignment="1">
      <alignment horizontal="center" wrapText="1"/>
    </xf>
    <xf numFmtId="0" fontId="31" fillId="0" borderId="91" xfId="0" applyFont="1" applyBorder="1" applyAlignment="1">
      <alignment horizontal="center" wrapText="1"/>
    </xf>
    <xf numFmtId="0" fontId="30" fillId="0" borderId="105" xfId="0" applyFont="1" applyBorder="1" applyAlignment="1">
      <alignment horizontal="left" vertical="center" wrapText="1"/>
    </xf>
    <xf numFmtId="0" fontId="30" fillId="0" borderId="106" xfId="0" applyFont="1" applyBorder="1" applyAlignment="1">
      <alignment horizontal="left" vertical="center" wrapText="1"/>
    </xf>
    <xf numFmtId="0" fontId="31" fillId="0" borderId="33" xfId="0" applyFont="1" applyBorder="1" applyAlignment="1">
      <alignment wrapText="1"/>
    </xf>
    <xf numFmtId="0" fontId="31" fillId="0" borderId="92" xfId="0" applyFont="1" applyBorder="1" applyAlignment="1">
      <alignment wrapText="1"/>
    </xf>
    <xf numFmtId="0" fontId="31" fillId="0" borderId="93" xfId="0" applyFont="1" applyBorder="1" applyAlignment="1">
      <alignment wrapText="1"/>
    </xf>
    <xf numFmtId="0" fontId="31" fillId="0" borderId="104" xfId="0" applyFont="1" applyBorder="1" applyAlignment="1">
      <alignment wrapText="1"/>
    </xf>
    <xf numFmtId="0" fontId="31" fillId="0" borderId="105" xfId="0" applyFont="1" applyBorder="1" applyAlignment="1">
      <alignment wrapText="1"/>
    </xf>
    <xf numFmtId="0" fontId="31" fillId="0" borderId="106" xfId="0" applyFont="1" applyBorder="1" applyAlignment="1">
      <alignment wrapText="1"/>
    </xf>
    <xf numFmtId="49" fontId="0" fillId="0" borderId="107" xfId="0" applyNumberFormat="1" applyFont="1" applyBorder="1" applyAlignment="1">
      <alignment horizontal="center"/>
    </xf>
    <xf numFmtId="0" fontId="0" fillId="0" borderId="107" xfId="0" applyFont="1" applyBorder="1" applyAlignment="1">
      <alignment horizontal="center"/>
    </xf>
    <xf numFmtId="0" fontId="4" fillId="0" borderId="146" xfId="0" applyFont="1" applyBorder="1" applyAlignment="1">
      <alignment horizontal="center"/>
    </xf>
    <xf numFmtId="0" fontId="3" fillId="0" borderId="131" xfId="0" applyFont="1" applyBorder="1" applyAlignment="1">
      <alignment horizontal="left"/>
    </xf>
    <xf numFmtId="0" fontId="1" fillId="0" borderId="131" xfId="0" applyFont="1" applyBorder="1" applyAlignment="1">
      <alignment horizontal="center"/>
    </xf>
    <xf numFmtId="0" fontId="1" fillId="0" borderId="147" xfId="0" applyFont="1" applyBorder="1" applyAlignment="1">
      <alignment horizontal="center"/>
    </xf>
    <xf numFmtId="0" fontId="1" fillId="0" borderId="148" xfId="0" applyFont="1" applyBorder="1" applyAlignment="1">
      <alignment horizontal="right"/>
    </xf>
    <xf numFmtId="0" fontId="5" fillId="0" borderId="149" xfId="0" applyFont="1" applyBorder="1"/>
    <xf numFmtId="0" fontId="5" fillId="0" borderId="150" xfId="0" applyFont="1" applyBorder="1"/>
    <xf numFmtId="0" fontId="4" fillId="0" borderId="2" xfId="0" applyFont="1" applyBorder="1" applyAlignment="1">
      <alignment horizontal="right"/>
    </xf>
    <xf numFmtId="0" fontId="1" fillId="0" borderId="137" xfId="0" applyFont="1" applyBorder="1" applyAlignment="1">
      <alignment horizontal="right"/>
    </xf>
    <xf numFmtId="0" fontId="7" fillId="3" borderId="137" xfId="0" applyFont="1" applyFill="1" applyBorder="1" applyAlignment="1">
      <alignment horizontal="left"/>
    </xf>
    <xf numFmtId="0" fontId="5" fillId="0" borderId="138" xfId="0" applyFont="1" applyBorder="1"/>
    <xf numFmtId="0" fontId="1" fillId="0" borderId="131" xfId="0" applyFont="1" applyBorder="1" applyAlignment="1">
      <alignment horizontal="left"/>
    </xf>
    <xf numFmtId="0" fontId="1" fillId="0" borderId="143" xfId="0" applyFont="1" applyBorder="1" applyAlignment="1">
      <alignment horizontal="left"/>
    </xf>
    <xf numFmtId="0" fontId="5" fillId="0" borderId="62" xfId="0" applyFont="1" applyBorder="1"/>
    <xf numFmtId="0" fontId="4" fillId="3" borderId="137" xfId="0" applyFont="1" applyFill="1" applyBorder="1" applyAlignment="1">
      <alignment horizontal="left"/>
    </xf>
    <xf numFmtId="0" fontId="4" fillId="0" borderId="142" xfId="0" applyFont="1" applyBorder="1" applyAlignment="1">
      <alignment horizontal="center" vertical="center"/>
    </xf>
    <xf numFmtId="0" fontId="4" fillId="0" borderId="14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5" fillId="0" borderId="141" xfId="0" applyFont="1" applyBorder="1"/>
    <xf numFmtId="0" fontId="29" fillId="3" borderId="137" xfId="0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138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24" fillId="6" borderId="67" xfId="1" applyFill="1" applyBorder="1" applyAlignment="1">
      <alignment horizontal="center" vertical="center" wrapText="1"/>
    </xf>
    <xf numFmtId="0" fontId="24" fillId="0" borderId="139" xfId="1" applyBorder="1"/>
    <xf numFmtId="0" fontId="24" fillId="0" borderId="38" xfId="1" applyBorder="1"/>
    <xf numFmtId="0" fontId="24" fillId="0" borderId="136" xfId="1" applyBorder="1"/>
    <xf numFmtId="0" fontId="1" fillId="0" borderId="17" xfId="0" applyFont="1" applyBorder="1" applyAlignment="1">
      <alignment horizontal="center" vertical="center" wrapText="1"/>
    </xf>
    <xf numFmtId="0" fontId="5" fillId="0" borderId="98" xfId="0" applyFont="1" applyBorder="1"/>
    <xf numFmtId="0" fontId="4" fillId="0" borderId="1" xfId="0" applyFont="1" applyBorder="1" applyAlignment="1">
      <alignment horizontal="center"/>
    </xf>
    <xf numFmtId="0" fontId="4" fillId="3" borderId="181" xfId="0" applyFont="1" applyFill="1" applyBorder="1" applyAlignment="1">
      <alignment horizontal="left"/>
    </xf>
    <xf numFmtId="0" fontId="5" fillId="0" borderId="139" xfId="0" applyFont="1" applyBorder="1"/>
    <xf numFmtId="0" fontId="1" fillId="0" borderId="131" xfId="0" applyFont="1" applyBorder="1" applyAlignment="1">
      <alignment horizontal="right"/>
    </xf>
    <xf numFmtId="0" fontId="4" fillId="3" borderId="184" xfId="0" applyFont="1" applyFill="1" applyBorder="1" applyAlignment="1">
      <alignment horizontal="left"/>
    </xf>
    <xf numFmtId="0" fontId="5" fillId="0" borderId="136" xfId="0" applyFont="1" applyBorder="1"/>
    <xf numFmtId="0" fontId="3" fillId="0" borderId="131" xfId="0" applyFont="1" applyBorder="1" applyAlignment="1">
      <alignment horizontal="left" vertical="center" wrapText="1"/>
    </xf>
    <xf numFmtId="0" fontId="3" fillId="0" borderId="131" xfId="0" applyFont="1" applyBorder="1" applyAlignment="1">
      <alignment horizontal="left" wrapText="1"/>
    </xf>
    <xf numFmtId="0" fontId="3" fillId="0" borderId="143" xfId="0" applyFont="1" applyBorder="1" applyAlignment="1">
      <alignment horizontal="left"/>
    </xf>
    <xf numFmtId="0" fontId="21" fillId="4" borderId="114" xfId="0" applyFont="1" applyFill="1" applyBorder="1" applyAlignment="1"/>
    <xf numFmtId="0" fontId="5" fillId="0" borderId="107" xfId="0" applyFont="1" applyBorder="1"/>
    <xf numFmtId="0" fontId="3" fillId="0" borderId="142" xfId="0" applyFont="1" applyBorder="1" applyAlignment="1">
      <alignment horizontal="left"/>
    </xf>
    <xf numFmtId="0" fontId="4" fillId="0" borderId="182" xfId="0" applyFont="1" applyBorder="1" applyAlignment="1">
      <alignment horizontal="center"/>
    </xf>
    <xf numFmtId="0" fontId="5" fillId="0" borderId="162" xfId="0" applyFont="1" applyBorder="1"/>
    <xf numFmtId="0" fontId="5" fillId="0" borderId="163" xfId="0" applyFont="1" applyBorder="1"/>
    <xf numFmtId="0" fontId="6" fillId="3" borderId="178" xfId="0" applyFont="1" applyFill="1" applyBorder="1" applyAlignment="1">
      <alignment horizontal="center" vertical="center" wrapText="1"/>
    </xf>
    <xf numFmtId="0" fontId="5" fillId="0" borderId="179" xfId="0" applyFont="1" applyBorder="1"/>
    <xf numFmtId="0" fontId="5" fillId="0" borderId="180" xfId="0" applyFont="1" applyBorder="1"/>
    <xf numFmtId="14" fontId="0" fillId="0" borderId="107" xfId="0" applyNumberFormat="1" applyFont="1" applyBorder="1" applyAlignment="1">
      <alignment horizontal="center"/>
    </xf>
    <xf numFmtId="0" fontId="4" fillId="3" borderId="67" xfId="0" applyFont="1" applyFill="1" applyBorder="1" applyAlignment="1">
      <alignment horizontal="left"/>
    </xf>
    <xf numFmtId="0" fontId="5" fillId="0" borderId="69" xfId="0" applyFont="1" applyBorder="1"/>
    <xf numFmtId="0" fontId="4" fillId="0" borderId="63" xfId="0" applyFont="1" applyBorder="1" applyAlignment="1">
      <alignment horizontal="center"/>
    </xf>
    <xf numFmtId="0" fontId="3" fillId="0" borderId="58" xfId="0" applyFont="1" applyBorder="1" applyAlignment="1">
      <alignment horizontal="left"/>
    </xf>
    <xf numFmtId="0" fontId="1" fillId="0" borderId="58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58" xfId="0" applyFont="1" applyBorder="1" applyAlignment="1">
      <alignment horizontal="left"/>
    </xf>
    <xf numFmtId="0" fontId="1" fillId="0" borderId="60" xfId="0" applyFont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0" borderId="56" xfId="0" applyFont="1" applyBorder="1" applyAlignment="1">
      <alignment horizontal="center" vertical="center"/>
    </xf>
    <xf numFmtId="0" fontId="5" fillId="0" borderId="20" xfId="0" applyFont="1" applyBorder="1"/>
    <xf numFmtId="0" fontId="4" fillId="0" borderId="56" xfId="0" applyFont="1" applyBorder="1" applyAlignment="1">
      <alignment horizontal="center"/>
    </xf>
    <xf numFmtId="0" fontId="6" fillId="3" borderId="9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24" fillId="6" borderId="32" xfId="1" applyFill="1" applyBorder="1" applyAlignment="1">
      <alignment horizontal="center" vertical="center" wrapText="1"/>
    </xf>
    <xf numFmtId="0" fontId="24" fillId="0" borderId="34" xfId="1" applyBorder="1"/>
    <xf numFmtId="0" fontId="24" fillId="0" borderId="25" xfId="1" applyBorder="1"/>
    <xf numFmtId="0" fontId="5" fillId="0" borderId="12" xfId="0" applyFont="1" applyBorder="1"/>
    <xf numFmtId="0" fontId="1" fillId="0" borderId="66" xfId="0" applyFont="1" applyBorder="1" applyAlignment="1">
      <alignment horizontal="left"/>
    </xf>
    <xf numFmtId="174" fontId="3" fillId="0" borderId="0" xfId="0" applyNumberFormat="1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3" fillId="0" borderId="60" xfId="0" applyFont="1" applyBorder="1" applyAlignment="1">
      <alignment horizontal="left"/>
    </xf>
    <xf numFmtId="0" fontId="6" fillId="3" borderId="35" xfId="0" applyFont="1" applyFill="1" applyBorder="1" applyAlignment="1">
      <alignment horizontal="center" vertical="center" wrapText="1"/>
    </xf>
    <xf numFmtId="0" fontId="24" fillId="6" borderId="27" xfId="1" applyFill="1" applyBorder="1" applyAlignment="1">
      <alignment horizontal="center" vertical="center" wrapText="1"/>
    </xf>
    <xf numFmtId="0" fontId="24" fillId="0" borderId="29" xfId="1" applyBorder="1"/>
    <xf numFmtId="0" fontId="3" fillId="0" borderId="58" xfId="0" applyFont="1" applyBorder="1" applyAlignment="1">
      <alignment horizontal="left" vertical="center" wrapText="1"/>
    </xf>
    <xf numFmtId="0" fontId="2" fillId="0" borderId="0" xfId="0" applyFont="1" applyAlignment="1"/>
    <xf numFmtId="0" fontId="0" fillId="0" borderId="0" xfId="0" applyFont="1" applyAlignment="1"/>
    <xf numFmtId="0" fontId="3" fillId="0" borderId="58" xfId="0" applyFont="1" applyFill="1" applyBorder="1" applyAlignment="1">
      <alignment horizontal="left"/>
    </xf>
    <xf numFmtId="0" fontId="5" fillId="0" borderId="5" xfId="0" applyFont="1" applyFill="1" applyBorder="1"/>
    <xf numFmtId="0" fontId="5" fillId="0" borderId="6" xfId="0" applyFont="1" applyFill="1" applyBorder="1"/>
    <xf numFmtId="0" fontId="17" fillId="3" borderId="3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5" fillId="0" borderId="46" xfId="0" applyFont="1" applyBorder="1"/>
    <xf numFmtId="49" fontId="1" fillId="0" borderId="107" xfId="0" applyNumberFormat="1" applyFont="1" applyBorder="1" applyAlignment="1">
      <alignment horizontal="center"/>
    </xf>
    <xf numFmtId="0" fontId="1" fillId="0" borderId="107" xfId="0" applyFont="1" applyBorder="1" applyAlignment="1">
      <alignment horizontal="center"/>
    </xf>
    <xf numFmtId="14" fontId="1" fillId="0" borderId="107" xfId="0" applyNumberFormat="1" applyFont="1" applyBorder="1" applyAlignment="1">
      <alignment horizontal="center"/>
    </xf>
    <xf numFmtId="49" fontId="34" fillId="0" borderId="107" xfId="0" applyNumberFormat="1" applyFont="1" applyBorder="1" applyAlignment="1">
      <alignment horizontal="center"/>
    </xf>
    <xf numFmtId="0" fontId="34" fillId="0" borderId="107" xfId="0" applyFont="1" applyBorder="1" applyAlignment="1">
      <alignment horizontal="center"/>
    </xf>
    <xf numFmtId="14" fontId="34" fillId="0" borderId="107" xfId="0" applyNumberFormat="1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0" fontId="2" fillId="0" borderId="0" xfId="0" applyFont="1"/>
    <xf numFmtId="0" fontId="7" fillId="0" borderId="5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64" xfId="0" applyFont="1" applyBorder="1" applyAlignment="1">
      <alignment horizontal="left"/>
    </xf>
    <xf numFmtId="0" fontId="4" fillId="3" borderId="38" xfId="0" applyFont="1" applyFill="1" applyBorder="1" applyAlignment="1">
      <alignment horizontal="left"/>
    </xf>
    <xf numFmtId="0" fontId="5" fillId="0" borderId="7" xfId="0" applyFont="1" applyBorder="1"/>
    <xf numFmtId="0" fontId="5" fillId="0" borderId="25" xfId="0" applyFont="1" applyBorder="1"/>
    <xf numFmtId="0" fontId="3" fillId="0" borderId="66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4" fillId="0" borderId="63" xfId="0" applyFont="1" applyBorder="1" applyAlignment="1">
      <alignment horizontal="center" vertical="center"/>
    </xf>
    <xf numFmtId="180" fontId="1" fillId="0" borderId="17" xfId="0" applyNumberFormat="1" applyFont="1" applyBorder="1" applyAlignment="1">
      <alignment horizontal="center"/>
    </xf>
    <xf numFmtId="0" fontId="1" fillId="0" borderId="38" xfId="0" applyFont="1" applyBorder="1" applyAlignment="1">
      <alignment horizontal="right"/>
    </xf>
    <xf numFmtId="0" fontId="4" fillId="3" borderId="27" xfId="0" applyFont="1" applyFill="1" applyBorder="1" applyAlignment="1">
      <alignment horizontal="left"/>
    </xf>
    <xf numFmtId="0" fontId="5" fillId="0" borderId="29" xfId="0" applyFont="1" applyBorder="1"/>
    <xf numFmtId="0" fontId="3" fillId="0" borderId="132" xfId="0" applyFont="1" applyBorder="1" applyAlignment="1">
      <alignment horizontal="left"/>
    </xf>
    <xf numFmtId="0" fontId="5" fillId="0" borderId="133" xfId="0" applyFont="1" applyBorder="1"/>
    <xf numFmtId="0" fontId="5" fillId="0" borderId="134" xfId="0" applyFont="1" applyBorder="1"/>
    <xf numFmtId="0" fontId="3" fillId="0" borderId="143" xfId="0" applyFont="1" applyBorder="1" applyAlignment="1">
      <alignment horizontal="left" vertical="center" wrapText="1"/>
    </xf>
    <xf numFmtId="0" fontId="3" fillId="0" borderId="114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right"/>
    </xf>
    <xf numFmtId="0" fontId="4" fillId="0" borderId="175" xfId="0" applyFont="1" applyBorder="1" applyAlignment="1">
      <alignment horizontal="center"/>
    </xf>
    <xf numFmtId="0" fontId="5" fillId="0" borderId="128" xfId="0" applyFont="1" applyBorder="1"/>
    <xf numFmtId="0" fontId="5" fillId="0" borderId="129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8" xfId="0" applyFont="1" applyBorder="1" applyAlignment="1">
      <alignment horizontal="left" wrapText="1"/>
    </xf>
    <xf numFmtId="0" fontId="3" fillId="0" borderId="23" xfId="0" applyFont="1" applyBorder="1" applyAlignment="1"/>
    <xf numFmtId="0" fontId="3" fillId="0" borderId="0" xfId="0" applyFont="1" applyAlignment="1"/>
    <xf numFmtId="0" fontId="3" fillId="0" borderId="1" xfId="0" applyFont="1" applyBorder="1" applyAlignment="1"/>
    <xf numFmtId="0" fontId="23" fillId="4" borderId="47" xfId="0" applyFont="1" applyFill="1" applyBorder="1" applyAlignment="1"/>
    <xf numFmtId="0" fontId="4" fillId="0" borderId="30" xfId="0" applyFont="1" applyBorder="1" applyAlignment="1">
      <alignment horizontal="center"/>
    </xf>
    <xf numFmtId="0" fontId="21" fillId="4" borderId="47" xfId="0" applyFont="1" applyFill="1" applyBorder="1" applyAlignment="1"/>
    <xf numFmtId="0" fontId="2" fillId="0" borderId="1" xfId="0" applyFont="1" applyBorder="1" applyAlignme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49" fontId="0" fillId="0" borderId="161" xfId="0" applyNumberFormat="1" applyFont="1" applyBorder="1" applyAlignment="1">
      <alignment horizontal="center"/>
    </xf>
    <xf numFmtId="0" fontId="0" fillId="0" borderId="162" xfId="0" applyFont="1" applyBorder="1" applyAlignment="1">
      <alignment horizontal="center"/>
    </xf>
    <xf numFmtId="0" fontId="0" fillId="0" borderId="165" xfId="0" applyFont="1" applyBorder="1" applyAlignment="1">
      <alignment horizontal="center"/>
    </xf>
    <xf numFmtId="14" fontId="0" fillId="0" borderId="162" xfId="0" applyNumberFormat="1" applyFont="1" applyBorder="1" applyAlignment="1">
      <alignment horizontal="center"/>
    </xf>
    <xf numFmtId="14" fontId="0" fillId="0" borderId="165" xfId="0" applyNumberFormat="1" applyFont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1" fillId="0" borderId="116" xfId="0" applyFont="1" applyBorder="1" applyAlignment="1">
      <alignment horizontal="left"/>
    </xf>
    <xf numFmtId="0" fontId="5" fillId="0" borderId="117" xfId="0" applyFont="1" applyBorder="1"/>
    <xf numFmtId="0" fontId="0" fillId="0" borderId="114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3" fillId="0" borderId="111" xfId="0" applyFont="1" applyBorder="1" applyAlignment="1">
      <alignment horizontal="left"/>
    </xf>
    <xf numFmtId="0" fontId="5" fillId="0" borderId="112" xfId="0" applyFont="1" applyBorder="1"/>
    <xf numFmtId="0" fontId="3" fillId="0" borderId="114" xfId="0" applyFont="1" applyBorder="1" applyAlignment="1">
      <alignment horizontal="left"/>
    </xf>
    <xf numFmtId="0" fontId="1" fillId="0" borderId="114" xfId="0" applyFont="1" applyBorder="1" applyAlignment="1">
      <alignment horizontal="left"/>
    </xf>
  </cellXfs>
  <cellStyles count="6">
    <cellStyle name="Hipervínculo" xfId="1" builtinId="8"/>
    <cellStyle name="Moneda [0]" xfId="4" builtinId="7"/>
    <cellStyle name="Normal" xfId="0" builtinId="0"/>
    <cellStyle name="Normal 2" xfId="2"/>
    <cellStyle name="Normal 2 2" xfId="3"/>
    <cellStyle name="Porcentaje" xfId="5" builtinId="5"/>
  </cellStyles>
  <dxfs count="0"/>
  <tableStyles count="0" defaultTableStyle="TableStyleMedium2" defaultPivotStyle="PivotStyleLight16"/>
  <colors>
    <mruColors>
      <color rgb="FF0BA558"/>
      <color rgb="FF00FF00"/>
      <color rgb="FF00F66F"/>
      <color rgb="FF01FF7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</sheetPr>
  <dimension ref="C1:AC1000"/>
  <sheetViews>
    <sheetView showGridLines="0" topLeftCell="B1" workbookViewId="0">
      <selection activeCell="H22" sqref="H22"/>
    </sheetView>
  </sheetViews>
  <sheetFormatPr baseColWidth="10" defaultColWidth="12.625" defaultRowHeight="15" customHeight="1"/>
  <cols>
    <col min="1" max="2" width="12.625" style="180"/>
    <col min="3" max="3" width="10" style="180" bestFit="1" customWidth="1"/>
    <col min="4" max="7" width="9.375" style="180" customWidth="1"/>
    <col min="8" max="8" width="11" style="180" customWidth="1"/>
    <col min="9" max="9" width="10.625" style="180" customWidth="1"/>
    <col min="10" max="10" width="36.125" style="180" customWidth="1"/>
    <col min="11" max="16384" width="12.625" style="180"/>
  </cols>
  <sheetData>
    <row r="1" spans="3:29" ht="14.25" customHeight="1" thickBot="1"/>
    <row r="2" spans="3:29" ht="14.25" customHeight="1" thickBot="1">
      <c r="C2" s="572" t="s">
        <v>288</v>
      </c>
      <c r="D2" s="573"/>
      <c r="E2" s="573"/>
      <c r="F2" s="573"/>
      <c r="G2" s="573"/>
      <c r="H2" s="573"/>
      <c r="I2" s="573"/>
      <c r="J2" s="574"/>
    </row>
    <row r="3" spans="3:29" ht="15" customHeight="1">
      <c r="C3" s="575" t="s">
        <v>287</v>
      </c>
      <c r="D3" s="576"/>
      <c r="E3" s="576"/>
      <c r="F3" s="576"/>
      <c r="G3" s="576"/>
      <c r="H3" s="576"/>
      <c r="I3" s="576"/>
      <c r="J3" s="577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</row>
    <row r="4" spans="3:29" ht="21" thickBot="1">
      <c r="C4" s="578"/>
      <c r="D4" s="579"/>
      <c r="E4" s="579"/>
      <c r="F4" s="579"/>
      <c r="G4" s="579"/>
      <c r="H4" s="579"/>
      <c r="I4" s="579"/>
      <c r="J4" s="580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</row>
    <row r="5" spans="3:29" ht="21" customHeight="1" thickBot="1">
      <c r="C5" s="581" t="s">
        <v>293</v>
      </c>
      <c r="D5" s="582"/>
      <c r="E5" s="582"/>
      <c r="F5" s="582"/>
      <c r="G5" s="582"/>
      <c r="H5" s="582"/>
      <c r="I5" s="582"/>
      <c r="J5" s="583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</row>
    <row r="6" spans="3:29" ht="14.25" customHeight="1" thickBot="1">
      <c r="C6" s="584" t="s">
        <v>304</v>
      </c>
      <c r="D6" s="585"/>
      <c r="E6" s="585"/>
      <c r="F6" s="585"/>
      <c r="G6" s="585"/>
      <c r="H6" s="585"/>
      <c r="I6" s="585"/>
      <c r="J6" s="586"/>
    </row>
    <row r="7" spans="3:29" ht="16.899999999999999" customHeight="1" thickBot="1">
      <c r="C7" s="587" t="s">
        <v>244</v>
      </c>
      <c r="D7" s="588"/>
      <c r="E7" s="588"/>
      <c r="F7" s="588"/>
      <c r="G7" s="588"/>
      <c r="H7" s="588"/>
      <c r="I7" s="588"/>
      <c r="J7" s="588"/>
    </row>
    <row r="8" spans="3:29" ht="14.25" customHeight="1">
      <c r="C8" s="312" t="s">
        <v>1</v>
      </c>
      <c r="D8" s="589" t="s">
        <v>289</v>
      </c>
      <c r="E8" s="590"/>
      <c r="F8" s="590"/>
      <c r="G8" s="590"/>
      <c r="H8" s="590"/>
      <c r="I8" s="590"/>
      <c r="J8" s="591"/>
    </row>
    <row r="9" spans="3:29" ht="14.25" customHeight="1">
      <c r="C9" s="313" t="s">
        <v>2</v>
      </c>
      <c r="D9" s="566" t="s">
        <v>290</v>
      </c>
      <c r="E9" s="567"/>
      <c r="F9" s="567"/>
      <c r="G9" s="567"/>
      <c r="H9" s="567"/>
      <c r="I9" s="567"/>
      <c r="J9" s="568"/>
    </row>
    <row r="10" spans="3:29" ht="14.25" customHeight="1">
      <c r="C10" s="313" t="s">
        <v>3</v>
      </c>
      <c r="D10" s="566" t="s">
        <v>291</v>
      </c>
      <c r="E10" s="567"/>
      <c r="F10" s="567"/>
      <c r="G10" s="567"/>
      <c r="H10" s="567"/>
      <c r="I10" s="567"/>
      <c r="J10" s="568"/>
    </row>
    <row r="11" spans="3:29" ht="14.25" customHeight="1" thickBot="1">
      <c r="C11" s="314" t="s">
        <v>4</v>
      </c>
      <c r="D11" s="569" t="s">
        <v>318</v>
      </c>
      <c r="E11" s="570"/>
      <c r="F11" s="570"/>
      <c r="G11" s="570"/>
      <c r="H11" s="570"/>
      <c r="I11" s="570"/>
      <c r="J11" s="571"/>
    </row>
    <row r="12" spans="3:29" ht="14.25" customHeight="1"/>
    <row r="13" spans="3:29" ht="14.25" customHeight="1"/>
    <row r="14" spans="3:29" ht="14.25" customHeight="1"/>
    <row r="15" spans="3:29" ht="14.25" customHeight="1"/>
    <row r="16" spans="3:29" ht="14.25" customHeight="1"/>
    <row r="17" spans="6:6" ht="14.25" customHeight="1">
      <c r="F17"/>
    </row>
    <row r="18" spans="6:6" ht="14.25" customHeight="1"/>
    <row r="19" spans="6:6" ht="14.25" customHeight="1"/>
    <row r="20" spans="6:6" ht="14.25" customHeight="1"/>
    <row r="21" spans="6:6" ht="14.25" customHeight="1"/>
    <row r="22" spans="6:6" ht="14.25" customHeight="1"/>
    <row r="23" spans="6:6" ht="14.25" customHeight="1"/>
    <row r="24" spans="6:6" ht="14.25" customHeight="1"/>
    <row r="25" spans="6:6" ht="14.25" customHeight="1"/>
    <row r="26" spans="6:6" ht="14.25" customHeight="1"/>
    <row r="27" spans="6:6" ht="14.25" customHeight="1"/>
    <row r="28" spans="6:6" ht="14.25" customHeight="1"/>
    <row r="29" spans="6:6" ht="14.25" customHeight="1"/>
    <row r="30" spans="6:6" ht="14.25" customHeight="1"/>
    <row r="31" spans="6:6" ht="14.25" customHeight="1"/>
    <row r="32" spans="6: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vwLjRQvwd316e2CuDERDLS8ZHwriOeE/lXlnV4mvjZoB5T/3Gc7a0mVpsrAhNQHvr4zeoUEuYlr+atyxa/Lnfw==" saltValue="rF1mB2FgSUwM/jnwuL1w/g==" spinCount="100000" sheet="1" objects="1" scenarios="1" selectLockedCells="1" selectUnlockedCells="1"/>
  <mergeCells count="9">
    <mergeCell ref="D9:J9"/>
    <mergeCell ref="D10:J10"/>
    <mergeCell ref="D11:J11"/>
    <mergeCell ref="C2:J2"/>
    <mergeCell ref="C3:J4"/>
    <mergeCell ref="C5:J5"/>
    <mergeCell ref="C6:J6"/>
    <mergeCell ref="C7:J7"/>
    <mergeCell ref="D8:J8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6"/>
  <sheetViews>
    <sheetView showGridLines="0" zoomScale="80" zoomScaleNormal="8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5" width="11.125" customWidth="1"/>
    <col min="6" max="6" width="11.75" customWidth="1"/>
    <col min="7" max="7" width="12.375" customWidth="1"/>
    <col min="8" max="8" width="16.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 thickBot="1">
      <c r="A1" s="824" t="str">
        <f>'1.1'!A1</f>
        <v>PRESUPUESTO PARA LA CONSTRUCCION DE SALON SOCIAL EN LA COMUNIDAD DE NUEVA JERUSALEN</v>
      </c>
      <c r="B1" s="705"/>
      <c r="C1" s="705"/>
      <c r="D1" s="705"/>
      <c r="E1" s="705"/>
      <c r="F1" s="705"/>
      <c r="G1" s="705"/>
      <c r="H1" s="727"/>
      <c r="K1" s="40"/>
    </row>
    <row r="2" spans="1:26" ht="14.25" customHeight="1">
      <c r="A2" s="275" t="s">
        <v>99</v>
      </c>
      <c r="B2" s="825" t="s">
        <v>100</v>
      </c>
      <c r="C2" s="703"/>
      <c r="D2" s="703"/>
      <c r="E2" s="703"/>
      <c r="F2" s="703"/>
      <c r="G2" s="826" t="s">
        <v>75</v>
      </c>
      <c r="H2" s="827"/>
      <c r="K2" s="40"/>
    </row>
    <row r="3" spans="1:26" ht="15.75" customHeight="1" thickBot="1">
      <c r="A3" s="44">
        <f>Presupuesto!$B$6</f>
        <v>1</v>
      </c>
      <c r="B3" s="790" t="str">
        <f>Presupuesto!$C$6</f>
        <v>PRELIMINARES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58"/>
    </row>
    <row r="5" spans="1:26" ht="14.25" customHeight="1" thickBot="1">
      <c r="A5" s="49">
        <f>Presupuesto!B9</f>
        <v>1.3</v>
      </c>
      <c r="B5" s="780" t="str">
        <f>Presupuesto!C9</f>
        <v>Descapote de terreno de 220 m2 de área a 30 cm de profundidad</v>
      </c>
      <c r="C5" s="686"/>
      <c r="D5" s="686"/>
      <c r="E5" s="686"/>
      <c r="F5" s="687"/>
      <c r="G5" s="780" t="str">
        <f>Presupuesto!D9</f>
        <v>M2</v>
      </c>
      <c r="H5" s="822"/>
      <c r="K5" s="40"/>
    </row>
    <row r="6" spans="1:26" ht="14.25" customHeight="1" thickBot="1">
      <c r="A6" s="820" t="s">
        <v>102</v>
      </c>
      <c r="B6" s="672"/>
      <c r="C6" s="672"/>
      <c r="D6" s="672"/>
      <c r="E6" s="672"/>
      <c r="F6" s="672"/>
      <c r="G6" s="672"/>
      <c r="H6" s="673"/>
      <c r="K6" s="58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8"/>
      <c r="B8" s="666"/>
      <c r="C8" s="666"/>
      <c r="D8" s="667"/>
      <c r="E8" s="5"/>
      <c r="F8" s="84"/>
      <c r="G8" s="5"/>
      <c r="H8" s="79"/>
      <c r="K8" s="11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 thickBo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0</v>
      </c>
      <c r="K13" s="58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58"/>
      <c r="M14" s="58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L15" s="306"/>
      <c r="M15" s="306"/>
      <c r="N15" s="306"/>
      <c r="O15" s="306"/>
      <c r="P15" s="306"/>
      <c r="Q15" s="306"/>
      <c r="R15" s="306"/>
      <c r="S15" s="306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129</v>
      </c>
      <c r="B16" s="666"/>
      <c r="C16" s="666"/>
      <c r="D16" s="667"/>
      <c r="E16" s="7" t="s">
        <v>61</v>
      </c>
      <c r="F16" s="80">
        <v>350</v>
      </c>
      <c r="G16" s="112">
        <f>G24</f>
        <v>4.5</v>
      </c>
      <c r="H16" s="79">
        <f>+F16/G16</f>
        <v>77.777777777777771</v>
      </c>
      <c r="J16" s="40"/>
      <c r="K16" s="40"/>
      <c r="L16" s="306"/>
      <c r="M16" s="306"/>
      <c r="N16" s="306"/>
      <c r="O16" s="306"/>
      <c r="P16" s="306"/>
      <c r="Q16" s="306"/>
      <c r="R16" s="306"/>
      <c r="S16" s="306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130</v>
      </c>
      <c r="B17" s="666"/>
      <c r="C17" s="666"/>
      <c r="D17" s="667"/>
      <c r="E17" s="7" t="s">
        <v>61</v>
      </c>
      <c r="F17" s="80">
        <v>350</v>
      </c>
      <c r="G17" s="112">
        <f>G24</f>
        <v>4.5</v>
      </c>
      <c r="H17" s="79">
        <f>+F17/G17</f>
        <v>77.777777777777771</v>
      </c>
      <c r="J17" s="40"/>
      <c r="K17" s="40"/>
      <c r="L17" s="306"/>
      <c r="M17" s="306"/>
      <c r="N17" s="306"/>
      <c r="O17" s="306"/>
      <c r="P17" s="306"/>
      <c r="Q17" s="306"/>
      <c r="R17" s="306"/>
      <c r="S17" s="306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L18" s="306"/>
      <c r="M18" s="306"/>
      <c r="N18" s="306"/>
      <c r="O18" s="306"/>
      <c r="P18" s="306"/>
      <c r="Q18" s="306"/>
      <c r="R18" s="306"/>
      <c r="S18" s="306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L19" s="306"/>
      <c r="M19" s="306"/>
      <c r="N19" s="306"/>
      <c r="O19" s="306"/>
      <c r="P19" s="306"/>
      <c r="Q19" s="306"/>
      <c r="R19" s="306"/>
      <c r="S19" s="306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19"/>
      <c r="B20" s="700"/>
      <c r="C20" s="700"/>
      <c r="D20" s="776"/>
      <c r="E20" s="56"/>
      <c r="F20" s="85"/>
      <c r="G20" s="56"/>
      <c r="H20" s="79"/>
      <c r="K20" s="40"/>
      <c r="L20" s="306"/>
      <c r="M20" s="306"/>
      <c r="N20" s="306"/>
      <c r="O20" s="306"/>
      <c r="P20" s="306"/>
      <c r="Q20" s="306"/>
      <c r="R20" s="306"/>
      <c r="S20" s="306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156</v>
      </c>
      <c r="K21" s="40"/>
      <c r="L21" s="306"/>
      <c r="M21" s="306"/>
      <c r="N21" s="306"/>
      <c r="O21" s="306"/>
      <c r="P21" s="306"/>
      <c r="Q21" s="306"/>
      <c r="R21" s="306"/>
      <c r="S21" s="306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L22" s="306"/>
      <c r="M22" s="306"/>
      <c r="N22" s="306"/>
      <c r="O22" s="306"/>
      <c r="P22" s="306"/>
      <c r="Q22" s="306"/>
      <c r="R22" s="306"/>
      <c r="S22" s="306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58"/>
      <c r="L23" s="306"/>
      <c r="M23" s="306"/>
      <c r="N23" s="306"/>
      <c r="O23" s="306"/>
      <c r="P23" s="306"/>
      <c r="Q23" s="306"/>
      <c r="R23" s="306"/>
      <c r="S23" s="306"/>
      <c r="T23" s="40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cuadrillas'!C8</f>
        <v>Cuadrilla Oficios Varios</v>
      </c>
      <c r="B24" s="666"/>
      <c r="C24" s="666"/>
      <c r="D24" s="667"/>
      <c r="E24" s="7">
        <v>1</v>
      </c>
      <c r="F24" s="111">
        <f>'Analisis de cuadrillas'!G8</f>
        <v>33253.333333333336</v>
      </c>
      <c r="G24" s="112">
        <v>4.5</v>
      </c>
      <c r="H24" s="79">
        <f>E24*(F24/G24)</f>
        <v>7389.6296296296305</v>
      </c>
      <c r="I24" s="2"/>
      <c r="K24" s="40"/>
      <c r="L24" s="306"/>
      <c r="M24" s="306"/>
      <c r="N24" s="306"/>
      <c r="O24" s="306"/>
      <c r="P24" s="306"/>
      <c r="Q24" s="306"/>
      <c r="R24" s="306"/>
      <c r="S24" s="306"/>
      <c r="T24" s="40"/>
      <c r="U24" s="40"/>
      <c r="V24" s="40"/>
      <c r="W24" s="40"/>
      <c r="X24" s="40"/>
      <c r="Y24" s="40"/>
      <c r="Z24" s="40"/>
    </row>
    <row r="25" spans="1:26" ht="14.25" customHeight="1">
      <c r="A25" s="815"/>
      <c r="B25" s="666"/>
      <c r="C25" s="666"/>
      <c r="D25" s="667"/>
      <c r="E25" s="5"/>
      <c r="F25" s="88"/>
      <c r="G25" s="5"/>
      <c r="H25" s="79"/>
      <c r="I25" s="58"/>
      <c r="J25" s="73"/>
      <c r="K25" s="40"/>
      <c r="L25" s="306"/>
      <c r="M25" s="306"/>
      <c r="N25" s="306"/>
      <c r="O25" s="306"/>
      <c r="P25" s="306"/>
      <c r="Q25" s="306"/>
      <c r="R25" s="306"/>
      <c r="S25" s="306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L26" s="306"/>
      <c r="M26" s="306"/>
      <c r="N26" s="306"/>
      <c r="O26" s="306"/>
      <c r="P26" s="306"/>
      <c r="Q26" s="306"/>
      <c r="R26" s="306"/>
      <c r="S26" s="306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816"/>
      <c r="B27" s="686"/>
      <c r="C27" s="686"/>
      <c r="D27" s="687"/>
      <c r="E27" s="89"/>
      <c r="F27" s="90"/>
      <c r="G27" s="56"/>
      <c r="H27" s="91"/>
      <c r="J27" s="2"/>
      <c r="K27" s="108"/>
      <c r="L27" s="306"/>
      <c r="M27" s="306"/>
      <c r="N27" s="306"/>
      <c r="O27" s="306"/>
      <c r="P27" s="306"/>
      <c r="Q27" s="306"/>
      <c r="R27" s="306"/>
      <c r="S27" s="306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7390</v>
      </c>
      <c r="K28" s="40"/>
      <c r="L28" s="306"/>
      <c r="M28" s="306"/>
      <c r="N28" s="306"/>
      <c r="O28" s="306"/>
      <c r="P28" s="306"/>
      <c r="Q28" s="306"/>
      <c r="R28" s="306"/>
      <c r="S28" s="306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K29" s="58"/>
      <c r="L29" s="306"/>
      <c r="M29" s="306"/>
      <c r="N29" s="306"/>
      <c r="O29" s="306"/>
      <c r="P29" s="306"/>
      <c r="Q29" s="306"/>
      <c r="R29" s="306"/>
      <c r="S29" s="306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7546</v>
      </c>
      <c r="J30" s="40"/>
      <c r="L30" s="306"/>
      <c r="M30" s="306"/>
      <c r="N30" s="306"/>
      <c r="O30" s="306"/>
      <c r="P30" s="306"/>
      <c r="Q30" s="306"/>
      <c r="R30" s="306"/>
      <c r="S30" s="306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L31" s="306"/>
      <c r="M31" s="306"/>
      <c r="N31" s="306"/>
      <c r="O31" s="306"/>
      <c r="P31" s="306"/>
      <c r="Q31" s="306"/>
      <c r="R31" s="306"/>
      <c r="S31" s="306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113"/>
      <c r="L32" s="306"/>
      <c r="M32" s="306"/>
      <c r="N32" s="306"/>
      <c r="O32" s="306"/>
      <c r="P32" s="306"/>
      <c r="Q32" s="306"/>
      <c r="R32" s="306"/>
      <c r="S32" s="306"/>
    </row>
    <row r="33" spans="1:19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  <c r="L33" s="306"/>
      <c r="M33" s="306"/>
      <c r="N33" s="306"/>
      <c r="O33" s="306"/>
      <c r="P33" s="306"/>
      <c r="Q33" s="306"/>
      <c r="R33" s="306"/>
      <c r="S33" s="306"/>
    </row>
    <row r="34" spans="1:19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  <c r="L34" s="306"/>
      <c r="M34" s="306"/>
      <c r="N34" s="306"/>
      <c r="O34" s="306"/>
      <c r="P34" s="306"/>
      <c r="Q34" s="306"/>
      <c r="R34" s="306"/>
      <c r="S34" s="306"/>
    </row>
    <row r="35" spans="1:19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  <c r="L35" s="306"/>
      <c r="M35" s="306"/>
      <c r="N35" s="306"/>
      <c r="O35" s="306"/>
      <c r="P35" s="306"/>
      <c r="Q35" s="306"/>
      <c r="R35" s="306"/>
      <c r="S35" s="306"/>
    </row>
    <row r="36" spans="1:19" ht="14.25" customHeight="1">
      <c r="K36" s="40"/>
      <c r="L36" s="306"/>
      <c r="M36" s="306"/>
      <c r="N36" s="306"/>
      <c r="O36" s="306"/>
      <c r="P36" s="306"/>
      <c r="Q36" s="306"/>
      <c r="R36" s="306"/>
      <c r="S36" s="306"/>
    </row>
    <row r="37" spans="1:19" ht="14.25" customHeight="1">
      <c r="K37" s="40"/>
      <c r="L37" s="306"/>
      <c r="M37" s="306"/>
      <c r="N37" s="306"/>
      <c r="O37" s="306"/>
      <c r="P37" s="306"/>
      <c r="Q37" s="306"/>
      <c r="R37" s="306"/>
      <c r="S37" s="306"/>
    </row>
    <row r="38" spans="1:19" ht="14.25" customHeight="1">
      <c r="K38" s="40"/>
      <c r="L38" s="306"/>
      <c r="M38" s="306"/>
      <c r="N38" s="306"/>
      <c r="O38" s="306"/>
      <c r="P38" s="306"/>
      <c r="Q38" s="306"/>
      <c r="R38" s="306"/>
      <c r="S38" s="306"/>
    </row>
    <row r="39" spans="1:19" ht="14.25" customHeight="1">
      <c r="K39" s="40"/>
      <c r="L39" s="306"/>
      <c r="M39" s="306"/>
      <c r="N39" s="306"/>
      <c r="O39" s="306"/>
      <c r="P39" s="306"/>
      <c r="Q39" s="306"/>
      <c r="R39" s="306"/>
      <c r="S39" s="306"/>
    </row>
    <row r="40" spans="1:19" ht="14.25" customHeight="1">
      <c r="K40" s="40"/>
    </row>
    <row r="41" spans="1:19" ht="14.25" customHeight="1">
      <c r="K41" s="40"/>
    </row>
    <row r="42" spans="1:19" ht="14.25" customHeight="1">
      <c r="K42" s="40"/>
    </row>
    <row r="43" spans="1:19" ht="14.25" customHeight="1">
      <c r="K43" s="40"/>
    </row>
    <row r="44" spans="1:19" ht="14.25" customHeight="1">
      <c r="K44" s="40"/>
    </row>
    <row r="45" spans="1:19" ht="14.25" customHeight="1">
      <c r="K45" s="40"/>
    </row>
    <row r="46" spans="1:19" ht="14.25" customHeight="1">
      <c r="K46" s="40"/>
    </row>
    <row r="47" spans="1:19" ht="14.25" customHeight="1">
      <c r="K47" s="40"/>
    </row>
    <row r="48" spans="1:19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Dxv0wySbGPwaGi/X5wPHe2lxQn02+AUyuj3O3+QYGnAHtrjNj0dhM/PVXYieLpsUV6yLEWNDsSO/302HPRc9hQ==" saltValue="IfurQ0XKDFNg0i9z+nA9f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2:H32"/>
    <mergeCell ref="B33:H33"/>
    <mergeCell ref="B34:H34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6"/>
  <sheetViews>
    <sheetView showGridLines="0" topLeftCell="A25" zoomScale="90" zoomScaleNormal="9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5" width="11.125" customWidth="1"/>
    <col min="6" max="6" width="13.12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34" t="str">
        <f>'1.1'!A1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58"/>
    </row>
    <row r="3" spans="1:26" ht="15.75" customHeight="1">
      <c r="A3" s="44">
        <f>Presupuesto!$B$6</f>
        <v>1</v>
      </c>
      <c r="B3" s="790" t="str">
        <f>Presupuesto!$C$6</f>
        <v>PRELIMINARES</v>
      </c>
      <c r="C3" s="686"/>
      <c r="D3" s="686"/>
      <c r="E3" s="686"/>
      <c r="F3" s="686"/>
      <c r="G3" s="788"/>
      <c r="H3" s="828"/>
      <c r="K3" s="58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Presupuesto!B10</f>
        <v>1.4</v>
      </c>
      <c r="B5" s="780" t="str">
        <f>Presupuesto!C10</f>
        <v>Replanteo, alineación y nivelación del terreno</v>
      </c>
      <c r="C5" s="686"/>
      <c r="D5" s="686"/>
      <c r="E5" s="686"/>
      <c r="F5" s="687"/>
      <c r="G5" s="780" t="str">
        <f>Presupuesto!D10</f>
        <v>M2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58"/>
    </row>
    <row r="8" spans="1:26" ht="14.25" customHeight="1">
      <c r="A8" s="814" t="s">
        <v>310</v>
      </c>
      <c r="B8" s="666"/>
      <c r="C8" s="666"/>
      <c r="D8" s="667"/>
      <c r="E8" s="7" t="s">
        <v>30</v>
      </c>
      <c r="F8" s="80">
        <v>1100</v>
      </c>
      <c r="G8" s="7">
        <v>0.53</v>
      </c>
      <c r="H8" s="79">
        <f>F8*G8</f>
        <v>583</v>
      </c>
      <c r="I8" s="2"/>
      <c r="K8" s="58"/>
    </row>
    <row r="9" spans="1:26" ht="14.25" customHeight="1">
      <c r="A9" s="814" t="s">
        <v>151</v>
      </c>
      <c r="B9" s="666"/>
      <c r="C9" s="666"/>
      <c r="D9" s="667"/>
      <c r="E9" s="7" t="s">
        <v>30</v>
      </c>
      <c r="F9" s="80">
        <v>620</v>
      </c>
      <c r="G9" s="7">
        <v>0.27</v>
      </c>
      <c r="H9" s="79">
        <f>F9*G9</f>
        <v>167.4</v>
      </c>
      <c r="K9" s="40"/>
    </row>
    <row r="10" spans="1:26" ht="14.25" customHeight="1">
      <c r="A10" s="814" t="s">
        <v>152</v>
      </c>
      <c r="B10" s="666"/>
      <c r="C10" s="666"/>
      <c r="D10" s="667"/>
      <c r="E10" s="7" t="s">
        <v>135</v>
      </c>
      <c r="F10" s="80">
        <v>538</v>
      </c>
      <c r="G10" s="7">
        <v>1.1000000000000001</v>
      </c>
      <c r="H10" s="79">
        <f>F10*G10</f>
        <v>591.80000000000007</v>
      </c>
      <c r="K10" s="58"/>
    </row>
    <row r="11" spans="1:26" ht="14.25" customHeight="1">
      <c r="A11" s="814" t="s">
        <v>153</v>
      </c>
      <c r="B11" s="666"/>
      <c r="C11" s="666"/>
      <c r="D11" s="667"/>
      <c r="E11" s="7" t="s">
        <v>30</v>
      </c>
      <c r="F11" s="80">
        <v>510</v>
      </c>
      <c r="G11" s="7">
        <f>G8</f>
        <v>0.53</v>
      </c>
      <c r="H11" s="79">
        <f>F11*G11</f>
        <v>270.3</v>
      </c>
      <c r="K11" s="58"/>
    </row>
    <row r="12" spans="1:26" ht="14.25" customHeight="1">
      <c r="A12" s="833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1613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114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58"/>
      <c r="N15" s="58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114</v>
      </c>
      <c r="B16" s="666"/>
      <c r="C16" s="666"/>
      <c r="D16" s="667"/>
      <c r="E16" s="7" t="s">
        <v>61</v>
      </c>
      <c r="F16" s="80">
        <v>350</v>
      </c>
      <c r="G16" s="115">
        <f>G24</f>
        <v>10</v>
      </c>
      <c r="H16" s="79">
        <f>F16/G16</f>
        <v>35</v>
      </c>
      <c r="J16" s="40"/>
      <c r="K16" s="40"/>
      <c r="M16" s="58"/>
      <c r="N16" s="58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129</v>
      </c>
      <c r="B17" s="666"/>
      <c r="C17" s="666"/>
      <c r="D17" s="667"/>
      <c r="E17" s="7" t="s">
        <v>61</v>
      </c>
      <c r="F17" s="80">
        <v>350</v>
      </c>
      <c r="G17" s="115">
        <f>G24</f>
        <v>10</v>
      </c>
      <c r="H17" s="79">
        <f>F17/G17</f>
        <v>35</v>
      </c>
      <c r="J17" s="40"/>
      <c r="K17" s="40"/>
      <c r="M17" s="40"/>
      <c r="N17" s="40"/>
      <c r="O17" s="40"/>
      <c r="S17" s="40"/>
      <c r="T17" s="40"/>
      <c r="U17" s="40"/>
      <c r="V17" s="40"/>
      <c r="W17" s="40"/>
      <c r="X17" s="40"/>
      <c r="Y17" s="40"/>
      <c r="Z17" s="40"/>
    </row>
    <row r="18" spans="1:26" ht="27.75" customHeight="1">
      <c r="A18" s="831" t="s">
        <v>154</v>
      </c>
      <c r="B18" s="832"/>
      <c r="C18" s="832"/>
      <c r="D18" s="832"/>
      <c r="E18" s="94" t="s">
        <v>30</v>
      </c>
      <c r="F18" s="96">
        <v>37500</v>
      </c>
      <c r="G18" s="116">
        <f>G24</f>
        <v>10</v>
      </c>
      <c r="H18" s="106">
        <f>F18/G18</f>
        <v>3750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3820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295"/>
      <c r="L22" s="182"/>
      <c r="M22" s="295"/>
      <c r="N22" s="295"/>
      <c r="O22" s="295"/>
      <c r="P22" s="182"/>
      <c r="Q22" s="182"/>
      <c r="R22" s="182"/>
      <c r="S22" s="182"/>
      <c r="T22" s="295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295"/>
      <c r="L23" s="182"/>
      <c r="M23" s="295"/>
      <c r="N23" s="295"/>
      <c r="O23" s="295"/>
      <c r="P23" s="182"/>
      <c r="Q23" s="182"/>
      <c r="R23" s="182"/>
      <c r="S23" s="182"/>
      <c r="T23" s="296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cuadrillas'!C7</f>
        <v>Cuadrilla de Topografía</v>
      </c>
      <c r="B24" s="666"/>
      <c r="C24" s="666"/>
      <c r="D24" s="667"/>
      <c r="E24" s="7">
        <v>1</v>
      </c>
      <c r="F24" s="87">
        <f>'Analisis de cuadrillas'!G7</f>
        <v>60826.165999999997</v>
      </c>
      <c r="G24" s="117">
        <v>10</v>
      </c>
      <c r="H24" s="79">
        <f>E24*(F24/G24)</f>
        <v>6082.6165999999994</v>
      </c>
      <c r="I24" s="58"/>
      <c r="J24" s="118"/>
      <c r="K24" s="297"/>
      <c r="L24" s="182"/>
      <c r="M24" s="298"/>
      <c r="N24" s="295"/>
      <c r="O24" s="295"/>
      <c r="P24" s="182"/>
      <c r="Q24" s="182"/>
      <c r="R24" s="182"/>
      <c r="S24" s="182"/>
      <c r="T24" s="295"/>
      <c r="U24" s="40"/>
      <c r="V24" s="40"/>
      <c r="W24" s="40"/>
      <c r="X24" s="40"/>
      <c r="Y24" s="40"/>
      <c r="Z24" s="40"/>
    </row>
    <row r="25" spans="1:26" ht="14.25" customHeight="1">
      <c r="A25" s="814"/>
      <c r="B25" s="666"/>
      <c r="C25" s="666"/>
      <c r="D25" s="667"/>
      <c r="E25" s="7"/>
      <c r="F25" s="119"/>
      <c r="G25" s="7"/>
      <c r="H25" s="79"/>
      <c r="I25" s="40"/>
      <c r="K25" s="297"/>
      <c r="L25" s="182"/>
      <c r="M25" s="295"/>
      <c r="N25" s="182"/>
      <c r="O25" s="295"/>
      <c r="P25" s="182"/>
      <c r="Q25" s="182"/>
      <c r="R25" s="182"/>
      <c r="S25" s="182"/>
      <c r="T25" s="295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J26" s="2"/>
      <c r="K26" s="295"/>
      <c r="L26" s="295"/>
      <c r="M26" s="295"/>
      <c r="N26" s="296"/>
      <c r="O26" s="295"/>
      <c r="P26" s="182"/>
      <c r="Q26" s="182"/>
      <c r="R26" s="182"/>
      <c r="S26" s="182"/>
      <c r="T26" s="295"/>
      <c r="U26" s="40"/>
      <c r="V26" s="40"/>
      <c r="W26" s="40"/>
      <c r="X26" s="40"/>
      <c r="Y26" s="40"/>
      <c r="Z26" s="40"/>
    </row>
    <row r="27" spans="1:26" ht="14.25" customHeight="1">
      <c r="A27" s="830"/>
      <c r="B27" s="686"/>
      <c r="C27" s="686"/>
      <c r="D27" s="687"/>
      <c r="E27" s="89"/>
      <c r="F27" s="90"/>
      <c r="G27" s="56"/>
      <c r="H27" s="91"/>
      <c r="K27" s="295"/>
      <c r="L27" s="297"/>
      <c r="M27" s="297"/>
      <c r="N27" s="290"/>
      <c r="O27" s="297"/>
      <c r="P27" s="182"/>
      <c r="Q27" s="182"/>
      <c r="R27" s="182"/>
      <c r="S27" s="182"/>
      <c r="T27" s="295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6083</v>
      </c>
      <c r="K28" s="295"/>
      <c r="L28" s="295"/>
      <c r="M28" s="295"/>
      <c r="N28" s="295"/>
      <c r="O28" s="295"/>
      <c r="P28" s="182"/>
      <c r="Q28" s="182"/>
      <c r="R28" s="182"/>
      <c r="S28" s="182"/>
      <c r="T28" s="295"/>
      <c r="U28" s="40"/>
      <c r="V28" s="40"/>
      <c r="W28" s="40"/>
      <c r="X28" s="40"/>
      <c r="Y28" s="40"/>
      <c r="Z28" s="40"/>
    </row>
    <row r="29" spans="1:26" ht="14.25" customHeight="1">
      <c r="K29" s="295"/>
      <c r="L29" s="296"/>
      <c r="M29" s="296"/>
      <c r="N29" s="295"/>
      <c r="O29" s="295"/>
      <c r="P29" s="182"/>
      <c r="Q29" s="182"/>
      <c r="R29" s="182"/>
      <c r="S29" s="182"/>
      <c r="T29" s="295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11516</v>
      </c>
      <c r="J30" s="58"/>
      <c r="K30" s="295"/>
      <c r="L30" s="296"/>
      <c r="M30" s="295"/>
      <c r="N30" s="299"/>
      <c r="O30" s="295"/>
      <c r="P30" s="182"/>
      <c r="Q30" s="182"/>
      <c r="R30" s="182"/>
      <c r="S30" s="182"/>
      <c r="T30" s="295"/>
      <c r="U30" s="40"/>
      <c r="V30" s="40"/>
      <c r="W30" s="40"/>
      <c r="X30" s="40"/>
      <c r="Y30" s="40"/>
      <c r="Z30" s="40"/>
    </row>
    <row r="31" spans="1:26" ht="14.25" customHeight="1">
      <c r="J31" s="40"/>
      <c r="K31" s="295"/>
      <c r="L31" s="295"/>
      <c r="M31" s="295"/>
      <c r="N31" s="295"/>
      <c r="O31" s="295"/>
      <c r="P31" s="182"/>
      <c r="Q31" s="182"/>
      <c r="R31" s="182"/>
      <c r="S31" s="182"/>
      <c r="T31" s="295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295"/>
      <c r="L32" s="300"/>
      <c r="M32" s="300"/>
      <c r="N32" s="182"/>
      <c r="O32" s="182"/>
      <c r="P32" s="182"/>
      <c r="Q32" s="182"/>
      <c r="R32" s="182"/>
      <c r="S32" s="182"/>
      <c r="T32" s="183"/>
    </row>
    <row r="33" spans="1:20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295"/>
      <c r="L33" s="182"/>
      <c r="M33" s="182"/>
      <c r="N33" s="182"/>
      <c r="O33" s="182"/>
      <c r="P33" s="182"/>
      <c r="Q33" s="182"/>
      <c r="R33" s="182"/>
      <c r="S33" s="182"/>
      <c r="T33" s="183"/>
    </row>
    <row r="34" spans="1:20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295"/>
      <c r="L34" s="182"/>
      <c r="M34" s="182"/>
      <c r="N34" s="182"/>
      <c r="O34" s="182"/>
      <c r="P34" s="182"/>
      <c r="Q34" s="182"/>
      <c r="R34" s="182"/>
      <c r="S34" s="182"/>
      <c r="T34" s="183"/>
    </row>
    <row r="35" spans="1:20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297"/>
      <c r="L35" s="182"/>
      <c r="M35" s="182"/>
      <c r="N35" s="182"/>
      <c r="O35" s="182"/>
      <c r="P35" s="182"/>
      <c r="Q35" s="182"/>
      <c r="R35" s="182"/>
      <c r="S35" s="182"/>
      <c r="T35" s="183"/>
    </row>
    <row r="36" spans="1:20" ht="14.25" customHeight="1">
      <c r="K36" s="295"/>
      <c r="L36" s="182"/>
      <c r="M36" s="182"/>
      <c r="N36" s="182"/>
      <c r="O36" s="182"/>
      <c r="P36" s="182"/>
      <c r="Q36" s="182"/>
      <c r="R36" s="182"/>
      <c r="S36" s="182"/>
      <c r="T36" s="183"/>
    </row>
    <row r="37" spans="1:20" ht="14.25" customHeight="1">
      <c r="K37" s="295"/>
      <c r="L37" s="183"/>
      <c r="M37" s="183"/>
      <c r="N37" s="183"/>
      <c r="O37" s="183"/>
      <c r="P37" s="183"/>
      <c r="Q37" s="183"/>
      <c r="R37" s="183"/>
      <c r="S37" s="183"/>
      <c r="T37" s="183"/>
    </row>
    <row r="38" spans="1:20" ht="14.25" customHeight="1">
      <c r="K38" s="296"/>
      <c r="L38" s="183"/>
      <c r="M38" s="183"/>
      <c r="N38" s="183"/>
      <c r="O38" s="183"/>
      <c r="P38" s="183"/>
      <c r="Q38" s="183"/>
      <c r="R38" s="183"/>
      <c r="S38" s="183"/>
      <c r="T38" s="183"/>
    </row>
    <row r="39" spans="1:20" ht="14.25" customHeight="1">
      <c r="K39" s="296"/>
      <c r="L39" s="183"/>
      <c r="M39" s="183"/>
      <c r="N39" s="183"/>
      <c r="O39" s="183"/>
      <c r="P39" s="183"/>
      <c r="Q39" s="183"/>
      <c r="R39" s="183"/>
      <c r="S39" s="183"/>
      <c r="T39" s="183"/>
    </row>
    <row r="40" spans="1:20" ht="14.25" customHeight="1">
      <c r="K40" s="295"/>
      <c r="L40" s="183"/>
      <c r="M40" s="183"/>
      <c r="N40" s="183"/>
      <c r="O40" s="183"/>
      <c r="P40" s="183"/>
      <c r="Q40" s="183"/>
      <c r="R40" s="183"/>
      <c r="S40" s="183"/>
      <c r="T40" s="183"/>
    </row>
    <row r="41" spans="1:20" ht="14.25" customHeight="1">
      <c r="K41" s="40"/>
    </row>
    <row r="42" spans="1:20" ht="14.25" customHeight="1">
      <c r="K42" s="40"/>
    </row>
    <row r="43" spans="1:20" ht="14.25" customHeight="1">
      <c r="K43" s="40"/>
    </row>
    <row r="44" spans="1:20" ht="14.25" customHeight="1">
      <c r="K44" s="40"/>
    </row>
    <row r="45" spans="1:20" ht="14.25" customHeight="1">
      <c r="K45" s="40"/>
    </row>
    <row r="46" spans="1:20" ht="14.25" customHeight="1">
      <c r="K46" s="40"/>
    </row>
    <row r="47" spans="1:20" ht="14.25" customHeight="1">
      <c r="K47" s="40"/>
    </row>
    <row r="48" spans="1:20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LO+eEih4RhLCbrQ+MZZ4auhLy3tG/ikwSGliY/ClkmP7Cl2eRiVbJta9aTk01HfXUr+jfYb+rkW1vJkQz1QoYA==" saltValue="UFC/vEAGTmeQfly5/aTYH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2:H32"/>
    <mergeCell ref="B33:H33"/>
    <mergeCell ref="B34:H34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5"/>
  <sheetViews>
    <sheetView showGridLines="0" topLeftCell="A21" zoomScale="110" zoomScaleNormal="110" workbookViewId="0">
      <selection activeCell="K25" sqref="K25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875" customWidth="1"/>
    <col min="6" max="6" width="11.75" customWidth="1"/>
    <col min="7" max="7" width="12.375" customWidth="1"/>
    <col min="8" max="8" width="15.375" customWidth="1"/>
    <col min="9" max="10" width="11.375" customWidth="1"/>
    <col min="11" max="11" width="12.75" customWidth="1"/>
    <col min="12" max="12" width="10.5" customWidth="1"/>
    <col min="13" max="13" width="10" customWidth="1"/>
    <col min="14" max="14" width="9.75" customWidth="1"/>
    <col min="15" max="26" width="10" customWidth="1"/>
  </cols>
  <sheetData>
    <row r="1" spans="1:26" ht="15" customHeight="1">
      <c r="A1" s="834" t="str">
        <f>'1.1'!A1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Presupuesto!$B$6</f>
        <v>1</v>
      </c>
      <c r="B3" s="790" t="str">
        <f>Presupuesto!$C$6</f>
        <v>PRELIMINARES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Presupuesto!B11</f>
        <v>1.5</v>
      </c>
      <c r="B5" s="780" t="str">
        <f>Presupuesto!C11</f>
        <v>Cerramiento con postes de madera y lona verde, altura de 2 mts</v>
      </c>
      <c r="C5" s="686"/>
      <c r="D5" s="686"/>
      <c r="E5" s="686"/>
      <c r="F5" s="687"/>
      <c r="G5" s="780" t="str">
        <f>Presupuesto!D11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40" t="s">
        <v>155</v>
      </c>
      <c r="B8" s="841"/>
      <c r="C8" s="841"/>
      <c r="D8" s="842"/>
      <c r="E8" s="7" t="s">
        <v>30</v>
      </c>
      <c r="F8" s="80">
        <v>8000</v>
      </c>
      <c r="G8" s="7">
        <v>0.5</v>
      </c>
      <c r="H8" s="79">
        <f>F8*G8</f>
        <v>4000</v>
      </c>
      <c r="K8" s="58"/>
      <c r="M8" s="2"/>
    </row>
    <row r="9" spans="1:26" ht="27.75" customHeight="1">
      <c r="A9" s="837" t="s">
        <v>156</v>
      </c>
      <c r="B9" s="666"/>
      <c r="C9" s="666"/>
      <c r="D9" s="667"/>
      <c r="E9" s="120" t="s">
        <v>15</v>
      </c>
      <c r="F9" s="121">
        <v>2240</v>
      </c>
      <c r="G9" s="120">
        <v>1.1000000000000001</v>
      </c>
      <c r="H9" s="79">
        <f>F9*G9</f>
        <v>2464</v>
      </c>
      <c r="K9" s="40"/>
      <c r="M9" s="2"/>
    </row>
    <row r="10" spans="1:26" ht="14.25" customHeight="1">
      <c r="A10" s="814" t="s">
        <v>157</v>
      </c>
      <c r="B10" s="666"/>
      <c r="C10" s="666"/>
      <c r="D10" s="667"/>
      <c r="E10" s="7" t="s">
        <v>127</v>
      </c>
      <c r="F10" s="80">
        <v>4400</v>
      </c>
      <c r="G10" s="112">
        <v>0.05</v>
      </c>
      <c r="H10" s="79">
        <f>F10*G10</f>
        <v>220</v>
      </c>
      <c r="K10" s="40"/>
      <c r="L10" s="2"/>
    </row>
    <row r="11" spans="1:26" ht="14.25" customHeight="1">
      <c r="A11" s="838" t="s">
        <v>158</v>
      </c>
      <c r="B11" s="839"/>
      <c r="C11" s="839"/>
      <c r="D11" s="839"/>
      <c r="E11" s="7" t="s">
        <v>15</v>
      </c>
      <c r="F11" s="80">
        <v>800</v>
      </c>
      <c r="G11" s="7">
        <v>1</v>
      </c>
      <c r="H11" s="79">
        <f>F11*G11</f>
        <v>800</v>
      </c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7484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114</v>
      </c>
      <c r="B16" s="666"/>
      <c r="C16" s="666"/>
      <c r="D16" s="667"/>
      <c r="E16" s="7" t="s">
        <v>61</v>
      </c>
      <c r="F16" s="80">
        <v>350</v>
      </c>
      <c r="G16" s="7">
        <v>10</v>
      </c>
      <c r="H16" s="79">
        <f>F16/G16</f>
        <v>35</v>
      </c>
      <c r="J16" s="58"/>
      <c r="K16" s="58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129</v>
      </c>
      <c r="B17" s="666"/>
      <c r="C17" s="666"/>
      <c r="D17" s="667"/>
      <c r="E17" s="7" t="s">
        <v>61</v>
      </c>
      <c r="F17" s="80">
        <v>350</v>
      </c>
      <c r="G17" s="7">
        <v>10</v>
      </c>
      <c r="H17" s="79">
        <f>F17/G17</f>
        <v>35</v>
      </c>
      <c r="J17" s="58"/>
      <c r="K17" s="58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7">
        <f>'Analisis de cuadrillas'!G14</f>
        <v>48512.248833333331</v>
      </c>
      <c r="G24" s="7">
        <v>10</v>
      </c>
      <c r="H24" s="79">
        <f>E24*(F24/G24)</f>
        <v>4851.2248833333333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5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J27" s="2"/>
      <c r="K27" s="58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4852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12406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5.75" customHeight="1"/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sheetProtection algorithmName="SHA-512" hashValue="nX5iLmUUOLaz/EmEjpZPAOqvdLGNAWojRqfcmRAOB5QYQ7QPJR880L3gCN/r/K5wz/kVqDtwBuvm0zPbBo6jSA==" saltValue="BGQAxlZtAVJN/drCvRVE2g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2:H32"/>
    <mergeCell ref="B33:H33"/>
    <mergeCell ref="B34:H34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Z995"/>
  <sheetViews>
    <sheetView showGridLines="0" topLeftCell="A21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6.375" customWidth="1"/>
    <col min="8" max="8" width="13.8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Presupuesto!B13</f>
        <v>2</v>
      </c>
      <c r="B3" s="790" t="str">
        <f>Presupuesto!C13</f>
        <v>MOVIMIENTO DE TIERRAS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Presupuesto!B14</f>
        <v>2.1</v>
      </c>
      <c r="B5" s="780" t="str">
        <f>Presupuesto!C14</f>
        <v>Excavación manual, profundidad inferior a un metro</v>
      </c>
      <c r="C5" s="686"/>
      <c r="D5" s="686"/>
      <c r="E5" s="686"/>
      <c r="F5" s="687"/>
      <c r="G5" s="780" t="str">
        <f>Presupuesto!D14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8"/>
      <c r="B8" s="666"/>
      <c r="C8" s="666"/>
      <c r="D8" s="667"/>
      <c r="E8" s="5"/>
      <c r="F8" s="84"/>
      <c r="G8" s="5"/>
      <c r="H8" s="79"/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114</v>
      </c>
      <c r="B16" s="666"/>
      <c r="C16" s="666"/>
      <c r="D16" s="667"/>
      <c r="E16" s="7" t="s">
        <v>61</v>
      </c>
      <c r="F16" s="80">
        <v>350</v>
      </c>
      <c r="G16" s="7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129</v>
      </c>
      <c r="B17" s="666"/>
      <c r="C17" s="666"/>
      <c r="D17" s="667"/>
      <c r="E17" s="7" t="s">
        <v>61</v>
      </c>
      <c r="F17" s="80">
        <v>350</v>
      </c>
      <c r="G17" s="7">
        <f>G24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58"/>
      <c r="K23" s="58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cuadrillas'!C8</f>
        <v>Cuadrilla Oficios Varios</v>
      </c>
      <c r="B24" s="666"/>
      <c r="C24" s="666"/>
      <c r="D24" s="667"/>
      <c r="E24" s="7">
        <v>1</v>
      </c>
      <c r="F24" s="87">
        <f>'Analisis de cuadrillas'!G8</f>
        <v>33253.333333333336</v>
      </c>
      <c r="G24" s="7">
        <v>1</v>
      </c>
      <c r="H24" s="79">
        <f>(E24*F24)/G24</f>
        <v>33253.333333333336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4"/>
      <c r="B25" s="666"/>
      <c r="C25" s="666"/>
      <c r="D25" s="667"/>
      <c r="E25" s="7"/>
      <c r="F25" s="87"/>
      <c r="G25" s="7"/>
      <c r="H25" s="79"/>
      <c r="I25" s="40"/>
      <c r="J25" s="73"/>
      <c r="K25" s="40"/>
      <c r="L25" s="107"/>
      <c r="M25" s="58"/>
      <c r="N25" s="58"/>
      <c r="O25" s="58"/>
      <c r="P25" s="40"/>
      <c r="Q25" s="108"/>
      <c r="R25" s="58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J26" s="2"/>
      <c r="K26" s="40"/>
      <c r="M26" s="40"/>
      <c r="N26" s="58"/>
      <c r="O26" s="58"/>
      <c r="P26" s="58"/>
      <c r="Q26" s="122"/>
      <c r="R26" s="58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122"/>
      <c r="R27" s="58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33254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33954</v>
      </c>
      <c r="J30" s="40"/>
      <c r="K30" s="40"/>
      <c r="M30" s="40"/>
      <c r="N30" s="58"/>
      <c r="O30" s="58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58"/>
      <c r="O31" s="58"/>
      <c r="P31" s="40"/>
      <c r="Q31" s="123"/>
      <c r="R31" s="58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8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  <c r="R33" s="109"/>
    </row>
    <row r="34" spans="1:18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  <c r="O34" s="2"/>
      <c r="P34" s="2"/>
    </row>
    <row r="35" spans="1:18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  <c r="O35" s="2"/>
      <c r="R35" s="109"/>
    </row>
    <row r="36" spans="1:18" ht="14.25" customHeight="1">
      <c r="K36" s="40"/>
    </row>
    <row r="37" spans="1:18" ht="14.25" customHeight="1">
      <c r="K37" s="40"/>
    </row>
    <row r="38" spans="1:18" ht="14.25" customHeight="1">
      <c r="K38" s="40"/>
    </row>
    <row r="39" spans="1:18" ht="14.25" customHeight="1">
      <c r="K39" s="40"/>
    </row>
    <row r="40" spans="1:18" ht="14.25" customHeight="1">
      <c r="K40" s="40"/>
    </row>
    <row r="41" spans="1:18" ht="14.25" customHeight="1">
      <c r="K41" s="40"/>
    </row>
    <row r="42" spans="1:18" ht="14.25" customHeight="1">
      <c r="K42" s="40"/>
    </row>
    <row r="43" spans="1:18" ht="14.25" customHeight="1">
      <c r="K43" s="40"/>
    </row>
    <row r="44" spans="1:18" ht="14.25" customHeight="1">
      <c r="K44" s="40"/>
    </row>
    <row r="45" spans="1:18" ht="14.25" customHeight="1">
      <c r="K45" s="40"/>
    </row>
    <row r="46" spans="1:18" ht="14.25" customHeight="1">
      <c r="K46" s="40"/>
    </row>
    <row r="47" spans="1:18" ht="14.25" customHeight="1">
      <c r="K47" s="40"/>
    </row>
    <row r="48" spans="1:18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5.75" customHeight="1"/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sheetProtection algorithmName="SHA-512" hashValue="tbWCXg6GihKKTgSfLarMtobkEUxjx4hOkKwXo64NMgM+YbaQ45eG9p/xlnwx1yUqzxVncD61Tdg83tUTvFYrDQ==" saltValue="wcGbDktJ1dRhC9SsBYZHew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2:H32"/>
    <mergeCell ref="B33:H33"/>
    <mergeCell ref="B34:H34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" footer="0"/>
  <pageSetup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6"/>
  <sheetViews>
    <sheetView showGridLines="0" topLeftCell="A21" zoomScale="120" zoomScaleNormal="12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5.62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'2.1'!A1:H1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Presupuesto!B13</f>
        <v>2</v>
      </c>
      <c r="B3" s="790" t="str">
        <f>Presupuesto!C13</f>
        <v>MOVIMIENTO DE TIERRAS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J4" s="2"/>
      <c r="K4" s="40"/>
    </row>
    <row r="5" spans="1:26" ht="14.25" customHeight="1">
      <c r="A5" s="49">
        <f>Presupuesto!B15</f>
        <v>2.2000000000000002</v>
      </c>
      <c r="B5" s="780" t="str">
        <f>Presupuesto!C15</f>
        <v>Cargue manual y retiro de escombro</v>
      </c>
      <c r="C5" s="686"/>
      <c r="D5" s="686"/>
      <c r="E5" s="686"/>
      <c r="F5" s="687"/>
      <c r="G5" s="780" t="str">
        <f>Presupuesto!D15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8"/>
      <c r="B8" s="666"/>
      <c r="C8" s="666"/>
      <c r="D8" s="667"/>
      <c r="E8" s="5"/>
      <c r="F8" s="84"/>
      <c r="G8" s="5"/>
      <c r="H8" s="79"/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58"/>
      <c r="M9" s="2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58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129</v>
      </c>
      <c r="B16" s="666"/>
      <c r="C16" s="666"/>
      <c r="D16" s="667"/>
      <c r="E16" s="7" t="s">
        <v>61</v>
      </c>
      <c r="F16" s="80">
        <v>350</v>
      </c>
      <c r="G16" s="7">
        <f>G24</f>
        <v>2.5</v>
      </c>
      <c r="H16" s="79">
        <f>F16/G16</f>
        <v>140</v>
      </c>
      <c r="J16" s="58"/>
      <c r="K16" s="40"/>
      <c r="M16" s="124"/>
      <c r="N16" s="58"/>
      <c r="O16" s="40"/>
      <c r="P16" s="58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159</v>
      </c>
      <c r="B17" s="666"/>
      <c r="C17" s="666"/>
      <c r="D17" s="667"/>
      <c r="E17" s="7" t="s">
        <v>26</v>
      </c>
      <c r="F17" s="80">
        <v>60000</v>
      </c>
      <c r="G17" s="3">
        <f>G24</f>
        <v>2.5</v>
      </c>
      <c r="H17" s="79">
        <f>F17/G17</f>
        <v>24000</v>
      </c>
      <c r="I17" s="2"/>
      <c r="J17" s="40"/>
      <c r="L17" s="58"/>
      <c r="M17" s="108"/>
      <c r="N17" s="58"/>
      <c r="O17" s="122"/>
      <c r="P17" s="58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44"/>
      <c r="B18" s="844"/>
      <c r="C18" s="844"/>
      <c r="D18" s="845"/>
      <c r="E18" s="5"/>
      <c r="F18" s="84"/>
      <c r="G18" s="5"/>
      <c r="H18" s="79"/>
      <c r="I18" s="2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58"/>
      <c r="N19" s="40"/>
      <c r="O19" s="122"/>
      <c r="P19" s="58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24140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58"/>
      <c r="N22" s="58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58"/>
      <c r="N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cuadrillas'!C8</f>
        <v>Cuadrilla Oficios Varios</v>
      </c>
      <c r="B24" s="666"/>
      <c r="C24" s="666"/>
      <c r="D24" s="667"/>
      <c r="E24" s="7">
        <v>1</v>
      </c>
      <c r="F24" s="87">
        <f>'Analisis de cuadrillas'!G8</f>
        <v>33253.333333333336</v>
      </c>
      <c r="G24" s="7">
        <v>2.5</v>
      </c>
      <c r="H24" s="79">
        <f>(E24*F24)/G24</f>
        <v>13301.333333333334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4"/>
      <c r="B25" s="666"/>
      <c r="C25" s="666"/>
      <c r="D25" s="667"/>
      <c r="E25" s="9"/>
      <c r="F25" s="125"/>
      <c r="G25" s="9"/>
      <c r="H25" s="79"/>
      <c r="I25" s="58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J27" s="2"/>
      <c r="K27" s="40"/>
      <c r="L27" s="2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13302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37442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cOC5y+UCRf+aiRw3csNenMGSPlNcbA5O7kujLBy7Vb3in6xyxTaDxRdD9ZntEoGSpFwAf5XxGXty7c74ajkNuQ==" saltValue="6Xtp8oqsThFLWy0XeipVZ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9:D19"/>
    <mergeCell ref="A20:D20"/>
    <mergeCell ref="A21:G21"/>
    <mergeCell ref="A22:H22"/>
    <mergeCell ref="A18:D18"/>
    <mergeCell ref="B32:H32"/>
    <mergeCell ref="B33:H33"/>
    <mergeCell ref="B34:H34"/>
    <mergeCell ref="B35:H35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6"/>
  <sheetViews>
    <sheetView showGridLines="0" topLeftCell="A17" zoomScale="120" zoomScaleNormal="12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6.62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'2.2'!A1:H1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Presupuesto!B13</f>
        <v>2</v>
      </c>
      <c r="B3" s="790" t="str">
        <f>Presupuesto!C13</f>
        <v>MOVIMIENTO DE TIERRAS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Presupuesto!B16</f>
        <v>2.2999999999999998</v>
      </c>
      <c r="B5" s="780" t="str">
        <f>Presupuesto!C16</f>
        <v>Rellenos con material de río, compactación manual</v>
      </c>
      <c r="C5" s="686"/>
      <c r="D5" s="686"/>
      <c r="E5" s="686"/>
      <c r="F5" s="687"/>
      <c r="G5" s="780" t="str">
        <f>Presupuesto!D16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160</v>
      </c>
      <c r="B8" s="666"/>
      <c r="C8" s="666"/>
      <c r="D8" s="667"/>
      <c r="E8" s="7" t="s">
        <v>26</v>
      </c>
      <c r="F8" s="80">
        <v>110000</v>
      </c>
      <c r="G8" s="7">
        <v>1</v>
      </c>
      <c r="H8" s="79">
        <f>F8*G8</f>
        <v>110000</v>
      </c>
      <c r="I8" s="2"/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I9" s="2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110000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114</v>
      </c>
      <c r="B16" s="666"/>
      <c r="C16" s="666"/>
      <c r="D16" s="667"/>
      <c r="E16" s="7" t="s">
        <v>61</v>
      </c>
      <c r="F16" s="80">
        <v>350</v>
      </c>
      <c r="G16" s="7">
        <f>G24</f>
        <v>0.7</v>
      </c>
      <c r="H16" s="79">
        <f>F16/G16</f>
        <v>500.00000000000006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129</v>
      </c>
      <c r="B17" s="666"/>
      <c r="C17" s="666"/>
      <c r="D17" s="667"/>
      <c r="E17" s="7" t="s">
        <v>61</v>
      </c>
      <c r="F17" s="80">
        <v>350</v>
      </c>
      <c r="G17" s="7">
        <f>G24</f>
        <v>0.7</v>
      </c>
      <c r="H17" s="79">
        <f>F17/G17</f>
        <v>500.00000000000006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161</v>
      </c>
      <c r="B18" s="666"/>
      <c r="C18" s="666"/>
      <c r="D18" s="667"/>
      <c r="E18" s="7" t="s">
        <v>30</v>
      </c>
      <c r="F18" s="80">
        <v>51.45</v>
      </c>
      <c r="G18" s="7">
        <f>G24</f>
        <v>0.7</v>
      </c>
      <c r="H18" s="79">
        <f>F18/G18</f>
        <v>73.500000000000014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126">
        <f>ROUNDUP(SUM(H16:H20),0)</f>
        <v>1074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58"/>
      <c r="K23" s="58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4" t="str">
        <f>'Analisis de cuadrillas'!C8</f>
        <v>Cuadrilla Oficios Varios</v>
      </c>
      <c r="B24" s="666"/>
      <c r="C24" s="666"/>
      <c r="D24" s="667"/>
      <c r="E24" s="7">
        <v>1</v>
      </c>
      <c r="F24" s="87">
        <f>'Analisis de cuadrillas'!G8</f>
        <v>33253.333333333336</v>
      </c>
      <c r="G24" s="7">
        <v>0.7</v>
      </c>
      <c r="H24" s="79">
        <f>E24*(F24/G24)</f>
        <v>47504.761904761908</v>
      </c>
      <c r="I24" s="58"/>
      <c r="J24" s="2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4"/>
      <c r="B25" s="666"/>
      <c r="C25" s="666"/>
      <c r="D25" s="667"/>
      <c r="E25" s="7"/>
      <c r="F25" s="87"/>
      <c r="G25" s="7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I26" s="2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47505</v>
      </c>
      <c r="J28" s="2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158579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EBSzgaEpykym6aAVnqNyLc5F9RKZuXz9qaiHrI9m6+wxptiUF32f20cVWhcm/tnYopgGuQulHcAcRs7gtC77fg==" saltValue="BzPmYYvm1zw10WxvZ8m07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2:H32"/>
    <mergeCell ref="B33:H33"/>
    <mergeCell ref="B34:H34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6"/>
  <sheetViews>
    <sheetView showGridLines="0" topLeftCell="A25" zoomScale="130" zoomScaleNormal="13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4.5" customWidth="1"/>
    <col min="8" max="10" width="11.375" customWidth="1"/>
    <col min="11" max="11" width="12.75" customWidth="1"/>
    <col min="12" max="12" width="10.5" customWidth="1"/>
    <col min="13" max="13" width="10" customWidth="1"/>
    <col min="14" max="14" width="13.125" customWidth="1"/>
    <col min="15" max="26" width="10" customWidth="1"/>
  </cols>
  <sheetData>
    <row r="1" spans="1:26" ht="15" customHeight="1">
      <c r="A1" s="843" t="str">
        <f>'2.3'!A1:H1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  <c r="M1" s="8"/>
      <c r="N1" s="8"/>
      <c r="O1" s="8"/>
      <c r="P1" s="8"/>
      <c r="Q1" s="2"/>
      <c r="S1" s="127"/>
      <c r="T1" s="2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  <c r="M2" s="2"/>
      <c r="N2" s="2"/>
      <c r="O2" s="2"/>
    </row>
    <row r="3" spans="1:26" ht="15.75" customHeight="1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  <c r="M3" s="2"/>
      <c r="N3" s="2"/>
      <c r="O3" s="2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  <c r="M4" s="2"/>
      <c r="N4" s="2"/>
      <c r="O4" s="2"/>
      <c r="P4" s="2"/>
      <c r="Q4" s="2"/>
    </row>
    <row r="5" spans="1:26" ht="14.25" customHeight="1">
      <c r="A5" s="49">
        <f>Presupuesto!B19</f>
        <v>3.1</v>
      </c>
      <c r="B5" s="780" t="str">
        <f>Presupuesto!C19</f>
        <v>Caja de inspección en concreto 100X100X100</v>
      </c>
      <c r="C5" s="686"/>
      <c r="D5" s="686"/>
      <c r="E5" s="686"/>
      <c r="F5" s="687"/>
      <c r="G5" s="780" t="str">
        <f>Presupuesto!D19</f>
        <v>UND</v>
      </c>
      <c r="H5" s="822"/>
      <c r="K5" s="40"/>
      <c r="M5" s="2"/>
      <c r="N5" s="2"/>
      <c r="O5" s="2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  <c r="M6" s="2"/>
      <c r="N6" s="2"/>
      <c r="O6" s="2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M7" s="2"/>
      <c r="N7" s="2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1010</v>
      </c>
      <c r="G8" s="7">
        <v>65</v>
      </c>
      <c r="H8" s="79">
        <f>F8*G8</f>
        <v>65650</v>
      </c>
      <c r="J8" s="21"/>
      <c r="K8" s="40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30500</v>
      </c>
      <c r="G9" s="7">
        <f>0.045+0.02</f>
        <v>6.5000000000000002E-2</v>
      </c>
      <c r="H9" s="79">
        <f>F9*G9</f>
        <v>1982.5</v>
      </c>
      <c r="I9" s="2"/>
      <c r="J9" s="2"/>
      <c r="K9" s="40"/>
    </row>
    <row r="10" spans="1:26" ht="14.25" customHeight="1">
      <c r="A10" s="814" t="s">
        <v>165</v>
      </c>
      <c r="B10" s="666"/>
      <c r="C10" s="666"/>
      <c r="D10" s="667"/>
      <c r="E10" s="7" t="s">
        <v>162</v>
      </c>
      <c r="F10" s="80">
        <v>45500</v>
      </c>
      <c r="G10" s="7">
        <v>3.0099999999999998E-2</v>
      </c>
      <c r="H10" s="79">
        <f>F10*G10</f>
        <v>1369.55</v>
      </c>
      <c r="I10" s="2"/>
      <c r="K10" s="40"/>
    </row>
    <row r="11" spans="1:26" ht="14.25" customHeight="1">
      <c r="A11" s="846"/>
      <c r="B11" s="666"/>
      <c r="C11" s="666"/>
      <c r="D11" s="667"/>
      <c r="E11" s="7"/>
      <c r="F11" s="84"/>
      <c r="G11" s="5"/>
      <c r="H11" s="79"/>
      <c r="J11" s="2"/>
      <c r="K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4.25" customHeight="1">
      <c r="A12" s="847"/>
      <c r="B12" s="839"/>
      <c r="C12" s="839"/>
      <c r="D12" s="848"/>
      <c r="E12" s="128"/>
      <c r="F12" s="129"/>
      <c r="G12" s="130"/>
      <c r="H12" s="131"/>
      <c r="J12" s="2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69002</v>
      </c>
      <c r="J13" s="2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13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8" t="str">
        <f>'2.3'!A16</f>
        <v xml:space="preserve">Herramienta menor </v>
      </c>
      <c r="B16" s="666"/>
      <c r="C16" s="666"/>
      <c r="D16" s="667"/>
      <c r="E16" s="7" t="s">
        <v>61</v>
      </c>
      <c r="F16" s="80">
        <v>350</v>
      </c>
      <c r="G16" s="134">
        <f>G24</f>
        <v>0.25</v>
      </c>
      <c r="H16" s="79">
        <f>F16/G16</f>
        <v>1400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 t="str">
        <f>'2.3'!A17</f>
        <v>Herramienta Mayor</v>
      </c>
      <c r="B17" s="666"/>
      <c r="C17" s="666"/>
      <c r="D17" s="667"/>
      <c r="E17" s="7" t="s">
        <v>61</v>
      </c>
      <c r="F17" s="80">
        <v>350</v>
      </c>
      <c r="G17" s="134">
        <f>G24</f>
        <v>0.25</v>
      </c>
      <c r="H17" s="79">
        <f>F17/G17</f>
        <v>1400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I18" s="2"/>
      <c r="K18" s="58"/>
      <c r="L18" s="2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L19" s="2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L20" s="2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2800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58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58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cuadrillas'!C10</f>
        <v>Cuadrilla Mamposteria</v>
      </c>
      <c r="B24" s="666"/>
      <c r="C24" s="666"/>
      <c r="D24" s="667"/>
      <c r="E24" s="7">
        <v>1</v>
      </c>
      <c r="F24" s="88">
        <f>'Analisis de cuadrillas'!G10</f>
        <v>56186.910333333333</v>
      </c>
      <c r="G24" s="112">
        <v>0.25</v>
      </c>
      <c r="H24" s="79">
        <f>E24*(F24/G24)</f>
        <v>224747.64133333333</v>
      </c>
      <c r="I24" s="58"/>
      <c r="K24" s="40"/>
      <c r="L24" s="109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108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J27" s="2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224748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296550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3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YsBbb0599VFyiSrITpfneKuTNaceQMongq7QW+9j23Sh8of2yZQhJQJBa+JH0aI0t+HviUoAlNaCNBfnMdBedw==" saltValue="H0nUg+pIobOZ8Gjxk1J18Q==" spinCount="100000" sheet="1" objects="1" scenarios="1" selectLockedCells="1" selectUnlockedCells="1"/>
  <mergeCells count="36">
    <mergeCell ref="A1:H1"/>
    <mergeCell ref="B2:F2"/>
    <mergeCell ref="G2:H3"/>
    <mergeCell ref="B3:F3"/>
    <mergeCell ref="A7:D7"/>
    <mergeCell ref="A8:D8"/>
    <mergeCell ref="A9:D9"/>
    <mergeCell ref="A10:D10"/>
    <mergeCell ref="G4:H4"/>
    <mergeCell ref="B4:F4"/>
    <mergeCell ref="B5:F5"/>
    <mergeCell ref="G5:H5"/>
    <mergeCell ref="A6:H6"/>
    <mergeCell ref="A11:D11"/>
    <mergeCell ref="A12:D12"/>
    <mergeCell ref="A13:G13"/>
    <mergeCell ref="A14:H14"/>
    <mergeCell ref="A15:D15"/>
    <mergeCell ref="A21:G21"/>
    <mergeCell ref="A22:H22"/>
    <mergeCell ref="A16:D16"/>
    <mergeCell ref="A17:D17"/>
    <mergeCell ref="A18:D18"/>
    <mergeCell ref="A19:D19"/>
    <mergeCell ref="A20:D20"/>
    <mergeCell ref="B35:H35"/>
    <mergeCell ref="A23:D23"/>
    <mergeCell ref="A24:D24"/>
    <mergeCell ref="A25:D25"/>
    <mergeCell ref="A26:D26"/>
    <mergeCell ref="A27:D27"/>
    <mergeCell ref="A28:G28"/>
    <mergeCell ref="A30:G30"/>
    <mergeCell ref="B32:H32"/>
    <mergeCell ref="B33:H33"/>
    <mergeCell ref="B34:H3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7"/>
  <sheetViews>
    <sheetView showGridLines="0" topLeftCell="A25" zoomScale="140" zoomScaleNormal="14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1.9" customHeight="1">
      <c r="A1" s="843" t="str">
        <f>'3.1'!A1:H1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Presupuesto!B20</f>
        <v>3.2</v>
      </c>
      <c r="B5" s="780" t="str">
        <f>Presupuesto!C20</f>
        <v>Red sanitaria tuberia PVC 4"</v>
      </c>
      <c r="C5" s="686"/>
      <c r="D5" s="686"/>
      <c r="E5" s="686"/>
      <c r="F5" s="687"/>
      <c r="G5" s="780" t="str">
        <f>Presupuesto!D20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166</v>
      </c>
      <c r="B8" s="666"/>
      <c r="C8" s="666"/>
      <c r="D8" s="667"/>
      <c r="E8" s="7" t="s">
        <v>15</v>
      </c>
      <c r="F8" s="80">
        <v>13983</v>
      </c>
      <c r="G8" s="7">
        <v>1.1000000000000001</v>
      </c>
      <c r="H8" s="79">
        <f>F8*G8</f>
        <v>15381.300000000001</v>
      </c>
      <c r="K8" s="40"/>
      <c r="Z8" s="2" t="s">
        <v>167</v>
      </c>
    </row>
    <row r="9" spans="1:26" ht="14.25" customHeight="1">
      <c r="A9" s="814" t="s">
        <v>168</v>
      </c>
      <c r="B9" s="666"/>
      <c r="C9" s="666"/>
      <c r="D9" s="667"/>
      <c r="E9" s="7" t="s">
        <v>30</v>
      </c>
      <c r="F9" s="80">
        <v>9400</v>
      </c>
      <c r="G9" s="7">
        <v>0.1</v>
      </c>
      <c r="H9" s="79">
        <f>F9*G9</f>
        <v>940</v>
      </c>
      <c r="K9" s="40"/>
    </row>
    <row r="10" spans="1:26" ht="14.25" customHeight="1">
      <c r="A10" s="846" t="s">
        <v>169</v>
      </c>
      <c r="B10" s="666"/>
      <c r="C10" s="666"/>
      <c r="D10" s="667"/>
      <c r="E10" s="7" t="s">
        <v>30</v>
      </c>
      <c r="F10" s="80">
        <v>7400</v>
      </c>
      <c r="G10" s="7">
        <v>0.1</v>
      </c>
      <c r="H10" s="79">
        <f>F10*G10</f>
        <v>740</v>
      </c>
      <c r="K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</row>
    <row r="11" spans="1:26" ht="14.25" customHeight="1">
      <c r="A11" s="814" t="s">
        <v>249</v>
      </c>
      <c r="B11" s="666"/>
      <c r="C11" s="666"/>
      <c r="D11" s="667"/>
      <c r="E11" s="7" t="s">
        <v>26</v>
      </c>
      <c r="F11" s="80">
        <v>30500</v>
      </c>
      <c r="G11" s="7">
        <v>6.0000000000000001E-3</v>
      </c>
      <c r="H11" s="79">
        <f>F11*G11</f>
        <v>183</v>
      </c>
      <c r="K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4.25" customHeight="1">
      <c r="A12" s="846" t="s">
        <v>170</v>
      </c>
      <c r="B12" s="666"/>
      <c r="C12" s="666"/>
      <c r="D12" s="667"/>
      <c r="E12" s="7" t="s">
        <v>30</v>
      </c>
      <c r="F12" s="80">
        <v>12500</v>
      </c>
      <c r="G12" s="7">
        <v>0.5</v>
      </c>
      <c r="H12" s="79">
        <f>F12*G12</f>
        <v>6250</v>
      </c>
      <c r="I12" s="2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47"/>
      <c r="B13" s="839"/>
      <c r="C13" s="839"/>
      <c r="D13" s="848"/>
      <c r="E13" s="128"/>
      <c r="F13" s="133"/>
      <c r="G13" s="128"/>
      <c r="H13" s="131"/>
      <c r="I13" s="2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23494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114</v>
      </c>
      <c r="B17" s="666"/>
      <c r="C17" s="666"/>
      <c r="D17" s="667"/>
      <c r="E17" s="7" t="s">
        <v>61</v>
      </c>
      <c r="F17" s="80">
        <v>350</v>
      </c>
      <c r="G17" s="5">
        <f>G25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129</v>
      </c>
      <c r="B18" s="666"/>
      <c r="C18" s="666"/>
      <c r="D18" s="667"/>
      <c r="E18" s="7" t="s">
        <v>61</v>
      </c>
      <c r="F18" s="80">
        <v>350</v>
      </c>
      <c r="G18" s="5">
        <f>G25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700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cuadrillas'!C11</f>
        <v>Cuadrilla Hidrosanitaria</v>
      </c>
      <c r="B25" s="666"/>
      <c r="C25" s="666"/>
      <c r="D25" s="667"/>
      <c r="E25" s="7">
        <v>1</v>
      </c>
      <c r="F25" s="88">
        <f>'Analisis de cuadrillas'!G11</f>
        <v>46802.985933333322</v>
      </c>
      <c r="G25" s="7">
        <v>1</v>
      </c>
      <c r="H25" s="79">
        <f>E25*(F25/G25)</f>
        <v>46802.985933333322</v>
      </c>
      <c r="I25" s="58"/>
      <c r="K25" s="58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J27" s="135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J28" s="135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46803</v>
      </c>
      <c r="K29" s="40"/>
      <c r="M29" s="40"/>
      <c r="N29" s="40"/>
      <c r="O29" s="58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J30" s="2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70997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3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sheetProtection algorithmName="SHA-512" hashValue="PANizwgGlkqlOj8ltWRiXXGXIGwPYMBnjck4dM7C+o1yiUD7pVq1gb2G471v7le78izlWVWxNz6/C/1icetjGQ==" saltValue="nYFAp0XkV7OKpdKL4LSJWw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22:G22"/>
    <mergeCell ref="A23:H23"/>
    <mergeCell ref="A17:D17"/>
    <mergeCell ref="A18:D18"/>
    <mergeCell ref="A19:D19"/>
    <mergeCell ref="A20:D20"/>
    <mergeCell ref="A21:D21"/>
    <mergeCell ref="B36:H36"/>
    <mergeCell ref="A24:D24"/>
    <mergeCell ref="A25:D25"/>
    <mergeCell ref="A26:D26"/>
    <mergeCell ref="A27:D27"/>
    <mergeCell ref="A28:D28"/>
    <mergeCell ref="A29:G29"/>
    <mergeCell ref="A31:G31"/>
    <mergeCell ref="B33:H33"/>
    <mergeCell ref="B34:H34"/>
    <mergeCell ref="B35:H35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1"/>
  <sheetViews>
    <sheetView showGridLines="0" topLeftCell="A25" zoomScale="130" zoomScaleNormal="13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0.6" customHeight="1">
      <c r="A1" s="843" t="str">
        <f>'3.2'!A1:H1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Presupuesto!B21</f>
        <v>3.3</v>
      </c>
      <c r="B5" s="780" t="str">
        <f>Presupuesto!C21</f>
        <v>Red sanitaria tuberia PVC 2"</v>
      </c>
      <c r="C5" s="686"/>
      <c r="D5" s="686"/>
      <c r="E5" s="686"/>
      <c r="F5" s="687"/>
      <c r="G5" s="780" t="str">
        <f>Presupuesto!D21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171</v>
      </c>
      <c r="B8" s="666"/>
      <c r="C8" s="666"/>
      <c r="D8" s="667"/>
      <c r="E8" s="7" t="s">
        <v>15</v>
      </c>
      <c r="F8" s="80">
        <v>7150</v>
      </c>
      <c r="G8" s="7">
        <v>1.1000000000000001</v>
      </c>
      <c r="H8" s="79">
        <f>F8*G8</f>
        <v>7865.0000000000009</v>
      </c>
      <c r="K8" s="40"/>
    </row>
    <row r="9" spans="1:26" ht="14.25" customHeight="1">
      <c r="A9" s="814" t="s">
        <v>168</v>
      </c>
      <c r="B9" s="666"/>
      <c r="C9" s="666"/>
      <c r="D9" s="667"/>
      <c r="E9" s="7" t="s">
        <v>30</v>
      </c>
      <c r="F9" s="80">
        <v>8650</v>
      </c>
      <c r="G9" s="7">
        <v>0.1</v>
      </c>
      <c r="H9" s="79">
        <f>F9*G9</f>
        <v>865</v>
      </c>
      <c r="K9" s="40"/>
    </row>
    <row r="10" spans="1:26" ht="14.25" customHeight="1">
      <c r="A10" s="846" t="s">
        <v>169</v>
      </c>
      <c r="B10" s="666"/>
      <c r="C10" s="666"/>
      <c r="D10" s="667"/>
      <c r="E10" s="7" t="s">
        <v>30</v>
      </c>
      <c r="F10" s="80">
        <v>5300</v>
      </c>
      <c r="G10" s="7">
        <v>0.1</v>
      </c>
      <c r="H10" s="79">
        <f>F10*G10</f>
        <v>530</v>
      </c>
      <c r="K10" s="40"/>
    </row>
    <row r="11" spans="1:26" ht="14.25" customHeight="1">
      <c r="A11" s="814" t="s">
        <v>249</v>
      </c>
      <c r="B11" s="666"/>
      <c r="C11" s="666"/>
      <c r="D11" s="667"/>
      <c r="E11" s="7" t="s">
        <v>26</v>
      </c>
      <c r="F11" s="80">
        <v>30500</v>
      </c>
      <c r="G11" s="7">
        <v>6.0000000000000001E-3</v>
      </c>
      <c r="H11" s="79">
        <f>F11*G11</f>
        <v>183</v>
      </c>
      <c r="K11" s="40"/>
    </row>
    <row r="12" spans="1:26" ht="14.25" customHeight="1">
      <c r="A12" s="846" t="s">
        <v>172</v>
      </c>
      <c r="B12" s="666"/>
      <c r="C12" s="666"/>
      <c r="D12" s="667"/>
      <c r="E12" s="7" t="s">
        <v>30</v>
      </c>
      <c r="F12" s="80">
        <v>5500</v>
      </c>
      <c r="G12" s="7">
        <v>0.5</v>
      </c>
      <c r="H12" s="79">
        <f>F12*G12</f>
        <v>2750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9"/>
      <c r="B13" s="700"/>
      <c r="C13" s="700"/>
      <c r="D13" s="776"/>
      <c r="E13" s="56"/>
      <c r="F13" s="85"/>
      <c r="G13" s="56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12193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114</v>
      </c>
      <c r="B17" s="666"/>
      <c r="C17" s="666"/>
      <c r="D17" s="667"/>
      <c r="E17" s="7" t="s">
        <v>61</v>
      </c>
      <c r="F17" s="80">
        <v>350</v>
      </c>
      <c r="G17" s="5">
        <f>G25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129</v>
      </c>
      <c r="B18" s="666"/>
      <c r="C18" s="666"/>
      <c r="D18" s="667"/>
      <c r="E18" s="7" t="s">
        <v>61</v>
      </c>
      <c r="F18" s="80">
        <v>350</v>
      </c>
      <c r="G18" s="5">
        <f>G25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700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136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cuadrillas'!C11</f>
        <v>Cuadrilla Hidrosanitaria</v>
      </c>
      <c r="B25" s="666"/>
      <c r="C25" s="666"/>
      <c r="D25" s="667"/>
      <c r="E25" s="7">
        <v>1</v>
      </c>
      <c r="F25" s="88">
        <f>'Analisis de cuadrillas'!G11</f>
        <v>46802.985933333322</v>
      </c>
      <c r="G25" s="7">
        <v>1</v>
      </c>
      <c r="H25" s="79">
        <f>(E25*F25)/G25</f>
        <v>46802.985933333322</v>
      </c>
      <c r="I25" s="40"/>
      <c r="J25" s="2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46803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59696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72" t="str">
        <f>'3.2'!A33</f>
        <v>ELABORO:</v>
      </c>
      <c r="B33" s="849" t="str">
        <f>'1.1'!B32</f>
        <v>Johan Sebastian Alvarez, Daniel Eduardo Ochoa Mora</v>
      </c>
      <c r="C33" s="850"/>
      <c r="D33" s="850"/>
      <c r="E33" s="850"/>
      <c r="F33" s="850"/>
      <c r="G33" s="850"/>
      <c r="H33" s="850"/>
      <c r="K33" s="40"/>
    </row>
    <row r="34" spans="1:11" ht="14.25" customHeight="1">
      <c r="A34" s="272" t="str">
        <f>'3.2'!A34</f>
        <v>REVISÓ:</v>
      </c>
      <c r="B34" s="849" t="str">
        <f>'1.1'!B33</f>
        <v>ing. Alexander Solarte Benavides</v>
      </c>
      <c r="C34" s="850"/>
      <c r="D34" s="850"/>
      <c r="E34" s="850"/>
      <c r="F34" s="850"/>
      <c r="G34" s="850"/>
      <c r="H34" s="850"/>
      <c r="K34" s="40"/>
    </row>
    <row r="35" spans="1:11" ht="14.25" customHeight="1">
      <c r="A35" s="272" t="str">
        <f>'3.2'!A35</f>
        <v>APROBÓ</v>
      </c>
      <c r="B35" s="849" t="str">
        <f>'1.1'!B34</f>
        <v>ing.Alexander Solarte Benavides</v>
      </c>
      <c r="C35" s="850"/>
      <c r="D35" s="850"/>
      <c r="E35" s="850"/>
      <c r="F35" s="850"/>
      <c r="G35" s="850"/>
      <c r="H35" s="850"/>
      <c r="K35" s="40"/>
    </row>
    <row r="36" spans="1:11" ht="14.25" customHeight="1">
      <c r="A36" s="272" t="str">
        <f>'3.2'!A36</f>
        <v>FECHA:</v>
      </c>
      <c r="B36" s="849" t="str">
        <f>'1.1'!B35</f>
        <v>12 de Noviembre del 2020</v>
      </c>
      <c r="C36" s="851"/>
      <c r="D36" s="851"/>
      <c r="E36" s="851"/>
      <c r="F36" s="851"/>
      <c r="G36" s="851"/>
      <c r="H36" s="851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FKFLY4RKE2LIrR8c3WMscV4UsPlqp25NfaWFvYzjLKW+62/VIFK//7O6j4+D+i/L4wMIGwBkcHXlQ43baoJ1Gg==" saltValue="WBSGpn03Je5XM6vfabGl3w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17:D17"/>
    <mergeCell ref="A18:D18"/>
    <mergeCell ref="A19:D19"/>
    <mergeCell ref="A20:D20"/>
    <mergeCell ref="A21:D21"/>
    <mergeCell ref="A22:G22"/>
    <mergeCell ref="A23:H23"/>
    <mergeCell ref="B33:H33"/>
    <mergeCell ref="B34:H34"/>
    <mergeCell ref="B35:H35"/>
    <mergeCell ref="B36:H36"/>
    <mergeCell ref="A24:D24"/>
    <mergeCell ref="A25:D25"/>
    <mergeCell ref="A26:D26"/>
    <mergeCell ref="A27:D27"/>
    <mergeCell ref="A28:D28"/>
    <mergeCell ref="A29:G29"/>
    <mergeCell ref="A31:G31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4"/>
  <sheetViews>
    <sheetView showGridLines="0" topLeftCell="A29" zoomScale="130" zoomScaleNormal="13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3.37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'3.3'!A1:H1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Presupuesto!B22</f>
        <v>3.4</v>
      </c>
      <c r="B5" s="780" t="str">
        <f>Presupuesto!C22</f>
        <v>Salida sanitaria en PVC de 4"</v>
      </c>
      <c r="C5" s="686"/>
      <c r="D5" s="686"/>
      <c r="E5" s="686"/>
      <c r="F5" s="687"/>
      <c r="G5" s="780" t="str">
        <f>Presupuesto!D22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I7" s="2"/>
      <c r="K7" s="40"/>
    </row>
    <row r="8" spans="1:26" ht="14.25" customHeight="1">
      <c r="A8" s="814" t="s">
        <v>173</v>
      </c>
      <c r="B8" s="666"/>
      <c r="C8" s="666"/>
      <c r="D8" s="667"/>
      <c r="E8" s="7" t="s">
        <v>15</v>
      </c>
      <c r="F8" s="80">
        <v>13983</v>
      </c>
      <c r="G8" s="7">
        <v>3</v>
      </c>
      <c r="H8" s="79">
        <f t="shared" ref="H8:H13" si="0">F8*G8</f>
        <v>41949</v>
      </c>
      <c r="I8" s="2"/>
      <c r="K8" s="40"/>
    </row>
    <row r="9" spans="1:26" ht="14.25" customHeight="1">
      <c r="A9" s="846" t="s">
        <v>170</v>
      </c>
      <c r="B9" s="666"/>
      <c r="C9" s="666"/>
      <c r="D9" s="667"/>
      <c r="E9" s="7" t="s">
        <v>30</v>
      </c>
      <c r="F9" s="80">
        <v>5500</v>
      </c>
      <c r="G9" s="7">
        <v>0.5</v>
      </c>
      <c r="H9" s="79">
        <f t="shared" si="0"/>
        <v>2750</v>
      </c>
      <c r="I9" s="2"/>
      <c r="K9" s="40"/>
    </row>
    <row r="10" spans="1:26" ht="14.25" customHeight="1">
      <c r="A10" s="814" t="s">
        <v>174</v>
      </c>
      <c r="B10" s="666"/>
      <c r="C10" s="666"/>
      <c r="D10" s="667"/>
      <c r="E10" s="7" t="s">
        <v>137</v>
      </c>
      <c r="F10" s="80">
        <v>1000</v>
      </c>
      <c r="G10" s="7">
        <v>1</v>
      </c>
      <c r="H10" s="79">
        <f t="shared" si="0"/>
        <v>1000</v>
      </c>
      <c r="K10" s="40"/>
    </row>
    <row r="11" spans="1:26" ht="14.25" customHeight="1">
      <c r="A11" s="814" t="s">
        <v>175</v>
      </c>
      <c r="B11" s="666"/>
      <c r="C11" s="666"/>
      <c r="D11" s="667"/>
      <c r="E11" s="7" t="s">
        <v>30</v>
      </c>
      <c r="F11" s="80">
        <v>8650</v>
      </c>
      <c r="G11" s="7">
        <v>0.3</v>
      </c>
      <c r="H11" s="79">
        <f t="shared" si="0"/>
        <v>2595</v>
      </c>
      <c r="K11" s="40"/>
    </row>
    <row r="12" spans="1:26" ht="14.25" customHeight="1">
      <c r="A12" s="846" t="s">
        <v>169</v>
      </c>
      <c r="B12" s="666"/>
      <c r="C12" s="666"/>
      <c r="D12" s="667"/>
      <c r="E12" s="7" t="s">
        <v>30</v>
      </c>
      <c r="F12" s="80">
        <v>5300</v>
      </c>
      <c r="G12" s="7">
        <v>0.3</v>
      </c>
      <c r="H12" s="79">
        <f t="shared" si="0"/>
        <v>1590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 t="s">
        <v>249</v>
      </c>
      <c r="B13" s="666"/>
      <c r="C13" s="666"/>
      <c r="D13" s="667"/>
      <c r="E13" s="7" t="s">
        <v>26</v>
      </c>
      <c r="F13" s="80">
        <v>30500</v>
      </c>
      <c r="G13" s="7">
        <v>6.0000000000000001E-3</v>
      </c>
      <c r="H13" s="79">
        <f t="shared" si="0"/>
        <v>183</v>
      </c>
      <c r="I13" s="2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55"/>
      <c r="B14" s="839"/>
      <c r="C14" s="839"/>
      <c r="D14" s="848"/>
      <c r="E14" s="130"/>
      <c r="F14" s="129"/>
      <c r="G14" s="130"/>
      <c r="H14" s="131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17" t="s">
        <v>110</v>
      </c>
      <c r="B15" s="672"/>
      <c r="C15" s="672"/>
      <c r="D15" s="672"/>
      <c r="E15" s="672"/>
      <c r="F15" s="672"/>
      <c r="G15" s="714"/>
      <c r="H15" s="81">
        <f>ROUND(SUM(H8:H14),0)</f>
        <v>50067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0" t="s">
        <v>112</v>
      </c>
      <c r="B16" s="672"/>
      <c r="C16" s="672"/>
      <c r="D16" s="672"/>
      <c r="E16" s="672"/>
      <c r="F16" s="672"/>
      <c r="G16" s="672"/>
      <c r="H16" s="673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1" t="s">
        <v>103</v>
      </c>
      <c r="B17" s="703"/>
      <c r="C17" s="703"/>
      <c r="D17" s="715"/>
      <c r="E17" s="59" t="s">
        <v>104</v>
      </c>
      <c r="F17" s="59" t="s">
        <v>113</v>
      </c>
      <c r="G17" s="60" t="s">
        <v>106</v>
      </c>
      <c r="H17" s="62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114</v>
      </c>
      <c r="B18" s="666"/>
      <c r="C18" s="666"/>
      <c r="D18" s="667"/>
      <c r="E18" s="7" t="s">
        <v>61</v>
      </c>
      <c r="F18" s="80">
        <v>350</v>
      </c>
      <c r="G18" s="5">
        <f>G26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129</v>
      </c>
      <c r="B19" s="666"/>
      <c r="C19" s="666"/>
      <c r="D19" s="667"/>
      <c r="E19" s="7" t="s">
        <v>61</v>
      </c>
      <c r="F19" s="80">
        <v>350</v>
      </c>
      <c r="G19" s="5">
        <f>G26</f>
        <v>1</v>
      </c>
      <c r="H19" s="79">
        <f>F19/G19</f>
        <v>350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I20" s="2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8"/>
      <c r="B21" s="666"/>
      <c r="C21" s="666"/>
      <c r="D21" s="667"/>
      <c r="E21" s="5"/>
      <c r="F21" s="84"/>
      <c r="G21" s="5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9"/>
      <c r="B22" s="700"/>
      <c r="C22" s="700"/>
      <c r="D22" s="776"/>
      <c r="E22" s="56"/>
      <c r="F22" s="85"/>
      <c r="G22" s="56"/>
      <c r="H22" s="79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7" t="s">
        <v>116</v>
      </c>
      <c r="B23" s="672"/>
      <c r="C23" s="672"/>
      <c r="D23" s="672"/>
      <c r="E23" s="672"/>
      <c r="F23" s="672"/>
      <c r="G23" s="714"/>
      <c r="H23" s="86">
        <f>ROUNDUP(SUM(H18:H22),0)</f>
        <v>700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1" t="s">
        <v>118</v>
      </c>
      <c r="B24" s="676"/>
      <c r="C24" s="676"/>
      <c r="D24" s="676"/>
      <c r="E24" s="676"/>
      <c r="F24" s="676"/>
      <c r="G24" s="676"/>
      <c r="H24" s="81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3" t="s">
        <v>119</v>
      </c>
      <c r="B25" s="679"/>
      <c r="C25" s="679"/>
      <c r="D25" s="680"/>
      <c r="E25" s="65" t="s">
        <v>120</v>
      </c>
      <c r="F25" s="66" t="s">
        <v>121</v>
      </c>
      <c r="G25" s="67" t="s">
        <v>106</v>
      </c>
      <c r="H25" s="68" t="s">
        <v>107</v>
      </c>
      <c r="J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 t="str">
        <f>'Analisis de cuadrillas'!C11</f>
        <v>Cuadrilla Hidrosanitaria</v>
      </c>
      <c r="B26" s="666"/>
      <c r="C26" s="666"/>
      <c r="D26" s="667"/>
      <c r="E26" s="7">
        <v>1</v>
      </c>
      <c r="F26" s="88">
        <f>'Analisis de cuadrillas'!G11</f>
        <v>46802.985933333322</v>
      </c>
      <c r="G26" s="7">
        <v>1</v>
      </c>
      <c r="H26" s="79">
        <f>E26*(F26/G26)</f>
        <v>46802.985933333322</v>
      </c>
      <c r="I26" s="2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8"/>
      <c r="B27" s="666"/>
      <c r="C27" s="666"/>
      <c r="D27" s="667"/>
      <c r="E27" s="5"/>
      <c r="F27" s="88"/>
      <c r="G27" s="5"/>
      <c r="H27" s="79"/>
      <c r="I27" s="40"/>
      <c r="J27" s="73"/>
      <c r="K27" s="40"/>
      <c r="L27" s="107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5"/>
      <c r="B28" s="666"/>
      <c r="C28" s="666"/>
      <c r="D28" s="667"/>
      <c r="E28" s="5"/>
      <c r="F28" s="88"/>
      <c r="G28" s="5"/>
      <c r="H28" s="79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6"/>
      <c r="B29" s="686"/>
      <c r="C29" s="686"/>
      <c r="D29" s="687"/>
      <c r="E29" s="89"/>
      <c r="F29" s="90"/>
      <c r="G29" s="56"/>
      <c r="H29" s="91"/>
      <c r="J29" s="2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7" t="s">
        <v>122</v>
      </c>
      <c r="B30" s="672"/>
      <c r="C30" s="672"/>
      <c r="D30" s="672"/>
      <c r="E30" s="672"/>
      <c r="F30" s="672"/>
      <c r="G30" s="673"/>
      <c r="H30" s="86">
        <f>ROUNDUP(SUM(H26:H29),0)</f>
        <v>46803</v>
      </c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770" t="s">
        <v>123</v>
      </c>
      <c r="B32" s="672"/>
      <c r="C32" s="672"/>
      <c r="D32" s="672"/>
      <c r="E32" s="672"/>
      <c r="F32" s="672"/>
      <c r="G32" s="714"/>
      <c r="H32" s="92">
        <f>+H30+H15+H23</f>
        <v>97570</v>
      </c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293" t="s">
        <v>1</v>
      </c>
      <c r="B34" s="852" t="str">
        <f>'1.1'!B32</f>
        <v>Johan Sebastian Alvarez, Daniel Eduardo Ochoa Mora</v>
      </c>
      <c r="C34" s="853"/>
      <c r="D34" s="853"/>
      <c r="E34" s="853"/>
      <c r="F34" s="853"/>
      <c r="G34" s="853"/>
      <c r="H34" s="853"/>
      <c r="K34" s="40"/>
    </row>
    <row r="35" spans="1:26" ht="14.25" customHeight="1">
      <c r="A35" s="294" t="str">
        <f>'3.2'!A34</f>
        <v>REVISÓ:</v>
      </c>
      <c r="B35" s="852" t="str">
        <f>'1.1'!B33</f>
        <v>ing. Alexander Solarte Benavides</v>
      </c>
      <c r="C35" s="853"/>
      <c r="D35" s="853"/>
      <c r="E35" s="853"/>
      <c r="F35" s="853"/>
      <c r="G35" s="853"/>
      <c r="H35" s="853"/>
      <c r="K35" s="40"/>
    </row>
    <row r="36" spans="1:26" ht="14.25" customHeight="1">
      <c r="A36" s="294" t="str">
        <f>'3.2'!A35</f>
        <v>APROBÓ</v>
      </c>
      <c r="B36" s="852" t="str">
        <f>'1.1'!B34</f>
        <v>ing.Alexander Solarte Benavides</v>
      </c>
      <c r="C36" s="853"/>
      <c r="D36" s="853"/>
      <c r="E36" s="853"/>
      <c r="F36" s="853"/>
      <c r="G36" s="853"/>
      <c r="H36" s="853"/>
      <c r="K36" s="40"/>
    </row>
    <row r="37" spans="1:26" ht="14.25" customHeight="1">
      <c r="A37" s="294" t="str">
        <f>'3.2'!A36</f>
        <v>FECHA:</v>
      </c>
      <c r="B37" s="852" t="str">
        <f>'1.1'!B35</f>
        <v>12 de Noviembre del 2020</v>
      </c>
      <c r="C37" s="854"/>
      <c r="D37" s="854"/>
      <c r="E37" s="854"/>
      <c r="F37" s="854"/>
      <c r="G37" s="854"/>
      <c r="H37" s="854"/>
      <c r="K37" s="40"/>
    </row>
    <row r="38" spans="1:26" ht="14.25" customHeight="1">
      <c r="A38" s="178"/>
      <c r="B38" s="178"/>
      <c r="C38" s="178"/>
      <c r="D38" s="178"/>
      <c r="E38" s="178"/>
      <c r="F38" s="178"/>
      <c r="G38" s="178"/>
      <c r="H38" s="178"/>
      <c r="K38" s="40"/>
    </row>
    <row r="39" spans="1:26" ht="14.25" customHeight="1"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5.75" customHeight="1"/>
    <row r="231" spans="11:11" ht="15.75" customHeight="1"/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sheetProtection algorithmName="SHA-512" hashValue="bzG9FvMKrhr+KImfmGhq+OKog7VZEW7SlJgjY5l2VOeTgt5P1NosKJXnmJgGqC5iJlqtXopQfzZw3RmJDeVY9w==" saltValue="CmpmAhBrakQPAwuwpfLpWQ==" spinCount="100000" sheet="1" objects="1" scenarios="1" selectLockedCells="1" selectUnlockedCells="1"/>
  <mergeCells count="38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G15"/>
    <mergeCell ref="A16:H16"/>
    <mergeCell ref="A22:D22"/>
    <mergeCell ref="A23:G23"/>
    <mergeCell ref="A17:D17"/>
    <mergeCell ref="A18:D18"/>
    <mergeCell ref="A19:D19"/>
    <mergeCell ref="A20:D20"/>
    <mergeCell ref="A21:D21"/>
    <mergeCell ref="B34:H34"/>
    <mergeCell ref="B36:H36"/>
    <mergeCell ref="B37:H37"/>
    <mergeCell ref="A24:H24"/>
    <mergeCell ref="A25:D25"/>
    <mergeCell ref="A26:D26"/>
    <mergeCell ref="A27:D27"/>
    <mergeCell ref="A28:D28"/>
    <mergeCell ref="A29:D29"/>
    <mergeCell ref="A30:G30"/>
    <mergeCell ref="B35:H35"/>
    <mergeCell ref="A32:G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</sheetPr>
  <dimension ref="B1:Y997"/>
  <sheetViews>
    <sheetView showGridLines="0" zoomScaleNormal="100" workbookViewId="0">
      <selection activeCell="F12" sqref="F12"/>
    </sheetView>
  </sheetViews>
  <sheetFormatPr baseColWidth="10" defaultColWidth="12.625" defaultRowHeight="15" customHeight="1"/>
  <cols>
    <col min="1" max="1" width="6.875" style="257" customWidth="1"/>
    <col min="2" max="2" width="10.125" style="257" customWidth="1"/>
    <col min="3" max="3" width="70.375" style="257" customWidth="1"/>
    <col min="4" max="4" width="8.75" style="257" customWidth="1"/>
    <col min="5" max="24" width="9.375" style="257" customWidth="1"/>
    <col min="25" max="16384" width="12.625" style="257"/>
  </cols>
  <sheetData>
    <row r="1" spans="2:25" ht="22.9" customHeight="1" thickBot="1"/>
    <row r="2" spans="2:25" ht="19.899999999999999" customHeight="1" thickBot="1">
      <c r="B2" s="602" t="str">
        <f>Portada!C6</f>
        <v>PRESUPUESTO PARA LA CONSTRUCCION DE SALON SOCIAL EN LA COMUNIDAD DE NUEVA JERUSALEN</v>
      </c>
      <c r="C2" s="603"/>
      <c r="D2" s="604"/>
    </row>
    <row r="3" spans="2:25" ht="15" customHeight="1" thickBot="1">
      <c r="B3" s="605" t="s">
        <v>0</v>
      </c>
      <c r="C3" s="606"/>
      <c r="D3" s="607"/>
    </row>
    <row r="4" spans="2:25" ht="14.25" customHeight="1" thickBot="1">
      <c r="B4" s="419" t="str">
        <f>'Cantidades de Obra'!B5</f>
        <v>ITEM</v>
      </c>
      <c r="C4" s="404" t="str">
        <f>'Cantidades de Obra'!C5</f>
        <v>ACTIVIDAD</v>
      </c>
      <c r="D4" s="258" t="str">
        <f>'Cantidades de Obra'!D5</f>
        <v>UNIDAD</v>
      </c>
    </row>
    <row r="5" spans="2:25" ht="14.25" customHeight="1" thickBot="1">
      <c r="B5" s="420">
        <v>1</v>
      </c>
      <c r="C5" s="592" t="s">
        <v>5</v>
      </c>
      <c r="D5" s="593"/>
    </row>
    <row r="6" spans="2:25" ht="14.25" customHeight="1">
      <c r="B6" s="421">
        <v>1.1000000000000001</v>
      </c>
      <c r="C6" s="405" t="s">
        <v>7</v>
      </c>
      <c r="D6" s="261" t="s">
        <v>8</v>
      </c>
      <c r="F6" s="260"/>
    </row>
    <row r="7" spans="2:25" ht="14.25" customHeight="1">
      <c r="B7" s="422">
        <v>1.2</v>
      </c>
      <c r="C7" s="406" t="s">
        <v>9</v>
      </c>
      <c r="D7" s="261" t="s">
        <v>6</v>
      </c>
      <c r="Q7" s="262"/>
      <c r="R7" s="262"/>
      <c r="S7" s="262"/>
      <c r="T7" s="262"/>
      <c r="U7" s="262"/>
      <c r="V7" s="262"/>
      <c r="W7" s="262"/>
      <c r="X7" s="262"/>
      <c r="Y7" s="262"/>
    </row>
    <row r="8" spans="2:25" ht="14.25" customHeight="1">
      <c r="B8" s="421">
        <v>1.3</v>
      </c>
      <c r="C8" s="407" t="s">
        <v>292</v>
      </c>
      <c r="D8" s="261" t="s">
        <v>8</v>
      </c>
      <c r="F8" s="260"/>
      <c r="Q8" s="263"/>
      <c r="R8" s="264"/>
      <c r="S8" s="264"/>
      <c r="T8" s="264"/>
      <c r="U8" s="264"/>
      <c r="V8" s="264"/>
      <c r="W8" s="265"/>
      <c r="X8" s="266"/>
      <c r="Y8" s="262"/>
    </row>
    <row r="9" spans="2:25" ht="14.25" customHeight="1">
      <c r="B9" s="422">
        <v>1.4</v>
      </c>
      <c r="C9" s="406" t="s">
        <v>11</v>
      </c>
      <c r="D9" s="261" t="s">
        <v>8</v>
      </c>
      <c r="F9" s="260"/>
      <c r="Q9" s="263"/>
      <c r="R9" s="264"/>
      <c r="S9" s="264"/>
      <c r="T9" s="264"/>
      <c r="U9" s="264"/>
      <c r="V9" s="264"/>
      <c r="W9" s="265"/>
      <c r="X9" s="266"/>
      <c r="Y9" s="262"/>
    </row>
    <row r="10" spans="2:25" ht="14.25" customHeight="1" thickBot="1">
      <c r="B10" s="421">
        <v>1.5</v>
      </c>
      <c r="C10" s="408" t="s">
        <v>12</v>
      </c>
      <c r="D10" s="267" t="s">
        <v>15</v>
      </c>
      <c r="F10" s="260"/>
      <c r="Q10" s="263"/>
      <c r="R10" s="264"/>
      <c r="S10" s="264"/>
      <c r="T10" s="264"/>
      <c r="U10" s="264"/>
      <c r="V10" s="264"/>
      <c r="W10" s="265"/>
      <c r="X10" s="266"/>
      <c r="Y10" s="262"/>
    </row>
    <row r="11" spans="2:25" ht="14.25" customHeight="1" thickBot="1">
      <c r="B11" s="420">
        <v>2</v>
      </c>
      <c r="C11" s="594" t="s">
        <v>18</v>
      </c>
      <c r="D11" s="595"/>
      <c r="Q11" s="263"/>
      <c r="R11" s="264"/>
      <c r="S11" s="263"/>
      <c r="T11" s="264"/>
      <c r="U11" s="264"/>
      <c r="V11" s="264"/>
      <c r="W11" s="265"/>
      <c r="X11" s="266"/>
      <c r="Y11" s="262"/>
    </row>
    <row r="12" spans="2:25" ht="14.25" customHeight="1">
      <c r="B12" s="421">
        <v>2.1</v>
      </c>
      <c r="C12" s="409" t="s">
        <v>24</v>
      </c>
      <c r="D12" s="259" t="s">
        <v>26</v>
      </c>
      <c r="F12" s="268"/>
      <c r="Q12" s="269"/>
      <c r="R12" s="269"/>
      <c r="S12" s="269"/>
      <c r="T12" s="269"/>
      <c r="U12" s="269"/>
      <c r="V12" s="269"/>
      <c r="W12" s="269"/>
      <c r="X12" s="269"/>
      <c r="Y12" s="262"/>
    </row>
    <row r="13" spans="2:25" ht="14.25" customHeight="1">
      <c r="B13" s="422">
        <v>2.2000000000000002</v>
      </c>
      <c r="C13" s="406" t="s">
        <v>372</v>
      </c>
      <c r="D13" s="261" t="s">
        <v>26</v>
      </c>
      <c r="Q13" s="262"/>
      <c r="R13" s="262"/>
      <c r="S13" s="262"/>
      <c r="T13" s="262"/>
      <c r="U13" s="262"/>
      <c r="V13" s="262"/>
      <c r="W13" s="262"/>
      <c r="X13" s="262"/>
      <c r="Y13" s="262"/>
    </row>
    <row r="14" spans="2:25" ht="14.25" customHeight="1" thickBot="1">
      <c r="B14" s="423">
        <v>2.2999999999999998</v>
      </c>
      <c r="C14" s="410" t="s">
        <v>28</v>
      </c>
      <c r="D14" s="267" t="s">
        <v>26</v>
      </c>
      <c r="F14" s="260"/>
      <c r="Q14" s="262"/>
      <c r="R14" s="262"/>
      <c r="S14" s="262"/>
      <c r="T14" s="262"/>
      <c r="U14" s="262"/>
      <c r="V14" s="262"/>
      <c r="W14" s="262"/>
      <c r="X14" s="262"/>
      <c r="Y14" s="262"/>
    </row>
    <row r="15" spans="2:25" ht="14.25" customHeight="1" thickBot="1">
      <c r="B15" s="420">
        <v>3</v>
      </c>
      <c r="C15" s="592" t="s">
        <v>29</v>
      </c>
      <c r="D15" s="593"/>
      <c r="Q15" s="262"/>
      <c r="R15" s="262"/>
      <c r="S15" s="262"/>
      <c r="T15" s="262"/>
      <c r="U15" s="262"/>
      <c r="V15" s="262"/>
      <c r="W15" s="262"/>
      <c r="X15" s="262"/>
      <c r="Y15" s="262"/>
    </row>
    <row r="16" spans="2:25" ht="14.25" customHeight="1">
      <c r="B16" s="421">
        <v>3.1</v>
      </c>
      <c r="C16" s="409" t="s">
        <v>303</v>
      </c>
      <c r="D16" s="259" t="s">
        <v>30</v>
      </c>
      <c r="F16" s="260"/>
      <c r="Q16" s="262"/>
      <c r="R16" s="262"/>
      <c r="S16" s="262"/>
      <c r="T16" s="262"/>
      <c r="U16" s="262"/>
      <c r="V16" s="262"/>
      <c r="W16" s="262"/>
      <c r="X16" s="262"/>
      <c r="Y16" s="262"/>
    </row>
    <row r="17" spans="2:25" ht="14.25" customHeight="1">
      <c r="B17" s="422">
        <v>3.2</v>
      </c>
      <c r="C17" s="406" t="s">
        <v>31</v>
      </c>
      <c r="D17" s="261" t="s">
        <v>15</v>
      </c>
      <c r="Q17" s="262"/>
      <c r="R17" s="262"/>
      <c r="S17" s="262"/>
      <c r="T17" s="262"/>
      <c r="U17" s="262"/>
      <c r="V17" s="262"/>
      <c r="W17" s="262"/>
      <c r="X17" s="262"/>
      <c r="Y17" s="262"/>
    </row>
    <row r="18" spans="2:25" ht="14.25" customHeight="1">
      <c r="B18" s="422">
        <v>3.3</v>
      </c>
      <c r="C18" s="406" t="s">
        <v>32</v>
      </c>
      <c r="D18" s="261" t="s">
        <v>15</v>
      </c>
      <c r="Q18" s="262"/>
      <c r="R18" s="262"/>
      <c r="S18" s="262"/>
      <c r="T18" s="262"/>
      <c r="U18" s="262"/>
      <c r="V18" s="262"/>
      <c r="W18" s="262"/>
      <c r="X18" s="262"/>
      <c r="Y18" s="262"/>
    </row>
    <row r="19" spans="2:25" ht="14.25" customHeight="1">
      <c r="B19" s="422">
        <v>3.4</v>
      </c>
      <c r="C19" s="406" t="s">
        <v>33</v>
      </c>
      <c r="D19" s="261" t="s">
        <v>30</v>
      </c>
      <c r="Q19" s="262"/>
      <c r="R19" s="262"/>
      <c r="S19" s="262"/>
      <c r="T19" s="262"/>
      <c r="U19" s="262"/>
      <c r="V19" s="262"/>
      <c r="W19" s="262"/>
      <c r="X19" s="262"/>
      <c r="Y19" s="262"/>
    </row>
    <row r="20" spans="2:25" ht="14.25" customHeight="1">
      <c r="B20" s="422">
        <v>3.5</v>
      </c>
      <c r="C20" s="405" t="s">
        <v>34</v>
      </c>
      <c r="D20" s="261" t="s">
        <v>30</v>
      </c>
      <c r="G20" s="260"/>
    </row>
    <row r="21" spans="2:25" ht="14.25" customHeight="1">
      <c r="B21" s="422">
        <v>3.6</v>
      </c>
      <c r="C21" s="406" t="s">
        <v>35</v>
      </c>
      <c r="D21" s="261" t="s">
        <v>15</v>
      </c>
    </row>
    <row r="22" spans="2:25" ht="14.25" customHeight="1" thickBot="1">
      <c r="B22" s="423">
        <v>3.7</v>
      </c>
      <c r="C22" s="410" t="s">
        <v>36</v>
      </c>
      <c r="D22" s="267" t="s">
        <v>30</v>
      </c>
    </row>
    <row r="23" spans="2:25" ht="14.25" customHeight="1" thickBot="1">
      <c r="B23" s="420">
        <v>4</v>
      </c>
      <c r="C23" s="592" t="s">
        <v>37</v>
      </c>
      <c r="D23" s="593"/>
    </row>
    <row r="24" spans="2:25" ht="14.25" customHeight="1">
      <c r="B24" s="421">
        <v>4.0999999999999996</v>
      </c>
      <c r="C24" s="409" t="s">
        <v>38</v>
      </c>
      <c r="D24" s="259" t="s">
        <v>15</v>
      </c>
      <c r="F24" s="260"/>
    </row>
    <row r="25" spans="2:25" ht="14.25" customHeight="1" thickBot="1">
      <c r="B25" s="422">
        <v>4.2</v>
      </c>
      <c r="C25" s="406" t="s">
        <v>39</v>
      </c>
      <c r="D25" s="261" t="s">
        <v>30</v>
      </c>
      <c r="F25" s="260"/>
    </row>
    <row r="26" spans="2:25" ht="14.25" customHeight="1" thickBot="1">
      <c r="B26" s="420">
        <v>5</v>
      </c>
      <c r="C26" s="592" t="s">
        <v>40</v>
      </c>
      <c r="D26" s="593"/>
    </row>
    <row r="27" spans="2:25" ht="14.25" customHeight="1">
      <c r="B27" s="421">
        <v>5.0999999999999996</v>
      </c>
      <c r="C27" s="409" t="s">
        <v>364</v>
      </c>
      <c r="D27" s="259" t="s">
        <v>26</v>
      </c>
    </row>
    <row r="28" spans="2:25" ht="14.25" customHeight="1">
      <c r="B28" s="422">
        <v>5.2</v>
      </c>
      <c r="C28" s="406" t="s">
        <v>41</v>
      </c>
      <c r="D28" s="261" t="s">
        <v>42</v>
      </c>
    </row>
    <row r="29" spans="2:25" ht="14.25" customHeight="1">
      <c r="B29" s="421">
        <v>5.3</v>
      </c>
      <c r="C29" s="406" t="s">
        <v>43</v>
      </c>
      <c r="D29" s="261" t="s">
        <v>26</v>
      </c>
    </row>
    <row r="30" spans="2:25" ht="14.25" customHeight="1">
      <c r="B30" s="422">
        <v>5.4</v>
      </c>
      <c r="C30" s="406" t="s">
        <v>44</v>
      </c>
      <c r="D30" s="261" t="s">
        <v>8</v>
      </c>
    </row>
    <row r="31" spans="2:25" ht="14.25" customHeight="1">
      <c r="B31" s="421">
        <v>5.5</v>
      </c>
      <c r="C31" s="406" t="s">
        <v>45</v>
      </c>
      <c r="D31" s="261" t="s">
        <v>26</v>
      </c>
    </row>
    <row r="32" spans="2:25" ht="14.25" customHeight="1">
      <c r="B32" s="422">
        <v>5.6</v>
      </c>
      <c r="C32" s="406" t="s">
        <v>313</v>
      </c>
      <c r="D32" s="261" t="s">
        <v>26</v>
      </c>
    </row>
    <row r="33" spans="2:6" ht="14.25" customHeight="1">
      <c r="B33" s="421">
        <v>5.7</v>
      </c>
      <c r="C33" s="406" t="s">
        <v>312</v>
      </c>
      <c r="D33" s="261" t="s">
        <v>26</v>
      </c>
    </row>
    <row r="34" spans="2:6" ht="14.25" customHeight="1">
      <c r="B34" s="422">
        <v>5.8</v>
      </c>
      <c r="C34" s="405" t="s">
        <v>46</v>
      </c>
      <c r="D34" s="261" t="s">
        <v>8</v>
      </c>
      <c r="F34" s="260"/>
    </row>
    <row r="35" spans="2:6" ht="14.25" customHeight="1" thickBot="1">
      <c r="B35" s="440">
        <v>5.9</v>
      </c>
      <c r="C35" s="441" t="s">
        <v>366</v>
      </c>
      <c r="D35" s="261" t="s">
        <v>8</v>
      </c>
      <c r="F35" s="260"/>
    </row>
    <row r="36" spans="2:6" ht="14.25" customHeight="1" thickBot="1">
      <c r="B36" s="420">
        <v>6</v>
      </c>
      <c r="C36" s="592" t="s">
        <v>329</v>
      </c>
      <c r="D36" s="593"/>
    </row>
    <row r="37" spans="2:6" ht="14.25" customHeight="1">
      <c r="B37" s="424">
        <v>6.1</v>
      </c>
      <c r="C37" s="411" t="s">
        <v>316</v>
      </c>
      <c r="D37" s="373" t="s">
        <v>8</v>
      </c>
    </row>
    <row r="38" spans="2:6" ht="14.25" customHeight="1">
      <c r="B38" s="422">
        <v>6.2</v>
      </c>
      <c r="C38" s="405" t="s">
        <v>326</v>
      </c>
      <c r="D38" s="261" t="s">
        <v>8</v>
      </c>
    </row>
    <row r="39" spans="2:6" ht="14.25" customHeight="1">
      <c r="B39" s="423">
        <v>6.3</v>
      </c>
      <c r="C39" s="412" t="s">
        <v>376</v>
      </c>
      <c r="D39" s="267" t="s">
        <v>8</v>
      </c>
    </row>
    <row r="40" spans="2:6" ht="14.25" customHeight="1" thickBot="1">
      <c r="B40" s="425">
        <v>7</v>
      </c>
      <c r="C40" s="600" t="s">
        <v>47</v>
      </c>
      <c r="D40" s="601"/>
    </row>
    <row r="41" spans="2:6" ht="14.25" customHeight="1">
      <c r="B41" s="421">
        <v>7.1</v>
      </c>
      <c r="C41" s="409" t="s">
        <v>48</v>
      </c>
      <c r="D41" s="259" t="s">
        <v>6</v>
      </c>
    </row>
    <row r="42" spans="2:6" ht="14.25" customHeight="1">
      <c r="B42" s="422">
        <v>7.2</v>
      </c>
      <c r="C42" s="406" t="s">
        <v>49</v>
      </c>
      <c r="D42" s="261" t="s">
        <v>15</v>
      </c>
    </row>
    <row r="43" spans="2:6" ht="14.25" customHeight="1">
      <c r="B43" s="422">
        <v>7.3</v>
      </c>
      <c r="C43" s="405" t="s">
        <v>50</v>
      </c>
      <c r="D43" s="261" t="s">
        <v>30</v>
      </c>
    </row>
    <row r="44" spans="2:6" ht="14.25" customHeight="1">
      <c r="B44" s="422">
        <v>7.4</v>
      </c>
      <c r="C44" s="406" t="s">
        <v>365</v>
      </c>
      <c r="D44" s="261" t="s">
        <v>6</v>
      </c>
    </row>
    <row r="45" spans="2:6" ht="14.25" customHeight="1">
      <c r="B45" s="422">
        <v>7.5</v>
      </c>
      <c r="C45" s="406" t="s">
        <v>51</v>
      </c>
      <c r="D45" s="261" t="s">
        <v>15</v>
      </c>
    </row>
    <row r="46" spans="2:6" ht="14.25" customHeight="1">
      <c r="B46" s="422">
        <v>7.6</v>
      </c>
      <c r="C46" s="406" t="s">
        <v>52</v>
      </c>
      <c r="D46" s="261" t="s">
        <v>30</v>
      </c>
    </row>
    <row r="47" spans="2:6" ht="14.25" customHeight="1">
      <c r="B47" s="422">
        <v>7.7</v>
      </c>
      <c r="C47" s="406" t="s">
        <v>53</v>
      </c>
      <c r="D47" s="261" t="s">
        <v>30</v>
      </c>
    </row>
    <row r="48" spans="2:6" ht="14.25" customHeight="1">
      <c r="B48" s="422">
        <v>7.8</v>
      </c>
      <c r="C48" s="406" t="s">
        <v>54</v>
      </c>
      <c r="D48" s="261" t="s">
        <v>30</v>
      </c>
    </row>
    <row r="49" spans="2:4" ht="14.25" customHeight="1" thickBot="1">
      <c r="B49" s="423">
        <v>7.9</v>
      </c>
      <c r="C49" s="410" t="s">
        <v>55</v>
      </c>
      <c r="D49" s="267" t="s">
        <v>30</v>
      </c>
    </row>
    <row r="50" spans="2:4" ht="14.25" customHeight="1" thickBot="1">
      <c r="B50" s="426">
        <v>8</v>
      </c>
      <c r="C50" s="598" t="s">
        <v>56</v>
      </c>
      <c r="D50" s="599"/>
    </row>
    <row r="51" spans="2:4" ht="14.25" customHeight="1">
      <c r="B51" s="427">
        <v>8.1</v>
      </c>
      <c r="C51" s="413" t="s">
        <v>294</v>
      </c>
      <c r="D51" s="396" t="s">
        <v>8</v>
      </c>
    </row>
    <row r="52" spans="2:4" ht="14.25" customHeight="1">
      <c r="B52" s="427">
        <v>8.1999999999999993</v>
      </c>
      <c r="C52" s="414" t="s">
        <v>332</v>
      </c>
      <c r="D52" s="397" t="s">
        <v>30</v>
      </c>
    </row>
    <row r="53" spans="2:4" ht="14.25" customHeight="1">
      <c r="B53" s="427">
        <v>8.3000000000000007</v>
      </c>
      <c r="C53" s="414" t="s">
        <v>336</v>
      </c>
      <c r="D53" s="397" t="s">
        <v>30</v>
      </c>
    </row>
    <row r="54" spans="2:4" ht="14.25" customHeight="1">
      <c r="B54" s="427">
        <v>8.4</v>
      </c>
      <c r="C54" s="415" t="s">
        <v>339</v>
      </c>
      <c r="D54" s="397" t="s">
        <v>8</v>
      </c>
    </row>
    <row r="55" spans="2:4" ht="14.25" customHeight="1">
      <c r="B55" s="427">
        <v>8.5</v>
      </c>
      <c r="C55" s="415" t="s">
        <v>340</v>
      </c>
      <c r="D55" s="397" t="s">
        <v>30</v>
      </c>
    </row>
    <row r="56" spans="2:4" ht="14.25" customHeight="1">
      <c r="B56" s="427">
        <v>8.6</v>
      </c>
      <c r="C56" s="415" t="s">
        <v>352</v>
      </c>
      <c r="D56" s="397" t="s">
        <v>15</v>
      </c>
    </row>
    <row r="57" spans="2:4" ht="14.25" customHeight="1">
      <c r="B57" s="427">
        <v>8.6999999999999993</v>
      </c>
      <c r="C57" s="415" t="s">
        <v>348</v>
      </c>
      <c r="D57" s="397" t="s">
        <v>15</v>
      </c>
    </row>
    <row r="58" spans="2:4" ht="14.25" customHeight="1">
      <c r="B58" s="427">
        <v>8.8000000000000007</v>
      </c>
      <c r="C58" s="414" t="s">
        <v>344</v>
      </c>
      <c r="D58" s="397" t="s">
        <v>15</v>
      </c>
    </row>
    <row r="59" spans="2:4" ht="14.25" customHeight="1">
      <c r="B59" s="427">
        <v>8.9</v>
      </c>
      <c r="C59" s="414" t="s">
        <v>57</v>
      </c>
      <c r="D59" s="397" t="s">
        <v>8</v>
      </c>
    </row>
    <row r="60" spans="2:4" ht="14.25" customHeight="1">
      <c r="B60" s="430">
        <v>8.1</v>
      </c>
      <c r="C60" s="428" t="s">
        <v>58</v>
      </c>
      <c r="D60" s="397" t="s">
        <v>15</v>
      </c>
    </row>
    <row r="61" spans="2:4" ht="14.25" customHeight="1" thickBot="1">
      <c r="B61" s="425">
        <v>9</v>
      </c>
      <c r="C61" s="596" t="s">
        <v>59</v>
      </c>
      <c r="D61" s="597"/>
    </row>
    <row r="62" spans="2:4" ht="14.25" customHeight="1">
      <c r="B62" s="421">
        <v>9.1</v>
      </c>
      <c r="C62" s="416" t="s">
        <v>60</v>
      </c>
      <c r="D62" s="259" t="s">
        <v>30</v>
      </c>
    </row>
    <row r="63" spans="2:4" ht="14.25" customHeight="1">
      <c r="B63" s="422">
        <v>9.1999999999999993</v>
      </c>
      <c r="C63" s="417" t="s">
        <v>298</v>
      </c>
      <c r="D63" s="261" t="s">
        <v>30</v>
      </c>
    </row>
    <row r="64" spans="2:4" ht="14.25" customHeight="1">
      <c r="B64" s="422">
        <v>9.3000000000000007</v>
      </c>
      <c r="C64" s="417" t="s">
        <v>369</v>
      </c>
      <c r="D64" s="261" t="s">
        <v>30</v>
      </c>
    </row>
    <row r="65" spans="2:10" ht="14.25" customHeight="1" thickBot="1">
      <c r="B65" s="422">
        <v>9.4</v>
      </c>
      <c r="C65" s="417" t="s">
        <v>300</v>
      </c>
      <c r="D65" s="261" t="s">
        <v>30</v>
      </c>
    </row>
    <row r="66" spans="2:10" ht="14.25" customHeight="1" thickBot="1">
      <c r="B66" s="420">
        <v>10</v>
      </c>
      <c r="C66" s="594" t="s">
        <v>62</v>
      </c>
      <c r="D66" s="595"/>
    </row>
    <row r="67" spans="2:10" ht="14.25" customHeight="1">
      <c r="B67" s="421">
        <v>10.1</v>
      </c>
      <c r="C67" s="418" t="s">
        <v>322</v>
      </c>
      <c r="D67" s="261" t="s">
        <v>30</v>
      </c>
    </row>
    <row r="68" spans="2:10" ht="14.25" customHeight="1">
      <c r="B68" s="421">
        <v>10.199999999999999</v>
      </c>
      <c r="C68" s="418" t="s">
        <v>63</v>
      </c>
      <c r="D68" s="261" t="s">
        <v>30</v>
      </c>
    </row>
    <row r="69" spans="2:10" ht="14.25" customHeight="1">
      <c r="B69" s="421">
        <v>10.3</v>
      </c>
      <c r="C69" s="417" t="s">
        <v>64</v>
      </c>
      <c r="D69" s="261" t="s">
        <v>30</v>
      </c>
      <c r="I69" s="270"/>
      <c r="J69" s="271"/>
    </row>
    <row r="70" spans="2:10" ht="14.25" customHeight="1">
      <c r="B70" s="421">
        <v>10.4</v>
      </c>
      <c r="C70" s="431" t="s">
        <v>65</v>
      </c>
      <c r="D70" s="432" t="s">
        <v>15</v>
      </c>
      <c r="I70" s="270"/>
    </row>
    <row r="71" spans="2:10" ht="14.25" customHeight="1">
      <c r="B71" s="421">
        <v>10.5</v>
      </c>
      <c r="C71" s="431" t="s">
        <v>362</v>
      </c>
      <c r="D71" s="432" t="s">
        <v>8</v>
      </c>
      <c r="I71" s="270"/>
    </row>
    <row r="72" spans="2:10" ht="14.25" customHeight="1">
      <c r="B72" s="421">
        <v>10.6</v>
      </c>
      <c r="C72" s="431" t="s">
        <v>320</v>
      </c>
      <c r="D72" s="432" t="s">
        <v>8</v>
      </c>
      <c r="I72" s="270"/>
    </row>
    <row r="73" spans="2:10" ht="14.25" customHeight="1">
      <c r="B73" s="421">
        <v>10.7</v>
      </c>
      <c r="C73" s="405" t="s">
        <v>375</v>
      </c>
      <c r="D73" s="432" t="s">
        <v>6</v>
      </c>
      <c r="I73" s="270"/>
    </row>
    <row r="74" spans="2:10" ht="14.25" customHeight="1">
      <c r="B74" s="421">
        <v>10.8</v>
      </c>
      <c r="C74" s="431" t="s">
        <v>67</v>
      </c>
      <c r="D74" s="432" t="s">
        <v>6</v>
      </c>
      <c r="I74" s="270"/>
    </row>
    <row r="75" spans="2:10" ht="14.25" customHeight="1" thickBot="1">
      <c r="B75" s="421">
        <v>10.9</v>
      </c>
      <c r="C75" s="433" t="s">
        <v>302</v>
      </c>
      <c r="D75" s="434" t="s">
        <v>6</v>
      </c>
      <c r="I75" s="270"/>
      <c r="J75" s="271"/>
    </row>
    <row r="76" spans="2:10" ht="14.25" customHeight="1">
      <c r="B76" s="271"/>
      <c r="D76" s="271"/>
      <c r="I76" s="270"/>
      <c r="J76" s="271"/>
    </row>
    <row r="77" spans="2:10" ht="14.25" customHeight="1">
      <c r="B77" s="271"/>
      <c r="D77" s="271"/>
      <c r="I77" s="270"/>
      <c r="J77" s="271"/>
    </row>
    <row r="78" spans="2:10" ht="14.25" customHeight="1">
      <c r="B78" s="271"/>
      <c r="D78" s="271"/>
      <c r="I78" s="270"/>
      <c r="J78" s="271"/>
    </row>
    <row r="79" spans="2:10" ht="14.25" customHeight="1">
      <c r="B79" s="271"/>
      <c r="D79" s="271"/>
      <c r="I79" s="270"/>
      <c r="J79" s="271"/>
    </row>
    <row r="80" spans="2:10" ht="14.25" customHeight="1">
      <c r="B80" s="271"/>
      <c r="D80" s="271"/>
      <c r="I80" s="270"/>
      <c r="J80" s="271"/>
    </row>
    <row r="81" spans="2:10" ht="14.25" customHeight="1">
      <c r="B81" s="271"/>
      <c r="D81" s="271"/>
      <c r="I81" s="270"/>
      <c r="J81" s="271"/>
    </row>
    <row r="82" spans="2:10" ht="14.25" customHeight="1">
      <c r="B82" s="271"/>
      <c r="D82" s="271"/>
      <c r="I82" s="270"/>
      <c r="J82" s="271"/>
    </row>
    <row r="83" spans="2:10" ht="14.25" customHeight="1">
      <c r="B83" s="271"/>
      <c r="D83" s="271"/>
      <c r="I83" s="270"/>
      <c r="J83" s="271"/>
    </row>
    <row r="84" spans="2:10" ht="14.25" customHeight="1">
      <c r="B84" s="271"/>
      <c r="D84" s="271"/>
      <c r="I84" s="270"/>
      <c r="J84" s="271"/>
    </row>
    <row r="85" spans="2:10" ht="14.25" customHeight="1">
      <c r="B85" s="271"/>
      <c r="D85" s="271"/>
      <c r="I85" s="270"/>
      <c r="J85" s="271"/>
    </row>
    <row r="86" spans="2:10" ht="14.25" customHeight="1">
      <c r="B86" s="271"/>
      <c r="D86" s="271"/>
      <c r="I86" s="270"/>
      <c r="J86" s="271"/>
    </row>
    <row r="87" spans="2:10" ht="14.25" customHeight="1">
      <c r="B87" s="271"/>
      <c r="D87" s="271"/>
      <c r="I87" s="270"/>
      <c r="J87" s="271"/>
    </row>
    <row r="88" spans="2:10" ht="14.25" customHeight="1">
      <c r="B88" s="271"/>
      <c r="D88" s="271"/>
      <c r="I88" s="270"/>
      <c r="J88" s="271"/>
    </row>
    <row r="89" spans="2:10" ht="14.25" customHeight="1">
      <c r="B89" s="271"/>
      <c r="D89" s="271"/>
      <c r="I89" s="270"/>
      <c r="J89" s="271"/>
    </row>
    <row r="90" spans="2:10" ht="14.25" customHeight="1">
      <c r="B90" s="271"/>
      <c r="D90" s="271"/>
      <c r="I90" s="270"/>
      <c r="J90" s="271"/>
    </row>
    <row r="91" spans="2:10" ht="14.25" customHeight="1">
      <c r="B91" s="271"/>
      <c r="D91" s="271"/>
      <c r="I91" s="270"/>
      <c r="J91" s="271"/>
    </row>
    <row r="92" spans="2:10" ht="14.25" customHeight="1">
      <c r="B92" s="271"/>
      <c r="D92" s="271"/>
      <c r="I92" s="270"/>
      <c r="J92" s="271"/>
    </row>
    <row r="93" spans="2:10" ht="14.25" customHeight="1">
      <c r="B93" s="271"/>
      <c r="D93" s="271"/>
      <c r="I93" s="270"/>
      <c r="J93" s="271"/>
    </row>
    <row r="94" spans="2:10" ht="14.25" customHeight="1">
      <c r="B94" s="271"/>
      <c r="D94" s="271"/>
      <c r="I94" s="270"/>
      <c r="J94" s="271"/>
    </row>
    <row r="95" spans="2:10" ht="14.25" customHeight="1">
      <c r="B95" s="271"/>
      <c r="D95" s="271"/>
      <c r="I95" s="270"/>
      <c r="J95" s="271"/>
    </row>
    <row r="96" spans="2:10" ht="14.25" customHeight="1">
      <c r="B96" s="271"/>
      <c r="D96" s="271"/>
      <c r="I96" s="270"/>
      <c r="J96" s="271"/>
    </row>
    <row r="97" spans="2:10" ht="14.25" customHeight="1">
      <c r="B97" s="271"/>
      <c r="D97" s="271"/>
      <c r="I97" s="270"/>
      <c r="J97" s="271"/>
    </row>
    <row r="98" spans="2:10" ht="14.25" customHeight="1">
      <c r="B98" s="271"/>
      <c r="D98" s="271"/>
      <c r="I98" s="270"/>
      <c r="J98" s="271"/>
    </row>
    <row r="99" spans="2:10" ht="14.25" customHeight="1">
      <c r="B99" s="271"/>
      <c r="D99" s="271"/>
      <c r="I99" s="270"/>
      <c r="J99" s="271"/>
    </row>
    <row r="100" spans="2:10" ht="14.25" customHeight="1">
      <c r="B100" s="271"/>
      <c r="D100" s="271"/>
      <c r="I100" s="270"/>
      <c r="J100" s="271"/>
    </row>
    <row r="101" spans="2:10" ht="14.25" customHeight="1">
      <c r="B101" s="271"/>
      <c r="D101" s="271"/>
      <c r="I101" s="270"/>
      <c r="J101" s="271"/>
    </row>
    <row r="102" spans="2:10" ht="14.25" customHeight="1">
      <c r="B102" s="271"/>
      <c r="D102" s="271"/>
      <c r="I102" s="270"/>
      <c r="J102" s="271"/>
    </row>
    <row r="103" spans="2:10" ht="14.25" customHeight="1">
      <c r="B103" s="271"/>
      <c r="D103" s="271"/>
      <c r="I103" s="270"/>
      <c r="J103" s="271"/>
    </row>
    <row r="104" spans="2:10" ht="14.25" customHeight="1">
      <c r="B104" s="271"/>
      <c r="D104" s="271"/>
      <c r="I104" s="270"/>
      <c r="J104" s="271"/>
    </row>
    <row r="105" spans="2:10" ht="14.25" customHeight="1">
      <c r="B105" s="271"/>
      <c r="D105" s="271"/>
      <c r="I105" s="270"/>
      <c r="J105" s="271"/>
    </row>
    <row r="106" spans="2:10" ht="14.25" customHeight="1">
      <c r="B106" s="271"/>
      <c r="D106" s="271"/>
      <c r="I106" s="270"/>
      <c r="J106" s="271"/>
    </row>
    <row r="107" spans="2:10" ht="14.25" customHeight="1">
      <c r="B107" s="271"/>
      <c r="D107" s="271"/>
      <c r="I107" s="270"/>
      <c r="J107" s="271"/>
    </row>
    <row r="108" spans="2:10" ht="14.25" customHeight="1">
      <c r="B108" s="271"/>
      <c r="D108" s="271"/>
      <c r="I108" s="270"/>
      <c r="J108" s="271"/>
    </row>
    <row r="109" spans="2:10" ht="14.25" customHeight="1">
      <c r="B109" s="271"/>
      <c r="D109" s="271"/>
      <c r="I109" s="270"/>
      <c r="J109" s="271"/>
    </row>
    <row r="110" spans="2:10" ht="14.25" customHeight="1">
      <c r="B110" s="271"/>
      <c r="D110" s="271"/>
      <c r="I110" s="270"/>
      <c r="J110" s="271"/>
    </row>
    <row r="111" spans="2:10" ht="14.25" customHeight="1">
      <c r="B111" s="271"/>
      <c r="D111" s="271"/>
      <c r="I111" s="270"/>
      <c r="J111" s="271"/>
    </row>
    <row r="112" spans="2:10" ht="14.25" customHeight="1">
      <c r="B112" s="271"/>
      <c r="D112" s="271"/>
      <c r="I112" s="270"/>
      <c r="J112" s="271"/>
    </row>
    <row r="113" spans="2:10" ht="14.25" customHeight="1">
      <c r="B113" s="271"/>
      <c r="D113" s="271"/>
      <c r="J113" s="271"/>
    </row>
    <row r="114" spans="2:10" ht="14.25" customHeight="1">
      <c r="B114" s="271"/>
      <c r="D114" s="271"/>
    </row>
    <row r="115" spans="2:10" ht="14.25" customHeight="1">
      <c r="B115" s="271"/>
      <c r="D115" s="271"/>
    </row>
    <row r="116" spans="2:10" ht="14.25" customHeight="1">
      <c r="B116" s="271"/>
      <c r="D116" s="271"/>
    </row>
    <row r="117" spans="2:10" ht="14.25" customHeight="1">
      <c r="B117" s="271"/>
      <c r="D117" s="271"/>
    </row>
    <row r="118" spans="2:10" ht="14.25" customHeight="1">
      <c r="B118" s="271"/>
      <c r="D118" s="271"/>
    </row>
    <row r="119" spans="2:10" ht="14.25" customHeight="1">
      <c r="B119" s="271"/>
      <c r="D119" s="271"/>
    </row>
    <row r="120" spans="2:10" ht="14.25" customHeight="1">
      <c r="B120" s="271"/>
      <c r="D120" s="271"/>
    </row>
    <row r="121" spans="2:10" ht="14.25" customHeight="1">
      <c r="B121" s="271"/>
      <c r="D121" s="271"/>
    </row>
    <row r="122" spans="2:10" ht="14.25" customHeight="1">
      <c r="B122" s="271"/>
      <c r="D122" s="271"/>
    </row>
    <row r="123" spans="2:10" ht="14.25" customHeight="1">
      <c r="B123" s="271"/>
      <c r="D123" s="271"/>
    </row>
    <row r="124" spans="2:10" ht="14.25" customHeight="1">
      <c r="B124" s="271"/>
      <c r="D124" s="271"/>
    </row>
    <row r="125" spans="2:10" ht="14.25" customHeight="1">
      <c r="B125" s="271"/>
      <c r="D125" s="271"/>
    </row>
    <row r="126" spans="2:10" ht="14.25" customHeight="1">
      <c r="B126" s="271"/>
      <c r="D126" s="271"/>
    </row>
    <row r="127" spans="2:10" ht="14.25" customHeight="1">
      <c r="B127" s="271"/>
      <c r="D127" s="271"/>
    </row>
    <row r="128" spans="2:10" ht="14.25" customHeight="1">
      <c r="B128" s="271"/>
      <c r="D128" s="271"/>
    </row>
    <row r="129" spans="2:4" ht="14.25" customHeight="1">
      <c r="B129" s="271"/>
      <c r="D129" s="271"/>
    </row>
    <row r="130" spans="2:4" ht="14.25" customHeight="1">
      <c r="B130" s="271"/>
      <c r="D130" s="271"/>
    </row>
    <row r="131" spans="2:4" ht="14.25" customHeight="1">
      <c r="B131" s="271"/>
      <c r="D131" s="271"/>
    </row>
    <row r="132" spans="2:4" ht="14.25" customHeight="1">
      <c r="B132" s="271"/>
      <c r="D132" s="271"/>
    </row>
    <row r="133" spans="2:4" ht="14.25" customHeight="1">
      <c r="B133" s="271"/>
      <c r="D133" s="271"/>
    </row>
    <row r="134" spans="2:4" ht="14.25" customHeight="1">
      <c r="B134" s="271"/>
      <c r="D134" s="271"/>
    </row>
    <row r="135" spans="2:4" ht="14.25" customHeight="1">
      <c r="B135" s="271"/>
      <c r="D135" s="271"/>
    </row>
    <row r="136" spans="2:4" ht="14.25" customHeight="1">
      <c r="B136" s="271"/>
      <c r="D136" s="271"/>
    </row>
    <row r="137" spans="2:4" ht="14.25" customHeight="1">
      <c r="B137" s="271"/>
      <c r="D137" s="271"/>
    </row>
    <row r="138" spans="2:4" ht="14.25" customHeight="1">
      <c r="B138" s="271"/>
      <c r="D138" s="271"/>
    </row>
    <row r="139" spans="2:4" ht="14.25" customHeight="1">
      <c r="B139" s="271"/>
      <c r="D139" s="271"/>
    </row>
    <row r="140" spans="2:4" ht="14.25" customHeight="1">
      <c r="B140" s="271"/>
      <c r="D140" s="271"/>
    </row>
    <row r="141" spans="2:4" ht="14.25" customHeight="1">
      <c r="B141" s="271"/>
      <c r="D141" s="271"/>
    </row>
    <row r="142" spans="2:4" ht="14.25" customHeight="1">
      <c r="B142" s="271"/>
      <c r="D142" s="271"/>
    </row>
    <row r="143" spans="2:4" ht="14.25" customHeight="1">
      <c r="B143" s="271"/>
      <c r="D143" s="271"/>
    </row>
    <row r="144" spans="2:4" ht="14.25" customHeight="1">
      <c r="B144" s="271"/>
      <c r="D144" s="271"/>
    </row>
    <row r="145" spans="2:4" ht="14.25" customHeight="1">
      <c r="B145" s="271"/>
      <c r="D145" s="271"/>
    </row>
    <row r="146" spans="2:4" ht="14.25" customHeight="1">
      <c r="B146" s="271"/>
      <c r="D146" s="271"/>
    </row>
    <row r="147" spans="2:4" ht="14.25" customHeight="1">
      <c r="B147" s="271"/>
      <c r="D147" s="271"/>
    </row>
    <row r="148" spans="2:4" ht="14.25" customHeight="1">
      <c r="B148" s="271"/>
      <c r="D148" s="271"/>
    </row>
    <row r="149" spans="2:4" ht="14.25" customHeight="1">
      <c r="B149" s="271"/>
      <c r="D149" s="271"/>
    </row>
    <row r="150" spans="2:4" ht="14.25" customHeight="1">
      <c r="B150" s="271"/>
      <c r="D150" s="271"/>
    </row>
    <row r="151" spans="2:4" ht="14.25" customHeight="1">
      <c r="B151" s="271"/>
      <c r="D151" s="271"/>
    </row>
    <row r="152" spans="2:4" ht="14.25" customHeight="1">
      <c r="B152" s="271"/>
      <c r="D152" s="271"/>
    </row>
    <row r="153" spans="2:4" ht="14.25" customHeight="1">
      <c r="B153" s="271"/>
      <c r="D153" s="271"/>
    </row>
    <row r="154" spans="2:4" ht="14.25" customHeight="1">
      <c r="B154" s="271"/>
      <c r="D154" s="271"/>
    </row>
    <row r="155" spans="2:4" ht="14.25" customHeight="1">
      <c r="B155" s="271"/>
      <c r="D155" s="271"/>
    </row>
    <row r="156" spans="2:4" ht="14.25" customHeight="1">
      <c r="B156" s="271"/>
      <c r="D156" s="271"/>
    </row>
    <row r="157" spans="2:4" ht="14.25" customHeight="1">
      <c r="B157" s="271"/>
      <c r="D157" s="271"/>
    </row>
    <row r="158" spans="2:4" ht="14.25" customHeight="1">
      <c r="B158" s="271"/>
      <c r="D158" s="271"/>
    </row>
    <row r="159" spans="2:4" ht="14.25" customHeight="1">
      <c r="B159" s="271"/>
      <c r="D159" s="271"/>
    </row>
    <row r="160" spans="2:4" ht="14.25" customHeight="1">
      <c r="B160" s="271"/>
      <c r="D160" s="271"/>
    </row>
    <row r="161" spans="2:4" ht="14.25" customHeight="1">
      <c r="B161" s="271"/>
      <c r="D161" s="271"/>
    </row>
    <row r="162" spans="2:4" ht="14.25" customHeight="1">
      <c r="B162" s="271"/>
      <c r="D162" s="271"/>
    </row>
    <row r="163" spans="2:4" ht="14.25" customHeight="1">
      <c r="B163" s="271"/>
      <c r="D163" s="271"/>
    </row>
    <row r="164" spans="2:4" ht="14.25" customHeight="1">
      <c r="B164" s="271"/>
      <c r="D164" s="271"/>
    </row>
    <row r="165" spans="2:4" ht="14.25" customHeight="1">
      <c r="B165" s="271"/>
      <c r="D165" s="271"/>
    </row>
    <row r="166" spans="2:4" ht="14.25" customHeight="1">
      <c r="B166" s="271"/>
      <c r="D166" s="271"/>
    </row>
    <row r="167" spans="2:4" ht="14.25" customHeight="1">
      <c r="B167" s="271"/>
      <c r="D167" s="271"/>
    </row>
    <row r="168" spans="2:4" ht="14.25" customHeight="1">
      <c r="B168" s="271"/>
      <c r="D168" s="271"/>
    </row>
    <row r="169" spans="2:4" ht="14.25" customHeight="1">
      <c r="B169" s="271"/>
      <c r="D169" s="271"/>
    </row>
    <row r="170" spans="2:4" ht="14.25" customHeight="1">
      <c r="B170" s="271"/>
      <c r="D170" s="271"/>
    </row>
    <row r="171" spans="2:4" ht="14.25" customHeight="1">
      <c r="B171" s="271"/>
      <c r="D171" s="271"/>
    </row>
    <row r="172" spans="2:4" ht="14.25" customHeight="1">
      <c r="B172" s="271"/>
      <c r="D172" s="271"/>
    </row>
    <row r="173" spans="2:4" ht="14.25" customHeight="1">
      <c r="B173" s="271"/>
      <c r="D173" s="271"/>
    </row>
    <row r="174" spans="2:4" ht="14.25" customHeight="1">
      <c r="B174" s="271"/>
      <c r="D174" s="271"/>
    </row>
    <row r="175" spans="2:4" ht="14.25" customHeight="1">
      <c r="B175" s="271"/>
      <c r="D175" s="271"/>
    </row>
    <row r="176" spans="2:4" ht="14.25" customHeight="1">
      <c r="B176" s="271"/>
      <c r="D176" s="271"/>
    </row>
    <row r="177" spans="2:4" ht="14.25" customHeight="1">
      <c r="B177" s="271"/>
      <c r="D177" s="271"/>
    </row>
    <row r="178" spans="2:4" ht="14.25" customHeight="1">
      <c r="B178" s="271"/>
      <c r="D178" s="271"/>
    </row>
    <row r="179" spans="2:4" ht="14.25" customHeight="1">
      <c r="B179" s="271"/>
      <c r="D179" s="271"/>
    </row>
    <row r="180" spans="2:4" ht="14.25" customHeight="1">
      <c r="B180" s="271"/>
      <c r="D180" s="271"/>
    </row>
    <row r="181" spans="2:4" ht="14.25" customHeight="1">
      <c r="B181" s="271"/>
      <c r="D181" s="271"/>
    </row>
    <row r="182" spans="2:4" ht="14.25" customHeight="1">
      <c r="B182" s="271"/>
      <c r="D182" s="271"/>
    </row>
    <row r="183" spans="2:4" ht="14.25" customHeight="1">
      <c r="B183" s="271"/>
      <c r="D183" s="271"/>
    </row>
    <row r="184" spans="2:4" ht="14.25" customHeight="1">
      <c r="B184" s="271"/>
      <c r="D184" s="271"/>
    </row>
    <row r="185" spans="2:4" ht="14.25" customHeight="1">
      <c r="B185" s="271"/>
      <c r="D185" s="271"/>
    </row>
    <row r="186" spans="2:4" ht="14.25" customHeight="1">
      <c r="B186" s="271"/>
      <c r="D186" s="271"/>
    </row>
    <row r="187" spans="2:4" ht="14.25" customHeight="1">
      <c r="B187" s="271"/>
      <c r="D187" s="271"/>
    </row>
    <row r="188" spans="2:4" ht="14.25" customHeight="1">
      <c r="B188" s="271"/>
      <c r="D188" s="271"/>
    </row>
    <row r="189" spans="2:4" ht="14.25" customHeight="1">
      <c r="B189" s="271"/>
      <c r="D189" s="271"/>
    </row>
    <row r="190" spans="2:4" ht="14.25" customHeight="1">
      <c r="B190" s="271"/>
      <c r="D190" s="271"/>
    </row>
    <row r="191" spans="2:4" ht="14.25" customHeight="1">
      <c r="B191" s="271"/>
      <c r="D191" s="271"/>
    </row>
    <row r="192" spans="2:4" ht="14.25" customHeight="1">
      <c r="B192" s="271"/>
      <c r="D192" s="271"/>
    </row>
    <row r="193" spans="2:4" ht="14.25" customHeight="1">
      <c r="B193" s="271"/>
      <c r="D193" s="271"/>
    </row>
    <row r="194" spans="2:4" ht="14.25" customHeight="1">
      <c r="B194" s="271"/>
      <c r="D194" s="271"/>
    </row>
    <row r="195" spans="2:4" ht="14.25" customHeight="1">
      <c r="B195" s="271"/>
      <c r="D195" s="271"/>
    </row>
    <row r="196" spans="2:4" ht="14.25" customHeight="1">
      <c r="B196" s="271"/>
      <c r="D196" s="271"/>
    </row>
    <row r="197" spans="2:4" ht="14.25" customHeight="1">
      <c r="B197" s="271"/>
      <c r="D197" s="271"/>
    </row>
    <row r="198" spans="2:4" ht="14.25" customHeight="1">
      <c r="B198" s="271"/>
      <c r="D198" s="271"/>
    </row>
    <row r="199" spans="2:4" ht="14.25" customHeight="1">
      <c r="B199" s="271"/>
      <c r="D199" s="271"/>
    </row>
    <row r="200" spans="2:4" ht="14.25" customHeight="1">
      <c r="B200" s="271"/>
      <c r="D200" s="271"/>
    </row>
    <row r="201" spans="2:4" ht="14.25" customHeight="1">
      <c r="B201" s="271"/>
      <c r="D201" s="271"/>
    </row>
    <row r="202" spans="2:4" ht="14.25" customHeight="1">
      <c r="B202" s="271"/>
      <c r="D202" s="271"/>
    </row>
    <row r="203" spans="2:4" ht="14.25" customHeight="1">
      <c r="B203" s="271"/>
      <c r="D203" s="271"/>
    </row>
    <row r="204" spans="2:4" ht="14.25" customHeight="1">
      <c r="B204" s="271"/>
      <c r="D204" s="271"/>
    </row>
    <row r="205" spans="2:4" ht="14.25" customHeight="1">
      <c r="B205" s="271"/>
      <c r="D205" s="271"/>
    </row>
    <row r="206" spans="2:4" ht="14.25" customHeight="1">
      <c r="B206" s="271"/>
      <c r="D206" s="271"/>
    </row>
    <row r="207" spans="2:4" ht="14.25" customHeight="1">
      <c r="B207" s="271"/>
      <c r="D207" s="271"/>
    </row>
    <row r="208" spans="2:4" ht="14.25" customHeight="1">
      <c r="B208" s="271"/>
      <c r="D208" s="271"/>
    </row>
    <row r="209" spans="2:4" ht="14.25" customHeight="1">
      <c r="B209" s="271"/>
      <c r="D209" s="271"/>
    </row>
    <row r="210" spans="2:4" ht="14.25" customHeight="1">
      <c r="B210" s="271"/>
      <c r="D210" s="271"/>
    </row>
    <row r="211" spans="2:4" ht="14.25" customHeight="1">
      <c r="B211" s="271"/>
      <c r="D211" s="271"/>
    </row>
    <row r="212" spans="2:4" ht="14.25" customHeight="1">
      <c r="B212" s="271"/>
      <c r="D212" s="271"/>
    </row>
    <row r="213" spans="2:4" ht="14.25" customHeight="1">
      <c r="B213" s="271"/>
      <c r="D213" s="271"/>
    </row>
    <row r="214" spans="2:4" ht="14.25" customHeight="1">
      <c r="B214" s="271"/>
      <c r="D214" s="271"/>
    </row>
    <row r="215" spans="2:4" ht="14.25" customHeight="1">
      <c r="B215" s="271"/>
      <c r="D215" s="271"/>
    </row>
    <row r="216" spans="2:4" ht="14.25" customHeight="1">
      <c r="B216" s="271"/>
      <c r="D216" s="271"/>
    </row>
    <row r="217" spans="2:4" ht="14.25" customHeight="1">
      <c r="B217" s="271"/>
      <c r="D217" s="271"/>
    </row>
    <row r="218" spans="2:4" ht="14.25" customHeight="1">
      <c r="B218" s="271"/>
      <c r="D218" s="271"/>
    </row>
    <row r="219" spans="2:4" ht="14.25" customHeight="1">
      <c r="B219" s="271"/>
      <c r="D219" s="271"/>
    </row>
    <row r="220" spans="2:4" ht="14.25" customHeight="1">
      <c r="B220" s="271"/>
      <c r="D220" s="271"/>
    </row>
    <row r="221" spans="2:4" ht="14.25" customHeight="1">
      <c r="B221" s="271"/>
      <c r="D221" s="271"/>
    </row>
    <row r="222" spans="2:4" ht="14.25" customHeight="1">
      <c r="B222" s="271"/>
      <c r="D222" s="271"/>
    </row>
    <row r="223" spans="2:4" ht="14.25" customHeight="1">
      <c r="B223" s="271"/>
      <c r="D223" s="271"/>
    </row>
    <row r="224" spans="2:4" ht="14.25" customHeight="1">
      <c r="B224" s="271"/>
      <c r="D224" s="271"/>
    </row>
    <row r="225" spans="2:4" ht="14.25" customHeight="1">
      <c r="B225" s="271"/>
      <c r="D225" s="271"/>
    </row>
    <row r="226" spans="2:4" ht="14.25" customHeight="1">
      <c r="B226" s="271"/>
      <c r="D226" s="271"/>
    </row>
    <row r="227" spans="2:4" ht="14.25" customHeight="1">
      <c r="B227" s="271"/>
      <c r="D227" s="271"/>
    </row>
    <row r="228" spans="2:4" ht="14.25" customHeight="1">
      <c r="B228" s="271"/>
      <c r="D228" s="271"/>
    </row>
    <row r="229" spans="2:4" ht="14.25" customHeight="1">
      <c r="B229" s="271"/>
      <c r="D229" s="271"/>
    </row>
    <row r="230" spans="2:4" ht="14.25" customHeight="1">
      <c r="B230" s="271"/>
      <c r="D230" s="271"/>
    </row>
    <row r="231" spans="2:4" ht="14.25" customHeight="1">
      <c r="B231" s="271"/>
      <c r="D231" s="271"/>
    </row>
    <row r="232" spans="2:4" ht="14.25" customHeight="1">
      <c r="B232" s="271"/>
      <c r="D232" s="271"/>
    </row>
    <row r="233" spans="2:4" ht="14.25" customHeight="1">
      <c r="B233" s="271"/>
      <c r="D233" s="271"/>
    </row>
    <row r="234" spans="2:4" ht="14.25" customHeight="1">
      <c r="B234" s="271"/>
      <c r="D234" s="271"/>
    </row>
    <row r="235" spans="2:4" ht="14.25" customHeight="1">
      <c r="B235" s="271"/>
      <c r="D235" s="271"/>
    </row>
    <row r="236" spans="2:4" ht="14.25" customHeight="1">
      <c r="B236" s="271"/>
      <c r="D236" s="271"/>
    </row>
    <row r="237" spans="2:4" ht="14.25" customHeight="1">
      <c r="B237" s="271"/>
      <c r="D237" s="271"/>
    </row>
    <row r="238" spans="2:4" ht="14.25" customHeight="1">
      <c r="B238" s="271"/>
      <c r="D238" s="271"/>
    </row>
    <row r="239" spans="2:4" ht="14.25" customHeight="1">
      <c r="B239" s="271"/>
      <c r="D239" s="271"/>
    </row>
    <row r="240" spans="2:4" ht="14.25" customHeight="1">
      <c r="B240" s="271"/>
      <c r="D240" s="271"/>
    </row>
    <row r="241" spans="2:4" ht="14.25" customHeight="1">
      <c r="B241" s="271"/>
      <c r="D241" s="271"/>
    </row>
    <row r="242" spans="2:4" ht="14.25" customHeight="1">
      <c r="B242" s="271"/>
      <c r="D242" s="271"/>
    </row>
    <row r="243" spans="2:4" ht="14.25" customHeight="1">
      <c r="B243" s="271"/>
      <c r="D243" s="271"/>
    </row>
    <row r="244" spans="2:4" ht="14.25" customHeight="1">
      <c r="B244" s="271"/>
      <c r="D244" s="271"/>
    </row>
    <row r="245" spans="2:4" ht="14.25" customHeight="1">
      <c r="B245" s="271"/>
      <c r="D245" s="271"/>
    </row>
    <row r="246" spans="2:4" ht="14.25" customHeight="1">
      <c r="B246" s="271"/>
      <c r="D246" s="271"/>
    </row>
    <row r="247" spans="2:4" ht="14.25" customHeight="1">
      <c r="B247" s="271"/>
      <c r="D247" s="271"/>
    </row>
    <row r="248" spans="2:4" ht="14.25" customHeight="1">
      <c r="B248" s="271"/>
      <c r="D248" s="271"/>
    </row>
    <row r="249" spans="2:4" ht="14.25" customHeight="1">
      <c r="B249" s="271"/>
      <c r="D249" s="271"/>
    </row>
    <row r="250" spans="2:4" ht="14.25" customHeight="1">
      <c r="B250" s="271"/>
      <c r="D250" s="271"/>
    </row>
    <row r="251" spans="2:4" ht="14.25" customHeight="1">
      <c r="B251" s="271"/>
      <c r="D251" s="271"/>
    </row>
    <row r="252" spans="2:4" ht="14.25" customHeight="1">
      <c r="B252" s="271"/>
      <c r="D252" s="271"/>
    </row>
    <row r="253" spans="2:4" ht="14.25" customHeight="1">
      <c r="B253" s="271"/>
      <c r="D253" s="271"/>
    </row>
    <row r="254" spans="2:4" ht="14.25" customHeight="1">
      <c r="B254" s="271"/>
      <c r="D254" s="271"/>
    </row>
    <row r="255" spans="2:4" ht="14.25" customHeight="1">
      <c r="B255" s="271"/>
      <c r="D255" s="271"/>
    </row>
    <row r="256" spans="2:4" ht="14.25" customHeight="1">
      <c r="B256" s="271"/>
      <c r="D256" s="271"/>
    </row>
    <row r="257" spans="2:4" ht="14.25" customHeight="1">
      <c r="B257" s="271"/>
      <c r="D257" s="271"/>
    </row>
    <row r="258" spans="2:4" ht="14.25" customHeight="1">
      <c r="B258" s="271"/>
      <c r="D258" s="271"/>
    </row>
    <row r="259" spans="2:4" ht="14.25" customHeight="1">
      <c r="B259" s="271"/>
      <c r="D259" s="271"/>
    </row>
    <row r="260" spans="2:4" ht="14.25" customHeight="1">
      <c r="B260" s="271"/>
      <c r="D260" s="271"/>
    </row>
    <row r="261" spans="2:4" ht="14.25" customHeight="1">
      <c r="B261" s="271"/>
      <c r="D261" s="271"/>
    </row>
    <row r="262" spans="2:4" ht="14.25" customHeight="1">
      <c r="B262" s="271"/>
      <c r="D262" s="271"/>
    </row>
    <row r="263" spans="2:4" ht="14.25" customHeight="1">
      <c r="B263" s="271"/>
      <c r="D263" s="271"/>
    </row>
    <row r="264" spans="2:4" ht="14.25" customHeight="1">
      <c r="B264" s="271"/>
      <c r="D264" s="271"/>
    </row>
    <row r="265" spans="2:4" ht="14.25" customHeight="1">
      <c r="B265" s="271"/>
      <c r="D265" s="271"/>
    </row>
    <row r="266" spans="2:4" ht="14.25" customHeight="1">
      <c r="B266" s="271"/>
      <c r="D266" s="271"/>
    </row>
    <row r="267" spans="2:4" ht="14.25" customHeight="1">
      <c r="B267" s="271"/>
      <c r="D267" s="271"/>
    </row>
    <row r="268" spans="2:4" ht="14.25" customHeight="1">
      <c r="B268" s="271"/>
      <c r="D268" s="271"/>
    </row>
    <row r="269" spans="2:4" ht="14.25" customHeight="1">
      <c r="B269" s="271"/>
      <c r="D269" s="271"/>
    </row>
    <row r="270" spans="2:4" ht="14.25" customHeight="1">
      <c r="B270" s="271"/>
      <c r="D270" s="271"/>
    </row>
    <row r="271" spans="2:4" ht="14.25" customHeight="1">
      <c r="B271" s="271"/>
      <c r="D271" s="271"/>
    </row>
    <row r="272" spans="2:4" ht="14.25" customHeight="1">
      <c r="B272" s="271"/>
      <c r="D272" s="271"/>
    </row>
    <row r="273" spans="2:4" ht="14.25" customHeight="1">
      <c r="B273" s="271"/>
      <c r="D273" s="271"/>
    </row>
    <row r="274" spans="2:4" ht="14.25" customHeight="1">
      <c r="B274" s="271"/>
      <c r="D274" s="271"/>
    </row>
    <row r="275" spans="2:4" ht="14.25" customHeight="1">
      <c r="B275" s="271"/>
      <c r="D275" s="271"/>
    </row>
    <row r="276" spans="2:4" ht="14.25" customHeight="1">
      <c r="B276" s="271"/>
      <c r="D276" s="271"/>
    </row>
    <row r="277" spans="2:4" ht="14.25" customHeight="1">
      <c r="B277" s="271"/>
      <c r="D277" s="271"/>
    </row>
    <row r="278" spans="2:4" ht="14.25" customHeight="1">
      <c r="B278" s="271"/>
      <c r="D278" s="271"/>
    </row>
    <row r="279" spans="2:4" ht="14.25" customHeight="1">
      <c r="B279" s="271"/>
      <c r="D279" s="271"/>
    </row>
    <row r="280" spans="2:4" ht="14.25" customHeight="1">
      <c r="B280" s="271"/>
      <c r="D280" s="271"/>
    </row>
    <row r="281" spans="2:4" ht="14.25" customHeight="1">
      <c r="B281" s="271"/>
      <c r="D281" s="271"/>
    </row>
    <row r="282" spans="2:4" ht="14.25" customHeight="1">
      <c r="B282" s="271"/>
      <c r="D282" s="271"/>
    </row>
    <row r="283" spans="2:4" ht="14.25" customHeight="1">
      <c r="B283" s="271"/>
      <c r="D283" s="271"/>
    </row>
    <row r="284" spans="2:4" ht="14.25" customHeight="1">
      <c r="B284" s="271"/>
      <c r="D284" s="271"/>
    </row>
    <row r="285" spans="2:4" ht="14.25" customHeight="1">
      <c r="B285" s="271"/>
      <c r="D285" s="271"/>
    </row>
    <row r="286" spans="2:4" ht="14.25" customHeight="1">
      <c r="B286" s="271"/>
      <c r="D286" s="271"/>
    </row>
    <row r="287" spans="2:4" ht="14.25" customHeight="1">
      <c r="B287" s="271"/>
      <c r="D287" s="271"/>
    </row>
    <row r="288" spans="2:4" ht="14.25" customHeight="1">
      <c r="B288" s="271"/>
      <c r="D288" s="271"/>
    </row>
    <row r="289" spans="2:4" ht="14.25" customHeight="1">
      <c r="B289" s="271"/>
      <c r="D289" s="271"/>
    </row>
    <row r="290" spans="2:4" ht="14.25" customHeight="1">
      <c r="B290" s="271"/>
      <c r="D290" s="271"/>
    </row>
    <row r="291" spans="2:4" ht="14.25" customHeight="1">
      <c r="B291" s="271"/>
      <c r="D291" s="271"/>
    </row>
    <row r="292" spans="2:4" ht="14.25" customHeight="1">
      <c r="B292" s="271"/>
      <c r="D292" s="271"/>
    </row>
    <row r="293" spans="2:4" ht="14.25" customHeight="1">
      <c r="B293" s="271"/>
      <c r="D293" s="271"/>
    </row>
    <row r="294" spans="2:4" ht="14.25" customHeight="1">
      <c r="B294" s="271"/>
      <c r="D294" s="271"/>
    </row>
    <row r="295" spans="2:4" ht="14.25" customHeight="1">
      <c r="B295" s="271"/>
      <c r="D295" s="271"/>
    </row>
    <row r="296" spans="2:4" ht="14.25" customHeight="1">
      <c r="B296" s="271"/>
      <c r="D296" s="271"/>
    </row>
    <row r="297" spans="2:4" ht="14.25" customHeight="1">
      <c r="B297" s="271"/>
      <c r="D297" s="271"/>
    </row>
    <row r="298" spans="2:4" ht="14.25" customHeight="1">
      <c r="B298" s="271"/>
      <c r="D298" s="271"/>
    </row>
    <row r="299" spans="2:4" ht="14.25" customHeight="1">
      <c r="B299" s="271"/>
      <c r="D299" s="271"/>
    </row>
    <row r="300" spans="2:4" ht="14.25" customHeight="1">
      <c r="B300" s="271"/>
      <c r="D300" s="271"/>
    </row>
    <row r="301" spans="2:4" ht="14.25" customHeight="1">
      <c r="B301" s="271"/>
      <c r="D301" s="271"/>
    </row>
    <row r="302" spans="2:4" ht="14.25" customHeight="1">
      <c r="B302" s="271"/>
      <c r="D302" s="271"/>
    </row>
    <row r="303" spans="2:4" ht="14.25" customHeight="1">
      <c r="B303" s="271"/>
      <c r="D303" s="271"/>
    </row>
    <row r="304" spans="2:4" ht="14.25" customHeight="1">
      <c r="B304" s="271"/>
      <c r="D304" s="271"/>
    </row>
    <row r="305" spans="2:4" ht="14.25" customHeight="1">
      <c r="B305" s="271"/>
      <c r="D305" s="271"/>
    </row>
    <row r="306" spans="2:4" ht="14.25" customHeight="1">
      <c r="B306" s="271"/>
      <c r="D306" s="271"/>
    </row>
    <row r="307" spans="2:4" ht="14.25" customHeight="1">
      <c r="B307" s="271"/>
      <c r="D307" s="271"/>
    </row>
    <row r="308" spans="2:4" ht="14.25" customHeight="1">
      <c r="B308" s="271"/>
      <c r="D308" s="271"/>
    </row>
    <row r="309" spans="2:4" ht="14.25" customHeight="1">
      <c r="B309" s="271"/>
      <c r="D309" s="271"/>
    </row>
    <row r="310" spans="2:4" ht="14.25" customHeight="1">
      <c r="B310" s="271"/>
      <c r="D310" s="271"/>
    </row>
    <row r="311" spans="2:4" ht="14.25" customHeight="1">
      <c r="B311" s="271"/>
      <c r="D311" s="271"/>
    </row>
    <row r="312" spans="2:4" ht="14.25" customHeight="1">
      <c r="B312" s="271"/>
      <c r="D312" s="271"/>
    </row>
    <row r="313" spans="2:4" ht="15.75" customHeight="1"/>
    <row r="314" spans="2:4" ht="15.75" customHeight="1"/>
    <row r="315" spans="2:4" ht="15.75" customHeight="1"/>
    <row r="316" spans="2:4" ht="15.75" customHeight="1"/>
    <row r="317" spans="2:4" ht="15.75" customHeight="1"/>
    <row r="318" spans="2:4" ht="15.75" customHeight="1"/>
    <row r="319" spans="2:4" ht="15.75" customHeight="1"/>
    <row r="320" spans="2:4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sheetProtection algorithmName="SHA-512" hashValue="cK8JT9A4wQyuXAVn3YlJiTNZ3LuPl82iXrmtko/uW3mje0pN+ok35YIee0UxnQ+2kT8E4kYv73Q83WuCzOo9nQ==" saltValue="myw+ueWYCKW+J0Oh3k/sPw==" spinCount="100000" sheet="1" objects="1" scenarios="1" selectLockedCells="1" selectUnlockedCells="1"/>
  <mergeCells count="12">
    <mergeCell ref="B2:D2"/>
    <mergeCell ref="B3:D3"/>
    <mergeCell ref="C23:D23"/>
    <mergeCell ref="C15:D15"/>
    <mergeCell ref="C11:D11"/>
    <mergeCell ref="C5:D5"/>
    <mergeCell ref="C26:D26"/>
    <mergeCell ref="C66:D66"/>
    <mergeCell ref="C61:D61"/>
    <mergeCell ref="C50:D50"/>
    <mergeCell ref="C40:D40"/>
    <mergeCell ref="C36:D36"/>
  </mergeCells>
  <phoneticPr fontId="33" type="noConversion"/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8"/>
  <sheetViews>
    <sheetView showGridLines="0" topLeftCell="A21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4.6" customHeight="1">
      <c r="A1" s="843" t="str">
        <f>'3.4'!A1:H1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>
      <c r="A5" s="49">
        <f>Presupuesto!B23</f>
        <v>3.5</v>
      </c>
      <c r="B5" s="780" t="str">
        <f>Presupuesto!C23</f>
        <v>Salida sanitaria en PVC de 2"</v>
      </c>
      <c r="C5" s="686"/>
      <c r="D5" s="686"/>
      <c r="E5" s="686"/>
      <c r="F5" s="687"/>
      <c r="G5" s="780" t="str">
        <f>Presupuesto!D23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171</v>
      </c>
      <c r="B8" s="666"/>
      <c r="C8" s="666"/>
      <c r="D8" s="667"/>
      <c r="E8" s="7" t="s">
        <v>15</v>
      </c>
      <c r="F8" s="80">
        <v>7150</v>
      </c>
      <c r="G8" s="7">
        <v>3</v>
      </c>
      <c r="H8" s="79">
        <f>F8*G8</f>
        <v>21450</v>
      </c>
      <c r="K8" s="40"/>
    </row>
    <row r="9" spans="1:26" ht="14.25" customHeight="1">
      <c r="A9" s="814" t="s">
        <v>176</v>
      </c>
      <c r="B9" s="666"/>
      <c r="C9" s="666"/>
      <c r="D9" s="667"/>
      <c r="E9" s="7" t="s">
        <v>137</v>
      </c>
      <c r="F9" s="80">
        <v>1000</v>
      </c>
      <c r="G9" s="7">
        <v>1</v>
      </c>
      <c r="H9" s="79">
        <f>F9*G9</f>
        <v>1000</v>
      </c>
      <c r="K9" s="40"/>
    </row>
    <row r="10" spans="1:26" ht="14.25" customHeight="1">
      <c r="A10" s="846" t="s">
        <v>172</v>
      </c>
      <c r="B10" s="666"/>
      <c r="C10" s="666"/>
      <c r="D10" s="667"/>
      <c r="E10" s="7" t="s">
        <v>30</v>
      </c>
      <c r="F10" s="80">
        <v>5500</v>
      </c>
      <c r="G10" s="7">
        <v>0.5</v>
      </c>
      <c r="H10" s="79">
        <f>F10*G10</f>
        <v>2750</v>
      </c>
      <c r="I10" s="2"/>
      <c r="K10" s="40"/>
    </row>
    <row r="11" spans="1:26" ht="14.25" customHeight="1">
      <c r="A11" s="814" t="s">
        <v>168</v>
      </c>
      <c r="B11" s="666"/>
      <c r="C11" s="666"/>
      <c r="D11" s="667"/>
      <c r="E11" s="7" t="s">
        <v>30</v>
      </c>
      <c r="F11" s="80">
        <v>8650</v>
      </c>
      <c r="G11" s="7">
        <v>0.2</v>
      </c>
      <c r="H11" s="79">
        <f>F11*G11</f>
        <v>1730</v>
      </c>
      <c r="I11" s="2"/>
      <c r="K11" s="40"/>
    </row>
    <row r="12" spans="1:26" ht="14.25" customHeight="1">
      <c r="A12" s="846" t="s">
        <v>169</v>
      </c>
      <c r="B12" s="666"/>
      <c r="C12" s="666"/>
      <c r="D12" s="667"/>
      <c r="E12" s="7" t="s">
        <v>30</v>
      </c>
      <c r="F12" s="80">
        <v>5300</v>
      </c>
      <c r="G12" s="7">
        <v>0.1</v>
      </c>
      <c r="H12" s="79">
        <f>F12*G12</f>
        <v>530</v>
      </c>
      <c r="K12" s="40"/>
    </row>
    <row r="13" spans="1:26" ht="14.25" customHeight="1">
      <c r="A13" s="814"/>
      <c r="B13" s="666"/>
      <c r="C13" s="666"/>
      <c r="D13" s="667"/>
      <c r="E13" s="7"/>
      <c r="F13" s="80"/>
      <c r="G13" s="7"/>
      <c r="H13" s="79"/>
      <c r="K13" s="40"/>
    </row>
    <row r="14" spans="1:26" ht="14.25" customHeight="1">
      <c r="A14" s="819"/>
      <c r="B14" s="700"/>
      <c r="C14" s="700"/>
      <c r="D14" s="776"/>
      <c r="E14" s="56"/>
      <c r="F14" s="85"/>
      <c r="G14" s="56"/>
      <c r="H14" s="79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17" t="s">
        <v>110</v>
      </c>
      <c r="B15" s="672"/>
      <c r="C15" s="672"/>
      <c r="D15" s="672"/>
      <c r="E15" s="672"/>
      <c r="F15" s="672"/>
      <c r="G15" s="714"/>
      <c r="H15" s="81">
        <f>ROUND(SUM(H8:H14),0)</f>
        <v>27460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0" t="s">
        <v>112</v>
      </c>
      <c r="B16" s="672"/>
      <c r="C16" s="672"/>
      <c r="D16" s="672"/>
      <c r="E16" s="672"/>
      <c r="F16" s="672"/>
      <c r="G16" s="672"/>
      <c r="H16" s="673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1" t="s">
        <v>103</v>
      </c>
      <c r="B17" s="703"/>
      <c r="C17" s="703"/>
      <c r="D17" s="715"/>
      <c r="E17" s="59" t="s">
        <v>104</v>
      </c>
      <c r="F17" s="59" t="s">
        <v>113</v>
      </c>
      <c r="G17" s="60" t="s">
        <v>106</v>
      </c>
      <c r="H17" s="62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114</v>
      </c>
      <c r="B18" s="666"/>
      <c r="C18" s="666"/>
      <c r="D18" s="667"/>
      <c r="E18" s="7" t="s">
        <v>61</v>
      </c>
      <c r="F18" s="80">
        <v>350</v>
      </c>
      <c r="G18" s="5">
        <f>G26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129</v>
      </c>
      <c r="B19" s="666"/>
      <c r="C19" s="666"/>
      <c r="D19" s="667"/>
      <c r="E19" s="7" t="s">
        <v>61</v>
      </c>
      <c r="F19" s="80">
        <v>350</v>
      </c>
      <c r="G19" s="5">
        <f>G26</f>
        <v>1</v>
      </c>
      <c r="H19" s="79">
        <f>F19/G19</f>
        <v>350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8"/>
      <c r="B21" s="666"/>
      <c r="C21" s="666"/>
      <c r="D21" s="667"/>
      <c r="E21" s="5"/>
      <c r="F21" s="84"/>
      <c r="G21" s="5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9"/>
      <c r="B22" s="700"/>
      <c r="C22" s="700"/>
      <c r="D22" s="776"/>
      <c r="E22" s="56"/>
      <c r="F22" s="85"/>
      <c r="G22" s="56"/>
      <c r="H22" s="79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7" t="s">
        <v>116</v>
      </c>
      <c r="B23" s="672"/>
      <c r="C23" s="672"/>
      <c r="D23" s="672"/>
      <c r="E23" s="672"/>
      <c r="F23" s="672"/>
      <c r="G23" s="714"/>
      <c r="H23" s="86">
        <f>ROUNDUP(SUM(H18:H22),0)</f>
        <v>700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1" t="s">
        <v>118</v>
      </c>
      <c r="B24" s="676"/>
      <c r="C24" s="676"/>
      <c r="D24" s="676"/>
      <c r="E24" s="676"/>
      <c r="F24" s="676"/>
      <c r="G24" s="676"/>
      <c r="H24" s="81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3" t="s">
        <v>119</v>
      </c>
      <c r="B25" s="679"/>
      <c r="C25" s="679"/>
      <c r="D25" s="680"/>
      <c r="E25" s="65" t="s">
        <v>120</v>
      </c>
      <c r="F25" s="66" t="s">
        <v>121</v>
      </c>
      <c r="G25" s="67" t="s">
        <v>106</v>
      </c>
      <c r="H25" s="68" t="s">
        <v>107</v>
      </c>
      <c r="J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 t="str">
        <f>'Analisis de cuadrillas'!C11</f>
        <v>Cuadrilla Hidrosanitaria</v>
      </c>
      <c r="B26" s="666"/>
      <c r="C26" s="666"/>
      <c r="D26" s="667"/>
      <c r="E26" s="7">
        <v>1</v>
      </c>
      <c r="F26" s="88">
        <f>'Analisis de cuadrillas'!G11</f>
        <v>46802.985933333322</v>
      </c>
      <c r="G26" s="7">
        <v>1</v>
      </c>
      <c r="H26" s="79">
        <f>E26*(F26/G26)</f>
        <v>46802.985933333322</v>
      </c>
      <c r="I26" s="40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8"/>
      <c r="B27" s="666"/>
      <c r="C27" s="666"/>
      <c r="D27" s="667"/>
      <c r="E27" s="5"/>
      <c r="F27" s="88"/>
      <c r="G27" s="5"/>
      <c r="H27" s="79"/>
      <c r="I27" s="40"/>
      <c r="J27" s="73"/>
      <c r="K27" s="40"/>
      <c r="L27" s="107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5"/>
      <c r="B28" s="666"/>
      <c r="C28" s="666"/>
      <c r="D28" s="667"/>
      <c r="E28" s="5"/>
      <c r="F28" s="88"/>
      <c r="G28" s="5"/>
      <c r="H28" s="79"/>
      <c r="J28" s="2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6"/>
      <c r="B29" s="686"/>
      <c r="C29" s="686"/>
      <c r="D29" s="687"/>
      <c r="E29" s="89"/>
      <c r="F29" s="90"/>
      <c r="G29" s="56"/>
      <c r="H29" s="91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7" t="s">
        <v>122</v>
      </c>
      <c r="B30" s="672"/>
      <c r="C30" s="672"/>
      <c r="D30" s="672"/>
      <c r="E30" s="672"/>
      <c r="F30" s="672"/>
      <c r="G30" s="673"/>
      <c r="H30" s="86">
        <f>ROUNDUP(SUM(H26:H29),0)</f>
        <v>46803</v>
      </c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770" t="s">
        <v>123</v>
      </c>
      <c r="B32" s="672"/>
      <c r="C32" s="672"/>
      <c r="D32" s="672"/>
      <c r="E32" s="672"/>
      <c r="F32" s="672"/>
      <c r="G32" s="714"/>
      <c r="H32" s="92">
        <f>+H30+H15+H23</f>
        <v>74963</v>
      </c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293" t="s">
        <v>1</v>
      </c>
      <c r="B34" s="852" t="str">
        <f>'1.1'!B32</f>
        <v>Johan Sebastian Alvarez, Daniel Eduardo Ochoa Mora</v>
      </c>
      <c r="C34" s="853"/>
      <c r="D34" s="853"/>
      <c r="E34" s="853"/>
      <c r="F34" s="853"/>
      <c r="G34" s="853"/>
      <c r="H34" s="853"/>
      <c r="K34" s="40"/>
    </row>
    <row r="35" spans="1:26" ht="14.25" customHeight="1">
      <c r="A35" s="294" t="str">
        <f>'3.2'!A34</f>
        <v>REVISÓ:</v>
      </c>
      <c r="B35" s="852" t="str">
        <f>'1.1'!B33</f>
        <v>ing. Alexander Solarte Benavides</v>
      </c>
      <c r="C35" s="853"/>
      <c r="D35" s="853"/>
      <c r="E35" s="853"/>
      <c r="F35" s="853"/>
      <c r="G35" s="853"/>
      <c r="H35" s="853"/>
      <c r="K35" s="40"/>
    </row>
    <row r="36" spans="1:26" ht="14.25" customHeight="1">
      <c r="A36" s="294" t="str">
        <f>'3.2'!A35</f>
        <v>APROBÓ</v>
      </c>
      <c r="B36" s="852" t="str">
        <f>'1.1'!B34</f>
        <v>ing.Alexander Solarte Benavides</v>
      </c>
      <c r="C36" s="853"/>
      <c r="D36" s="853"/>
      <c r="E36" s="853"/>
      <c r="F36" s="853"/>
      <c r="G36" s="853"/>
      <c r="H36" s="853"/>
      <c r="K36" s="40"/>
    </row>
    <row r="37" spans="1:26" ht="14.25" customHeight="1">
      <c r="A37" s="294" t="str">
        <f>'3.2'!A36</f>
        <v>FECHA:</v>
      </c>
      <c r="B37" s="852" t="str">
        <f>'1.1'!B35</f>
        <v>12 de Noviembre del 2020</v>
      </c>
      <c r="C37" s="854"/>
      <c r="D37" s="854"/>
      <c r="E37" s="854"/>
      <c r="F37" s="854"/>
      <c r="G37" s="854"/>
      <c r="H37" s="854"/>
      <c r="K37" s="40"/>
    </row>
    <row r="38" spans="1:26" ht="14.25" customHeight="1">
      <c r="K38" s="40"/>
    </row>
    <row r="39" spans="1:26" ht="14.25" customHeight="1"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sheetProtection algorithmName="SHA-512" hashValue="BaLAQkb3JR8vw//73OXbeZHlL5jI+J2+5ACq5D7YRsp3fV9IU9pQaUDwffPjVRDUAomz9Q9x/cj2OiRB/Fr+/g==" saltValue="72bD/R8fgrJagmBCqbVTnw==" spinCount="100000" sheet="1" objects="1" scenarios="1" selectLockedCells="1" selectUnlockedCells="1"/>
  <mergeCells count="38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G15"/>
    <mergeCell ref="A16:H16"/>
    <mergeCell ref="A22:D22"/>
    <mergeCell ref="A23:G23"/>
    <mergeCell ref="A17:D17"/>
    <mergeCell ref="A18:D18"/>
    <mergeCell ref="A19:D19"/>
    <mergeCell ref="A20:D20"/>
    <mergeCell ref="A21:D21"/>
    <mergeCell ref="B36:H36"/>
    <mergeCell ref="B37:H37"/>
    <mergeCell ref="A24:H24"/>
    <mergeCell ref="A25:D25"/>
    <mergeCell ref="A26:D26"/>
    <mergeCell ref="A27:D27"/>
    <mergeCell ref="A28:D28"/>
    <mergeCell ref="A29:D29"/>
    <mergeCell ref="A30:G30"/>
    <mergeCell ref="B34:H34"/>
    <mergeCell ref="B35:H35"/>
    <mergeCell ref="A32:G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89"/>
  <sheetViews>
    <sheetView showGridLines="0" topLeftCell="A21" zoomScale="140" zoomScaleNormal="14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2.450000000000003" customHeight="1">
      <c r="A1" s="843" t="str">
        <f>'3.5'!A1:H1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Presupuesto!B24</f>
        <v>3.6</v>
      </c>
      <c r="B5" s="780" t="str">
        <f>Presupuesto!C24</f>
        <v>Red de aguas lluvias en tuberia PVC de 3"</v>
      </c>
      <c r="C5" s="686"/>
      <c r="D5" s="686"/>
      <c r="E5" s="686"/>
      <c r="F5" s="687"/>
      <c r="G5" s="780" t="str">
        <f>Presupuesto!D24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177</v>
      </c>
      <c r="B8" s="666"/>
      <c r="C8" s="666"/>
      <c r="D8" s="667"/>
      <c r="E8" s="7" t="s">
        <v>15</v>
      </c>
      <c r="F8" s="80">
        <v>7150</v>
      </c>
      <c r="G8" s="7">
        <v>1.1000000000000001</v>
      </c>
      <c r="H8" s="79">
        <f>F8*G8</f>
        <v>7865.0000000000009</v>
      </c>
      <c r="K8" s="40"/>
    </row>
    <row r="9" spans="1:26" ht="14.25" customHeight="1">
      <c r="A9" s="814" t="s">
        <v>168</v>
      </c>
      <c r="B9" s="666"/>
      <c r="C9" s="666"/>
      <c r="D9" s="667"/>
      <c r="E9" s="7" t="s">
        <v>30</v>
      </c>
      <c r="F9" s="80">
        <v>8650</v>
      </c>
      <c r="G9" s="7">
        <v>0.1</v>
      </c>
      <c r="H9" s="79">
        <f>F9*G9</f>
        <v>865</v>
      </c>
      <c r="K9" s="40"/>
    </row>
    <row r="10" spans="1:26" ht="14.25" customHeight="1">
      <c r="A10" s="846" t="s">
        <v>169</v>
      </c>
      <c r="B10" s="666"/>
      <c r="C10" s="666"/>
      <c r="D10" s="667"/>
      <c r="E10" s="7" t="s">
        <v>30</v>
      </c>
      <c r="F10" s="80">
        <v>5300</v>
      </c>
      <c r="G10" s="7">
        <v>0.1</v>
      </c>
      <c r="H10" s="79">
        <f>F10*G10</f>
        <v>530</v>
      </c>
      <c r="K10" s="40"/>
    </row>
    <row r="11" spans="1:26" ht="14.25" customHeight="1">
      <c r="A11" s="814" t="s">
        <v>250</v>
      </c>
      <c r="B11" s="666"/>
      <c r="C11" s="666"/>
      <c r="D11" s="667"/>
      <c r="E11" s="7" t="s">
        <v>26</v>
      </c>
      <c r="F11" s="80">
        <v>30500</v>
      </c>
      <c r="G11" s="7">
        <v>6.0000000000000001E-3</v>
      </c>
      <c r="H11" s="79">
        <f>F11*G11</f>
        <v>183</v>
      </c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9443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114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129</v>
      </c>
      <c r="B17" s="666"/>
      <c r="C17" s="666"/>
      <c r="D17" s="667"/>
      <c r="E17" s="7" t="s">
        <v>61</v>
      </c>
      <c r="F17" s="80">
        <v>350</v>
      </c>
      <c r="G17" s="5">
        <f>G24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cuadrillas'!C11</f>
        <v>Cuadrilla Hidrosanitaria</v>
      </c>
      <c r="B24" s="666"/>
      <c r="C24" s="666"/>
      <c r="D24" s="667"/>
      <c r="E24" s="7">
        <v>1</v>
      </c>
      <c r="F24" s="88">
        <f>'Analisis de cuadrillas'!G11</f>
        <v>46802.985933333322</v>
      </c>
      <c r="G24" s="7">
        <v>1</v>
      </c>
      <c r="H24" s="79">
        <f>E24*(F24/G24)</f>
        <v>46802.985933333322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46803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58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56946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4" t="str">
        <f>'3.2'!A33</f>
        <v>ELABORO:</v>
      </c>
      <c r="B32" s="852" t="str">
        <f>'1.1'!B32</f>
        <v>Johan Sebastian Alvarez, Daniel Eduardo Ochoa Mora</v>
      </c>
      <c r="C32" s="853"/>
      <c r="D32" s="853"/>
      <c r="E32" s="853"/>
      <c r="F32" s="853"/>
      <c r="G32" s="853"/>
      <c r="H32" s="853"/>
      <c r="K32" s="40"/>
    </row>
    <row r="33" spans="1:11" ht="14.25" customHeight="1">
      <c r="A33" s="294" t="str">
        <f>'3.2'!A34</f>
        <v>REVISÓ:</v>
      </c>
      <c r="B33" s="852" t="str">
        <f>'1.1'!B33</f>
        <v>ing. Alexander Solarte Benavides</v>
      </c>
      <c r="C33" s="853"/>
      <c r="D33" s="853"/>
      <c r="E33" s="853"/>
      <c r="F33" s="853"/>
      <c r="G33" s="853"/>
      <c r="H33" s="853"/>
      <c r="K33" s="40"/>
    </row>
    <row r="34" spans="1:11" ht="14.25" customHeight="1">
      <c r="A34" s="294" t="str">
        <f>'3.2'!A35</f>
        <v>APROBÓ</v>
      </c>
      <c r="B34" s="852" t="str">
        <f>'1.1'!B34</f>
        <v>ing.Alexander Solarte Benavides</v>
      </c>
      <c r="C34" s="854"/>
      <c r="D34" s="854"/>
      <c r="E34" s="854"/>
      <c r="F34" s="854"/>
      <c r="G34" s="854"/>
      <c r="H34" s="854"/>
      <c r="K34" s="40"/>
    </row>
    <row r="35" spans="1:11" ht="14.25" customHeight="1">
      <c r="A35" s="294" t="s">
        <v>246</v>
      </c>
      <c r="B35" s="852" t="str">
        <f>'1.1'!B35</f>
        <v>12 de Noviembre del 2020</v>
      </c>
      <c r="C35" s="854"/>
      <c r="D35" s="854"/>
      <c r="E35" s="854"/>
      <c r="F35" s="854"/>
      <c r="G35" s="854"/>
      <c r="H35" s="854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sheetProtection algorithmName="SHA-512" hashValue="Halgk22PUvAcBdYUyFHFrbP9LU4ivLk/5y9qkZB5s4K+OS4krMqzb/tBOA4uPd5iL+zP03vb/hGLXBvpt0khXw==" saltValue="YJdbmepHjNYEcsnQEDYHM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B35:H35"/>
    <mergeCell ref="B32:H32"/>
    <mergeCell ref="B33:H33"/>
    <mergeCell ref="B34:H34"/>
    <mergeCell ref="A22:H22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59"/>
  <sheetViews>
    <sheetView showGridLines="0" topLeftCell="A29" zoomScale="140" zoomScaleNormal="140" workbookViewId="0">
      <selection activeCell="G2" sqref="G2:H3"/>
    </sheetView>
  </sheetViews>
  <sheetFormatPr baseColWidth="10" defaultColWidth="12.625" defaultRowHeight="15" customHeight="1"/>
  <cols>
    <col min="1" max="1" width="11.25" customWidth="1"/>
    <col min="2" max="3" width="10" customWidth="1"/>
    <col min="4" max="4" width="11.125" customWidth="1"/>
    <col min="5" max="5" width="8.75" customWidth="1"/>
    <col min="6" max="6" width="11.75" customWidth="1"/>
    <col min="7" max="7" width="13.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'3.6'!A1:H1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Presupuesto!B18</f>
        <v>3</v>
      </c>
      <c r="B3" s="790" t="str">
        <f>Presupuesto!C18</f>
        <v>RED SANITARIA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Presupuesto!B25</f>
        <v>3.7</v>
      </c>
      <c r="B5" s="780" t="str">
        <f>Presupuesto!C25</f>
        <v>Salida de aguas lluvias en tuberia PVC de 3"</v>
      </c>
      <c r="C5" s="686"/>
      <c r="D5" s="686"/>
      <c r="E5" s="686"/>
      <c r="F5" s="687"/>
      <c r="G5" s="780" t="str">
        <f>Presupuesto!D25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178</v>
      </c>
      <c r="B8" s="666"/>
      <c r="C8" s="666"/>
      <c r="D8" s="667"/>
      <c r="E8" s="7" t="s">
        <v>15</v>
      </c>
      <c r="F8" s="80">
        <v>13983</v>
      </c>
      <c r="G8" s="7">
        <v>0.5</v>
      </c>
      <c r="H8" s="79">
        <f>F8*G8</f>
        <v>6991.5</v>
      </c>
      <c r="K8" s="40"/>
    </row>
    <row r="9" spans="1:26" ht="14.25" customHeight="1">
      <c r="A9" s="814" t="s">
        <v>179</v>
      </c>
      <c r="B9" s="666"/>
      <c r="C9" s="666"/>
      <c r="D9" s="667"/>
      <c r="E9" s="7" t="s">
        <v>30</v>
      </c>
      <c r="F9" s="80">
        <v>5500</v>
      </c>
      <c r="G9" s="7">
        <v>1</v>
      </c>
      <c r="H9" s="79">
        <f>F9*G9</f>
        <v>5500</v>
      </c>
      <c r="K9" s="40"/>
    </row>
    <row r="10" spans="1:26" ht="14.25" customHeight="1">
      <c r="A10" s="814" t="s">
        <v>168</v>
      </c>
      <c r="B10" s="666"/>
      <c r="C10" s="666"/>
      <c r="D10" s="667"/>
      <c r="E10" s="7" t="s">
        <v>30</v>
      </c>
      <c r="F10" s="80">
        <v>8650</v>
      </c>
      <c r="G10" s="7">
        <v>0.1</v>
      </c>
      <c r="H10" s="79">
        <f>F10*G10</f>
        <v>865</v>
      </c>
      <c r="K10" s="40"/>
    </row>
    <row r="11" spans="1:26" ht="14.25" customHeight="1">
      <c r="A11" s="846" t="s">
        <v>169</v>
      </c>
      <c r="B11" s="666"/>
      <c r="C11" s="666"/>
      <c r="D11" s="667"/>
      <c r="E11" s="7" t="s">
        <v>30</v>
      </c>
      <c r="F11" s="80">
        <v>5300</v>
      </c>
      <c r="G11" s="7">
        <v>0.1</v>
      </c>
      <c r="H11" s="79">
        <f>F11*G11</f>
        <v>530</v>
      </c>
      <c r="K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4.25" customHeight="1">
      <c r="A12" s="814" t="s">
        <v>249</v>
      </c>
      <c r="B12" s="666"/>
      <c r="C12" s="666"/>
      <c r="D12" s="667"/>
      <c r="E12" s="7" t="s">
        <v>26</v>
      </c>
      <c r="F12" s="80">
        <v>30500</v>
      </c>
      <c r="G12" s="7">
        <v>6.0000000000000001E-3</v>
      </c>
      <c r="H12" s="79">
        <f>F12*G12</f>
        <v>183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56"/>
      <c r="B13" s="839"/>
      <c r="C13" s="839"/>
      <c r="D13" s="848"/>
      <c r="E13" s="9"/>
      <c r="F13" s="125"/>
      <c r="G13" s="9"/>
      <c r="H13" s="137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116</v>
      </c>
      <c r="B14" s="672"/>
      <c r="C14" s="672"/>
      <c r="D14" s="672"/>
      <c r="E14" s="672"/>
      <c r="F14" s="672"/>
      <c r="G14" s="673"/>
      <c r="H14" s="138">
        <f>SUM(H8:H13)</f>
        <v>14069.5</v>
      </c>
      <c r="I14" s="139"/>
      <c r="J14" s="139"/>
      <c r="K14" s="140"/>
      <c r="L14" s="139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 t="s">
        <v>114</v>
      </c>
      <c r="B17" s="666"/>
      <c r="C17" s="666"/>
      <c r="D17" s="667"/>
      <c r="E17" s="141" t="s">
        <v>61</v>
      </c>
      <c r="F17" s="142">
        <v>350</v>
      </c>
      <c r="G17" s="5">
        <f>G25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 t="s">
        <v>129</v>
      </c>
      <c r="B18" s="666"/>
      <c r="C18" s="666"/>
      <c r="D18" s="667"/>
      <c r="E18" s="141" t="s">
        <v>61</v>
      </c>
      <c r="F18" s="142">
        <v>350</v>
      </c>
      <c r="G18" s="5">
        <f>G25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700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cuadrillas'!C11</f>
        <v>Cuadrilla Hidrosanitaria</v>
      </c>
      <c r="B25" s="666"/>
      <c r="C25" s="666"/>
      <c r="D25" s="667"/>
      <c r="E25" s="7">
        <v>1</v>
      </c>
      <c r="F25" s="88">
        <f>'Analisis de cuadrillas'!G11</f>
        <v>46802.985933333322</v>
      </c>
      <c r="G25" s="7">
        <v>1</v>
      </c>
      <c r="H25" s="79">
        <f>E25*(F25/G25)</f>
        <v>46802.985933333322</v>
      </c>
      <c r="I25" s="58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58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46803</v>
      </c>
      <c r="J29" s="143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61572.5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K32" s="40"/>
    </row>
    <row r="33" spans="1:11" ht="14.25" customHeight="1">
      <c r="A33" s="292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2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2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2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5.75" customHeight="1"/>
    <row r="196" spans="11:11" ht="15.75" customHeight="1"/>
    <row r="197" spans="11:11" ht="15.75" customHeight="1"/>
    <row r="198" spans="11:11" ht="15.75" customHeight="1"/>
    <row r="199" spans="11:11" ht="15.75" customHeight="1"/>
    <row r="200" spans="11:11" ht="15.75" customHeight="1"/>
    <row r="201" spans="11:11" ht="15.75" customHeight="1"/>
    <row r="202" spans="11:11" ht="15.75" customHeight="1"/>
    <row r="203" spans="11:11" ht="15.75" customHeight="1"/>
    <row r="204" spans="11:11" ht="15.75" customHeight="1"/>
    <row r="205" spans="11:11" ht="15.75" customHeight="1"/>
    <row r="206" spans="11:11" ht="15.75" customHeight="1"/>
    <row r="207" spans="11:11" ht="15.75" customHeight="1"/>
    <row r="208" spans="11:11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</sheetData>
  <sheetProtection algorithmName="SHA-512" hashValue="+ibc5Wzw+G8SbpanUerzft5EWWFEpAWMsueCfTRM8uA7WgwWQen/fJ4tIOGqm2D5ACxXl1Z584Y1w47lmkwrcA==" saltValue="XROAgUtZX/C7FH/bDGUBDw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22:G22"/>
    <mergeCell ref="A23:H23"/>
    <mergeCell ref="A17:D17"/>
    <mergeCell ref="A18:D18"/>
    <mergeCell ref="A19:D19"/>
    <mergeCell ref="A20:D20"/>
    <mergeCell ref="A21:D21"/>
    <mergeCell ref="B36:H36"/>
    <mergeCell ref="A24:D24"/>
    <mergeCell ref="A25:D25"/>
    <mergeCell ref="A26:D26"/>
    <mergeCell ref="A27:D27"/>
    <mergeCell ref="A28:D28"/>
    <mergeCell ref="A29:G29"/>
    <mergeCell ref="A31:G31"/>
    <mergeCell ref="B33:H33"/>
    <mergeCell ref="B34:H34"/>
    <mergeCell ref="B35:H35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2"/>
  <sheetViews>
    <sheetView showGridLines="0" topLeftCell="A21" zoomScale="130" zoomScaleNormal="13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3.875" customWidth="1"/>
    <col min="8" max="8" width="14.8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'3.7'!A1:H1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  <c r="N1" s="2"/>
      <c r="O1" s="2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Presupuesto!B27</f>
        <v>4</v>
      </c>
      <c r="B3" s="790" t="str">
        <f>Presupuesto!C27</f>
        <v>RED HIDRAULICA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J4" s="2"/>
      <c r="K4" s="58"/>
      <c r="L4" s="2"/>
    </row>
    <row r="5" spans="1:26" ht="14.25" customHeight="1">
      <c r="A5" s="49">
        <f>Presupuesto!B28</f>
        <v>4.0999999999999996</v>
      </c>
      <c r="B5" s="780" t="str">
        <f>Presupuesto!C28</f>
        <v>Red hidraulica en tuberia PVC presión de 1/2 "</v>
      </c>
      <c r="C5" s="686"/>
      <c r="D5" s="686"/>
      <c r="E5" s="686"/>
      <c r="F5" s="687"/>
      <c r="G5" s="780" t="str">
        <f>Presupuesto!D28</f>
        <v>ML</v>
      </c>
      <c r="H5" s="822"/>
      <c r="J5" s="2"/>
      <c r="K5" s="58"/>
      <c r="L5" s="2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180</v>
      </c>
      <c r="B8" s="666"/>
      <c r="C8" s="666"/>
      <c r="D8" s="667"/>
      <c r="E8" s="7" t="s">
        <v>15</v>
      </c>
      <c r="F8" s="80">
        <v>2117</v>
      </c>
      <c r="G8" s="7">
        <v>1.1000000000000001</v>
      </c>
      <c r="H8" s="79">
        <f>F8*G8</f>
        <v>2328.7000000000003</v>
      </c>
      <c r="K8" s="40"/>
    </row>
    <row r="9" spans="1:26" ht="14.25" customHeight="1">
      <c r="A9" s="814" t="s">
        <v>168</v>
      </c>
      <c r="B9" s="666"/>
      <c r="C9" s="666"/>
      <c r="D9" s="667"/>
      <c r="E9" s="7" t="s">
        <v>30</v>
      </c>
      <c r="F9" s="80">
        <v>8650</v>
      </c>
      <c r="G9" s="7">
        <v>0.1</v>
      </c>
      <c r="H9" s="79">
        <f>F9*G9</f>
        <v>865</v>
      </c>
      <c r="K9" s="40"/>
    </row>
    <row r="10" spans="1:26" ht="14.25" customHeight="1">
      <c r="A10" s="846" t="s">
        <v>169</v>
      </c>
      <c r="B10" s="666"/>
      <c r="C10" s="666"/>
      <c r="D10" s="667"/>
      <c r="E10" s="7" t="s">
        <v>30</v>
      </c>
      <c r="F10" s="80">
        <v>5300</v>
      </c>
      <c r="G10" s="7">
        <v>0.1</v>
      </c>
      <c r="H10" s="79">
        <f>F10*G10</f>
        <v>530</v>
      </c>
      <c r="K10" s="40"/>
    </row>
    <row r="11" spans="1:26" ht="14.25" customHeight="1">
      <c r="A11" s="814" t="s">
        <v>182</v>
      </c>
      <c r="B11" s="666"/>
      <c r="C11" s="666"/>
      <c r="D11" s="667"/>
      <c r="E11" s="7" t="s">
        <v>137</v>
      </c>
      <c r="F11" s="80">
        <v>1500</v>
      </c>
      <c r="G11" s="7">
        <v>1</v>
      </c>
      <c r="H11" s="79">
        <f>F11*G11</f>
        <v>1500</v>
      </c>
      <c r="K11" s="40"/>
    </row>
    <row r="12" spans="1:26" ht="14.25" customHeight="1">
      <c r="A12" s="846"/>
      <c r="B12" s="666"/>
      <c r="C12" s="666"/>
      <c r="D12" s="667"/>
      <c r="E12" s="7"/>
      <c r="F12" s="80"/>
      <c r="G12" s="7"/>
      <c r="H12" s="84"/>
      <c r="I12" s="2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47"/>
      <c r="B13" s="839"/>
      <c r="C13" s="839"/>
      <c r="D13" s="848"/>
      <c r="E13" s="128"/>
      <c r="F13" s="133"/>
      <c r="G13" s="128"/>
      <c r="H13" s="131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144">
        <f>ROUND(SUM(H8:H13),0)</f>
        <v>5224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114</v>
      </c>
      <c r="B17" s="666"/>
      <c r="C17" s="666"/>
      <c r="D17" s="667"/>
      <c r="E17" s="7" t="s">
        <v>61</v>
      </c>
      <c r="F17" s="80">
        <v>350</v>
      </c>
      <c r="G17" s="7">
        <f>G25</f>
        <v>4</v>
      </c>
      <c r="H17" s="79">
        <f>F17/G17</f>
        <v>87.5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129</v>
      </c>
      <c r="B18" s="666"/>
      <c r="C18" s="666"/>
      <c r="D18" s="667"/>
      <c r="E18" s="7" t="s">
        <v>61</v>
      </c>
      <c r="F18" s="80">
        <v>350</v>
      </c>
      <c r="G18" s="7">
        <f>G25</f>
        <v>4</v>
      </c>
      <c r="H18" s="79">
        <f>F18/G18</f>
        <v>87.5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175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cuadrillas'!C11</f>
        <v>Cuadrilla Hidrosanitaria</v>
      </c>
      <c r="B25" s="666"/>
      <c r="C25" s="666"/>
      <c r="D25" s="667"/>
      <c r="E25" s="7">
        <v>1</v>
      </c>
      <c r="F25" s="88">
        <f>'Analisis de cuadrillas'!G11</f>
        <v>46802.985933333322</v>
      </c>
      <c r="G25" s="7">
        <v>4</v>
      </c>
      <c r="H25" s="79">
        <f>(E25*F25)/G25</f>
        <v>11700.746483333331</v>
      </c>
      <c r="I25" s="58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58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11701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17100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5.75" customHeight="1"/>
    <row r="229" spans="11:11" ht="15.75" customHeight="1"/>
    <row r="230" spans="11:11" ht="15.75" customHeight="1"/>
    <row r="231" spans="11:11" ht="15.75" customHeight="1"/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sheetProtection algorithmName="SHA-512" hashValue="aPpqs8kkHv/cT5d8xrEWAJmoqjHgKzRL8jYpMpuWbt5YnLvOeU8BbS/XDHCXZeU1F7l1+ZnxAU5RtMKKKzpw0w==" saltValue="lw+HSRgV1KniQnuaHe7efg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22:G22"/>
    <mergeCell ref="A23:H23"/>
    <mergeCell ref="A17:D17"/>
    <mergeCell ref="A18:D18"/>
    <mergeCell ref="A19:D19"/>
    <mergeCell ref="A20:D20"/>
    <mergeCell ref="A21:D21"/>
    <mergeCell ref="B36:H36"/>
    <mergeCell ref="A24:D24"/>
    <mergeCell ref="A25:D25"/>
    <mergeCell ref="A26:D26"/>
    <mergeCell ref="A27:D27"/>
    <mergeCell ref="A28:D28"/>
    <mergeCell ref="A29:G29"/>
    <mergeCell ref="A31:G31"/>
    <mergeCell ref="B33:H33"/>
    <mergeCell ref="B34:H34"/>
    <mergeCell ref="B35:H35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993"/>
  <sheetViews>
    <sheetView showGridLines="0" topLeftCell="A21" zoomScale="140" zoomScaleNormal="140" workbookViewId="0">
      <selection activeCell="G2" sqref="G2:H3"/>
    </sheetView>
  </sheetViews>
  <sheetFormatPr baseColWidth="10" defaultColWidth="12.625" defaultRowHeight="15" customHeight="1"/>
  <cols>
    <col min="1" max="1" width="11.125" customWidth="1"/>
    <col min="2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6.45" customHeight="1">
      <c r="A1" s="843" t="str">
        <f>'4.1'!A1:H1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Presupuesto!B27</f>
        <v>4</v>
      </c>
      <c r="B3" s="790" t="str">
        <f>Presupuesto!C27</f>
        <v>RED HIDRAULICA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Presupuesto!B29</f>
        <v>4.2</v>
      </c>
      <c r="B5" s="780" t="str">
        <f>Presupuesto!C29</f>
        <v>Punto de agua fria en tuberia PVC de 1/2 "</v>
      </c>
      <c r="C5" s="686"/>
      <c r="D5" s="686"/>
      <c r="E5" s="686"/>
      <c r="F5" s="687"/>
      <c r="G5" s="780" t="str">
        <f>Presupuesto!D29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57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181</v>
      </c>
      <c r="B8" s="666"/>
      <c r="C8" s="666"/>
      <c r="D8" s="667"/>
      <c r="E8" s="7" t="s">
        <v>15</v>
      </c>
      <c r="F8" s="80">
        <v>2117</v>
      </c>
      <c r="G8" s="7">
        <v>3</v>
      </c>
      <c r="H8" s="79">
        <f>F8*G8</f>
        <v>6351</v>
      </c>
      <c r="K8" s="40"/>
    </row>
    <row r="9" spans="1:26" ht="14.25" customHeight="1">
      <c r="A9" s="814" t="s">
        <v>168</v>
      </c>
      <c r="B9" s="666"/>
      <c r="C9" s="666"/>
      <c r="D9" s="667"/>
      <c r="E9" s="7" t="s">
        <v>30</v>
      </c>
      <c r="F9" s="80">
        <v>8650</v>
      </c>
      <c r="G9" s="7">
        <v>0.1</v>
      </c>
      <c r="H9" s="79">
        <f>F9*G9</f>
        <v>865</v>
      </c>
      <c r="K9" s="40"/>
    </row>
    <row r="10" spans="1:26" ht="14.25" customHeight="1">
      <c r="A10" s="846" t="s">
        <v>169</v>
      </c>
      <c r="B10" s="666"/>
      <c r="C10" s="666"/>
      <c r="D10" s="667"/>
      <c r="E10" s="7" t="s">
        <v>30</v>
      </c>
      <c r="F10" s="80">
        <v>5300</v>
      </c>
      <c r="G10" s="7">
        <v>0.1</v>
      </c>
      <c r="H10" s="79">
        <f>F10*G10</f>
        <v>530</v>
      </c>
      <c r="K10" s="40"/>
    </row>
    <row r="11" spans="1:26" ht="14.25" customHeight="1">
      <c r="A11" s="814" t="s">
        <v>183</v>
      </c>
      <c r="B11" s="666"/>
      <c r="C11" s="666"/>
      <c r="D11" s="667"/>
      <c r="E11" s="7" t="s">
        <v>137</v>
      </c>
      <c r="F11" s="80">
        <v>9500</v>
      </c>
      <c r="G11" s="7">
        <v>1</v>
      </c>
      <c r="H11" s="79">
        <f>F11*G11</f>
        <v>9500</v>
      </c>
      <c r="K11" s="40"/>
    </row>
    <row r="12" spans="1:26" ht="14.25" customHeight="1">
      <c r="A12" s="846"/>
      <c r="B12" s="666"/>
      <c r="C12" s="666"/>
      <c r="D12" s="667"/>
      <c r="E12" s="7"/>
      <c r="F12" s="80"/>
      <c r="G12" s="7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55"/>
      <c r="B13" s="839"/>
      <c r="C13" s="839"/>
      <c r="D13" s="848"/>
      <c r="E13" s="130"/>
      <c r="F13" s="129"/>
      <c r="G13" s="130"/>
      <c r="H13" s="131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17246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114</v>
      </c>
      <c r="B17" s="666"/>
      <c r="C17" s="666"/>
      <c r="D17" s="667"/>
      <c r="E17" s="7" t="s">
        <v>61</v>
      </c>
      <c r="F17" s="80">
        <v>350</v>
      </c>
      <c r="G17" s="5">
        <f>G25</f>
        <v>1</v>
      </c>
      <c r="H17" s="79">
        <f>F17/G17</f>
        <v>350</v>
      </c>
      <c r="I17" s="2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129</v>
      </c>
      <c r="B18" s="666"/>
      <c r="C18" s="666"/>
      <c r="D18" s="667"/>
      <c r="E18" s="7" t="s">
        <v>61</v>
      </c>
      <c r="F18" s="80">
        <v>350</v>
      </c>
      <c r="G18" s="5">
        <f>G25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700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cuadrillas'!C11</f>
        <v>Cuadrilla Hidrosanitaria</v>
      </c>
      <c r="B25" s="666"/>
      <c r="C25" s="666"/>
      <c r="D25" s="667"/>
      <c r="E25" s="7">
        <v>1</v>
      </c>
      <c r="F25" s="88">
        <f>'Analisis de cuadrillas'!G11</f>
        <v>46802.985933333322</v>
      </c>
      <c r="G25" s="7">
        <v>1</v>
      </c>
      <c r="H25" s="79">
        <f>(E25*F25)/G25</f>
        <v>46802.985933333322</v>
      </c>
      <c r="I25" s="58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58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46803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64749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5.75" customHeight="1"/>
    <row r="230" spans="11:11" ht="15.75" customHeight="1"/>
    <row r="231" spans="11:11" ht="15.75" customHeight="1"/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LJn9yMIZW/zrofDsKh2vHkPYu4F2JzAYTxvefooj2c9AXL/PAKCRibP7/WtBZCxcw/5lvt9LcnYikWCiK7pmAA==" saltValue="1MG+Hl139jWyTWUr7eloMw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22:G22"/>
    <mergeCell ref="A23:H23"/>
    <mergeCell ref="A17:D17"/>
    <mergeCell ref="A18:D18"/>
    <mergeCell ref="A19:D19"/>
    <mergeCell ref="A20:D20"/>
    <mergeCell ref="A21:D21"/>
    <mergeCell ref="B36:H36"/>
    <mergeCell ref="A24:D24"/>
    <mergeCell ref="A25:D25"/>
    <mergeCell ref="A26:D26"/>
    <mergeCell ref="A27:D27"/>
    <mergeCell ref="A28:D28"/>
    <mergeCell ref="A29:G29"/>
    <mergeCell ref="A31:G31"/>
    <mergeCell ref="B33:H33"/>
    <mergeCell ref="B34:H34"/>
    <mergeCell ref="B35:H35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zoomScale="120" zoomScaleNormal="12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5.375" customWidth="1"/>
    <col min="9" max="10" width="11.375" customWidth="1"/>
    <col min="11" max="11" width="12.75" customWidth="1"/>
    <col min="12" max="12" width="10.5" customWidth="1"/>
    <col min="13" max="13" width="12.75" customWidth="1"/>
    <col min="14" max="26" width="10" customWidth="1"/>
  </cols>
  <sheetData>
    <row r="1" spans="1:26" ht="15" customHeight="1" thickBo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J1" s="2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 thickBo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 thickBot="1">
      <c r="A5" s="49">
        <f>Presupuesto!B32</f>
        <v>5.0999999999999996</v>
      </c>
      <c r="B5" s="780" t="str">
        <f>Presupuesto!C32</f>
        <v>Concreto ciclopeo 60/40</v>
      </c>
      <c r="C5" s="686"/>
      <c r="D5" s="686"/>
      <c r="E5" s="686"/>
      <c r="F5" s="687"/>
      <c r="G5" s="780" t="str">
        <f>Presupuesto!D32</f>
        <v>M3</v>
      </c>
      <c r="H5" s="822"/>
      <c r="K5" s="58"/>
    </row>
    <row r="6" spans="1:26" ht="14.25" customHeight="1" thickBo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  <c r="L7" s="145"/>
      <c r="M7" s="145"/>
      <c r="N7" s="2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f>325*0.6</f>
        <v>195</v>
      </c>
      <c r="H8" s="79">
        <f>F8*G8</f>
        <v>109200</v>
      </c>
      <c r="J8" s="2"/>
      <c r="K8" s="40"/>
      <c r="L8" s="2"/>
      <c r="M8" s="2"/>
      <c r="N8" s="109"/>
    </row>
    <row r="9" spans="1:26" ht="14.25" customHeight="1">
      <c r="A9" s="814" t="s">
        <v>250</v>
      </c>
      <c r="B9" s="666"/>
      <c r="C9" s="666"/>
      <c r="D9" s="667"/>
      <c r="E9" s="7" t="s">
        <v>26</v>
      </c>
      <c r="F9" s="80">
        <v>61000</v>
      </c>
      <c r="G9" s="7">
        <f>0.515*0.6</f>
        <v>0.309</v>
      </c>
      <c r="H9" s="79">
        <f>F9*G9</f>
        <v>18849</v>
      </c>
      <c r="I9" s="435"/>
      <c r="K9" s="40"/>
      <c r="L9" s="2"/>
      <c r="M9" s="2"/>
      <c r="N9" s="109"/>
    </row>
    <row r="10" spans="1:26" ht="14.25" customHeight="1">
      <c r="A10" s="814" t="s">
        <v>184</v>
      </c>
      <c r="B10" s="666"/>
      <c r="C10" s="666"/>
      <c r="D10" s="667"/>
      <c r="E10" s="7" t="s">
        <v>185</v>
      </c>
      <c r="F10" s="80">
        <v>100</v>
      </c>
      <c r="G10" s="7">
        <f>170*0.6</f>
        <v>102</v>
      </c>
      <c r="H10" s="79">
        <f>F10*G10</f>
        <v>10200</v>
      </c>
      <c r="I10" s="435"/>
      <c r="J10" s="143"/>
      <c r="K10" s="40"/>
      <c r="L10" s="2"/>
      <c r="M10" s="2"/>
      <c r="N10" s="109"/>
    </row>
    <row r="11" spans="1:26" ht="14.25" customHeight="1">
      <c r="A11" s="814" t="s">
        <v>141</v>
      </c>
      <c r="B11" s="666"/>
      <c r="C11" s="666"/>
      <c r="D11" s="667"/>
      <c r="E11" s="7" t="s">
        <v>26</v>
      </c>
      <c r="F11" s="80">
        <v>65500</v>
      </c>
      <c r="G11" s="7">
        <f>0.8*0.6</f>
        <v>0.48</v>
      </c>
      <c r="H11" s="79">
        <f>F11*G11</f>
        <v>31440</v>
      </c>
      <c r="I11" s="435"/>
      <c r="K11" s="40"/>
      <c r="L11" s="2"/>
      <c r="M11" s="2"/>
      <c r="N11" s="109"/>
    </row>
    <row r="12" spans="1:26" ht="14.25" customHeight="1" thickBot="1">
      <c r="A12" s="819" t="s">
        <v>314</v>
      </c>
      <c r="B12" s="700"/>
      <c r="C12" s="700"/>
      <c r="D12" s="776"/>
      <c r="E12" s="56" t="s">
        <v>26</v>
      </c>
      <c r="F12" s="85">
        <v>110000</v>
      </c>
      <c r="G12" s="56">
        <v>0.4</v>
      </c>
      <c r="H12" s="79">
        <f>F12*G12</f>
        <v>44000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213689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148</v>
      </c>
      <c r="B16" s="666"/>
      <c r="C16" s="666"/>
      <c r="D16" s="667"/>
      <c r="E16" s="7" t="s">
        <v>61</v>
      </c>
      <c r="F16" s="80">
        <v>350</v>
      </c>
      <c r="G16" s="5">
        <f>G24</f>
        <v>0.5</v>
      </c>
      <c r="H16" s="79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149</v>
      </c>
      <c r="B17" s="666"/>
      <c r="C17" s="666"/>
      <c r="D17" s="667"/>
      <c r="E17" s="7" t="s">
        <v>61</v>
      </c>
      <c r="F17" s="80">
        <v>350</v>
      </c>
      <c r="G17" s="5">
        <f>G24</f>
        <v>0.5</v>
      </c>
      <c r="H17" s="79">
        <f>F17/G17</f>
        <v>700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188</v>
      </c>
      <c r="B18" s="666"/>
      <c r="C18" s="666"/>
      <c r="D18" s="667"/>
      <c r="E18" s="7" t="s">
        <v>30</v>
      </c>
      <c r="F18" s="80">
        <v>4487</v>
      </c>
      <c r="G18" s="5">
        <f>G24</f>
        <v>0.5</v>
      </c>
      <c r="H18" s="79">
        <f>F18/G18</f>
        <v>8974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10374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cuadrillas'!C10</f>
        <v>Cuadrilla Mamposteria</v>
      </c>
      <c r="B24" s="666"/>
      <c r="C24" s="666"/>
      <c r="D24" s="667"/>
      <c r="E24" s="7">
        <v>1</v>
      </c>
      <c r="F24" s="88">
        <f>'Analisis de cuadrillas'!G10</f>
        <v>56186.910333333333</v>
      </c>
      <c r="G24" s="7">
        <v>0.5</v>
      </c>
      <c r="H24" s="79">
        <f>(E24*F24)/G24</f>
        <v>112373.82066666667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112374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336437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+O9hXNAf1Kfr/HdRfil3QEoG7qx6RlpC7Mdsp42ByUd3vfa/B5/EAesalEzsObq24s0kKyYs1QPwydYAX5cM6Q==" saltValue="/2pxNv9d+UAgRXUirHnWyw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phoneticPr fontId="41" type="noConversion"/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5.75" customWidth="1"/>
    <col min="5" max="5" width="8.75" customWidth="1"/>
    <col min="6" max="6" width="11.75" customWidth="1"/>
    <col min="7" max="7" width="12.375" customWidth="1"/>
    <col min="8" max="8" width="14.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'5.1'!A1:H1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J2" s="2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J3" s="2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Presupuesto!B33</f>
        <v>5.2</v>
      </c>
      <c r="B5" s="780" t="str">
        <f>Presupuesto!C33</f>
        <v>Acero de refuerzo, incluye alambre de amarre</v>
      </c>
      <c r="C5" s="686"/>
      <c r="D5" s="686"/>
      <c r="E5" s="686"/>
      <c r="F5" s="687"/>
      <c r="G5" s="780" t="str">
        <f>Presupuesto!D33</f>
        <v>KG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J6" s="2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186</v>
      </c>
      <c r="B8" s="666"/>
      <c r="C8" s="666"/>
      <c r="D8" s="667"/>
      <c r="E8" s="7" t="s">
        <v>42</v>
      </c>
      <c r="F8" s="80">
        <v>4000</v>
      </c>
      <c r="G8" s="7">
        <v>1</v>
      </c>
      <c r="H8" s="79">
        <f>F8*G8</f>
        <v>4000</v>
      </c>
      <c r="J8" s="2"/>
      <c r="K8" s="40"/>
    </row>
    <row r="9" spans="1:26" ht="14.25" customHeight="1">
      <c r="A9" s="814" t="s">
        <v>187</v>
      </c>
      <c r="B9" s="666"/>
      <c r="C9" s="666"/>
      <c r="D9" s="667"/>
      <c r="E9" s="7" t="s">
        <v>42</v>
      </c>
      <c r="F9" s="80">
        <v>4909</v>
      </c>
      <c r="G9" s="7">
        <f>G8*10%</f>
        <v>0.1</v>
      </c>
      <c r="H9" s="79">
        <f>F9*G9</f>
        <v>490.90000000000003</v>
      </c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J10" s="2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4491</v>
      </c>
      <c r="J13" s="146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I15" s="2"/>
      <c r="J15" s="2"/>
      <c r="K15" s="58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50</v>
      </c>
      <c r="H16" s="79">
        <f>F16/G16</f>
        <v>7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58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cuadrillas'!C8</f>
        <v>Cuadrilla Oficios Varios</v>
      </c>
      <c r="B24" s="666"/>
      <c r="C24" s="666"/>
      <c r="D24" s="667"/>
      <c r="E24" s="7">
        <v>1</v>
      </c>
      <c r="F24" s="88">
        <f>'Analisis de cuadrillas'!G8</f>
        <v>33253.333333333336</v>
      </c>
      <c r="G24" s="7">
        <v>50</v>
      </c>
      <c r="H24" s="79">
        <f>(E24*F24)/G24</f>
        <v>665.06666666666672</v>
      </c>
      <c r="I24" s="58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147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58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673"/>
      <c r="H28" s="86">
        <f>ROUNDUP(SUM(H24:H27),0)</f>
        <v>666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5164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vjXRhaTf+vEIXLhZLMF8nLgRVWRjosHcODAMvI9ixjdPydR3JILQkx+3JR4sMysCvs8RS+X2xiiLjThototU2g==" saltValue="2OhoL5Nqwt2dwWe+LoPp/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4"/>
  <sheetViews>
    <sheetView showGridLines="0" topLeftCell="A17" zoomScale="9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5.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'5.2'!A1:H1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Presupuesto!B34</f>
        <v>5.3</v>
      </c>
      <c r="B5" s="780" t="str">
        <f>Presupuesto!C34</f>
        <v xml:space="preserve">Concreto para vigas de cimentación </v>
      </c>
      <c r="C5" s="686"/>
      <c r="D5" s="686"/>
      <c r="E5" s="686"/>
      <c r="F5" s="687"/>
      <c r="G5" s="780" t="str">
        <f>Presupuesto!D34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350</v>
      </c>
      <c r="H8" s="79">
        <f>F8*G8</f>
        <v>196000</v>
      </c>
      <c r="K8" s="145"/>
      <c r="L8" s="145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61000</v>
      </c>
      <c r="G9" s="7">
        <v>0.56000000000000005</v>
      </c>
      <c r="H9" s="79">
        <f>F9*G9</f>
        <v>34160</v>
      </c>
    </row>
    <row r="10" spans="1:26" ht="14.25" customHeight="1">
      <c r="A10" s="814" t="s">
        <v>141</v>
      </c>
      <c r="B10" s="666"/>
      <c r="C10" s="666"/>
      <c r="D10" s="667"/>
      <c r="E10" s="7" t="s">
        <v>26</v>
      </c>
      <c r="F10" s="80">
        <v>65500</v>
      </c>
      <c r="G10" s="7">
        <v>0.84</v>
      </c>
      <c r="H10" s="79">
        <f>F10*G10</f>
        <v>55020</v>
      </c>
    </row>
    <row r="11" spans="1:26" ht="14.25" customHeight="1">
      <c r="A11" s="814" t="s">
        <v>184</v>
      </c>
      <c r="B11" s="666"/>
      <c r="C11" s="666"/>
      <c r="D11" s="667"/>
      <c r="E11" s="7" t="s">
        <v>185</v>
      </c>
      <c r="F11" s="80">
        <v>100</v>
      </c>
      <c r="G11" s="7">
        <v>180</v>
      </c>
      <c r="H11" s="79">
        <f>F11*G11</f>
        <v>18000</v>
      </c>
    </row>
    <row r="12" spans="1:26" ht="14.25" customHeight="1">
      <c r="A12" s="814" t="s">
        <v>189</v>
      </c>
      <c r="B12" s="666"/>
      <c r="C12" s="666"/>
      <c r="D12" s="667"/>
      <c r="E12" s="7" t="s">
        <v>15</v>
      </c>
      <c r="F12" s="80">
        <v>1000</v>
      </c>
      <c r="G12" s="7">
        <v>8</v>
      </c>
      <c r="H12" s="79">
        <f>F12*G12</f>
        <v>8000</v>
      </c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/>
      <c r="B13" s="666"/>
      <c r="C13" s="666"/>
      <c r="D13" s="667"/>
      <c r="E13" s="7"/>
      <c r="F13" s="80"/>
      <c r="G13" s="148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46"/>
      <c r="B14" s="666"/>
      <c r="C14" s="666"/>
      <c r="D14" s="667"/>
      <c r="E14" s="7"/>
      <c r="F14" s="80"/>
      <c r="G14" s="7"/>
      <c r="H14" s="79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47"/>
      <c r="B15" s="839"/>
      <c r="C15" s="839"/>
      <c r="D15" s="848"/>
      <c r="E15" s="128"/>
      <c r="F15" s="133"/>
      <c r="G15" s="128"/>
      <c r="H15" s="131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7" t="s">
        <v>110</v>
      </c>
      <c r="B16" s="672"/>
      <c r="C16" s="672"/>
      <c r="D16" s="672"/>
      <c r="E16" s="672"/>
      <c r="F16" s="672"/>
      <c r="G16" s="714"/>
      <c r="H16" s="81">
        <f>ROUND(SUM(H8:H15),0)</f>
        <v>311180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0" t="s">
        <v>112</v>
      </c>
      <c r="B17" s="672"/>
      <c r="C17" s="672"/>
      <c r="D17" s="672"/>
      <c r="E17" s="672"/>
      <c r="F17" s="672"/>
      <c r="G17" s="672"/>
      <c r="H17" s="673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21" t="s">
        <v>103</v>
      </c>
      <c r="B18" s="703"/>
      <c r="C18" s="703"/>
      <c r="D18" s="715"/>
      <c r="E18" s="59" t="s">
        <v>104</v>
      </c>
      <c r="F18" s="59" t="s">
        <v>113</v>
      </c>
      <c r="G18" s="60" t="s">
        <v>106</v>
      </c>
      <c r="H18" s="62" t="s">
        <v>107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148</v>
      </c>
      <c r="B19" s="666"/>
      <c r="C19" s="666"/>
      <c r="D19" s="667"/>
      <c r="E19" s="7" t="s">
        <v>61</v>
      </c>
      <c r="F19" s="80">
        <v>350</v>
      </c>
      <c r="G19" s="5">
        <f>$G$28</f>
        <v>1</v>
      </c>
      <c r="H19" s="79">
        <f>F19/G19</f>
        <v>350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149</v>
      </c>
      <c r="B20" s="666"/>
      <c r="C20" s="666"/>
      <c r="D20" s="667"/>
      <c r="E20" s="7" t="s">
        <v>61</v>
      </c>
      <c r="F20" s="80">
        <v>350</v>
      </c>
      <c r="G20" s="5">
        <f>$G$28</f>
        <v>1</v>
      </c>
      <c r="H20" s="79">
        <f>F20/G20</f>
        <v>350</v>
      </c>
      <c r="J20" s="40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188</v>
      </c>
      <c r="B21" s="666"/>
      <c r="C21" s="666"/>
      <c r="D21" s="667"/>
      <c r="E21" s="7" t="s">
        <v>30</v>
      </c>
      <c r="F21" s="80">
        <v>5625</v>
      </c>
      <c r="G21" s="7">
        <v>1</v>
      </c>
      <c r="H21" s="79">
        <f>F21/G21</f>
        <v>5625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190</v>
      </c>
      <c r="B22" s="666"/>
      <c r="C22" s="666"/>
      <c r="D22" s="667"/>
      <c r="E22" s="7" t="s">
        <v>30</v>
      </c>
      <c r="F22" s="80">
        <v>3500</v>
      </c>
      <c r="G22" s="7">
        <v>1</v>
      </c>
      <c r="H22" s="79">
        <f>F22/G22</f>
        <v>3500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46"/>
      <c r="B23" s="666"/>
      <c r="C23" s="666"/>
      <c r="D23" s="667"/>
      <c r="E23" s="7"/>
      <c r="F23" s="80"/>
      <c r="G23" s="7"/>
      <c r="H23" s="79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9"/>
      <c r="B24" s="700"/>
      <c r="C24" s="700"/>
      <c r="D24" s="776"/>
      <c r="E24" s="56"/>
      <c r="F24" s="85"/>
      <c r="G24" s="56"/>
      <c r="H24" s="79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7" t="s">
        <v>116</v>
      </c>
      <c r="B25" s="672"/>
      <c r="C25" s="672"/>
      <c r="D25" s="672"/>
      <c r="E25" s="672"/>
      <c r="F25" s="672"/>
      <c r="G25" s="714"/>
      <c r="H25" s="86">
        <f>ROUNDUP(SUM(H19:H24),0)</f>
        <v>9825</v>
      </c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1" t="s">
        <v>118</v>
      </c>
      <c r="B26" s="676"/>
      <c r="C26" s="676"/>
      <c r="D26" s="676"/>
      <c r="E26" s="676"/>
      <c r="F26" s="676"/>
      <c r="G26" s="676"/>
      <c r="H26" s="812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3" t="s">
        <v>119</v>
      </c>
      <c r="B27" s="679"/>
      <c r="C27" s="679"/>
      <c r="D27" s="680"/>
      <c r="E27" s="65" t="s">
        <v>120</v>
      </c>
      <c r="F27" s="66" t="s">
        <v>121</v>
      </c>
      <c r="G27" s="67" t="s">
        <v>106</v>
      </c>
      <c r="H27" s="68" t="s">
        <v>107</v>
      </c>
      <c r="J27" s="40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8" t="str">
        <f>'Analisis de cuadrillas'!C9</f>
        <v>Cuadrilla Estructural</v>
      </c>
      <c r="B28" s="666"/>
      <c r="C28" s="666"/>
      <c r="D28" s="667"/>
      <c r="E28" s="7">
        <v>1</v>
      </c>
      <c r="F28" s="88">
        <f>'Analisis de cuadrillas'!G9</f>
        <v>56186.910333333333</v>
      </c>
      <c r="G28" s="7">
        <v>1</v>
      </c>
      <c r="H28" s="79">
        <f>(E28*F28)/G28</f>
        <v>56186.910333333333</v>
      </c>
      <c r="I28" s="40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8"/>
      <c r="B29" s="666"/>
      <c r="C29" s="666"/>
      <c r="D29" s="667"/>
      <c r="E29" s="5"/>
      <c r="F29" s="88"/>
      <c r="G29" s="5"/>
      <c r="H29" s="79"/>
      <c r="I29" s="40"/>
      <c r="J29" s="73"/>
      <c r="K29" s="58"/>
      <c r="L29" s="107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5"/>
      <c r="B30" s="666"/>
      <c r="C30" s="666"/>
      <c r="D30" s="667"/>
      <c r="E30" s="5"/>
      <c r="F30" s="88"/>
      <c r="G30" s="5"/>
      <c r="H30" s="79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6"/>
      <c r="B31" s="686"/>
      <c r="C31" s="686"/>
      <c r="D31" s="687"/>
      <c r="E31" s="89"/>
      <c r="F31" s="90"/>
      <c r="G31" s="56"/>
      <c r="H31" s="91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817" t="s">
        <v>122</v>
      </c>
      <c r="B32" s="672"/>
      <c r="C32" s="672"/>
      <c r="D32" s="672"/>
      <c r="E32" s="672"/>
      <c r="F32" s="672"/>
      <c r="G32" s="673"/>
      <c r="H32" s="86">
        <f>ROUNDUP(SUM(H28:H31),0)</f>
        <v>56187</v>
      </c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770" t="s">
        <v>123</v>
      </c>
      <c r="B34" s="672"/>
      <c r="C34" s="672"/>
      <c r="D34" s="672"/>
      <c r="E34" s="672"/>
      <c r="F34" s="672"/>
      <c r="G34" s="714"/>
      <c r="H34" s="92">
        <f>+H32+H16+H25</f>
        <v>377192</v>
      </c>
      <c r="J34" s="40"/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>
      <c r="A36" s="291" t="s">
        <v>1</v>
      </c>
      <c r="B36" s="761" t="str">
        <f>'1.1'!B32</f>
        <v>Johan Sebastian Alvarez, Daniel Eduardo Ochoa Mora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247</v>
      </c>
      <c r="B37" s="761" t="str">
        <f>'1.1'!B33</f>
        <v>ing. Alexander Solarte Benavides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248</v>
      </c>
      <c r="B38" s="761" t="str">
        <f>'1.1'!B34</f>
        <v>ing.Alexander Solarte Benavides</v>
      </c>
      <c r="C38" s="762"/>
      <c r="D38" s="762"/>
      <c r="E38" s="762"/>
      <c r="F38" s="762"/>
      <c r="G38" s="762"/>
      <c r="H38" s="762"/>
      <c r="K38" s="40"/>
    </row>
    <row r="39" spans="1:26" ht="14.25" customHeight="1">
      <c r="A39" s="291" t="s">
        <v>4</v>
      </c>
      <c r="B39" s="761" t="str">
        <f>'1.1'!B35</f>
        <v>12 de Noviembre del 2020</v>
      </c>
      <c r="C39" s="810"/>
      <c r="D39" s="810"/>
      <c r="E39" s="810"/>
      <c r="F39" s="810"/>
      <c r="G39" s="810"/>
      <c r="H39" s="810"/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4.25" customHeight="1">
      <c r="K239" s="40"/>
    </row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algorithmName="SHA-512" hashValue="SkQuw8t3Q+j0UoCno8Xilll7uW7kVpy7oyHvf2YhgX4sleOU096vycKRFVV3zCY+/Wp/uCz8INpAUJjnVeH+tw==" saltValue="WNkDFfkAYt6riUyuk8A/zw==" spinCount="100000" sheet="1" objects="1" scenarios="1" selectLockedCells="1" selectUnlockedCells="1"/>
  <mergeCells count="40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G16"/>
    <mergeCell ref="A17:H17"/>
    <mergeCell ref="A18:D18"/>
    <mergeCell ref="A19:D19"/>
    <mergeCell ref="A20:D20"/>
    <mergeCell ref="A21:D21"/>
    <mergeCell ref="A22:D22"/>
    <mergeCell ref="A23:D23"/>
    <mergeCell ref="B38:H38"/>
    <mergeCell ref="B39:H39"/>
    <mergeCell ref="A24:D24"/>
    <mergeCell ref="A25:G25"/>
    <mergeCell ref="A26:H26"/>
    <mergeCell ref="A27:D27"/>
    <mergeCell ref="A28:D28"/>
    <mergeCell ref="A29:D29"/>
    <mergeCell ref="A30:D30"/>
    <mergeCell ref="A31:D31"/>
    <mergeCell ref="A32:G32"/>
    <mergeCell ref="A34:G34"/>
    <mergeCell ref="B36:H36"/>
    <mergeCell ref="B37:H37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1"/>
  <sheetViews>
    <sheetView showGridLines="0" topLeftCell="A17" zoomScale="89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6.8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I4" s="2"/>
      <c r="K4" s="40"/>
    </row>
    <row r="5" spans="1:26" ht="14.25" customHeight="1">
      <c r="A5" s="49">
        <f>Presupuesto!B35</f>
        <v>5.4</v>
      </c>
      <c r="B5" s="780" t="str">
        <f>Presupuesto!C35</f>
        <v>Concreto para placa de piso, incluye malla electrosol</v>
      </c>
      <c r="C5" s="686"/>
      <c r="D5" s="686"/>
      <c r="E5" s="686"/>
      <c r="F5" s="687"/>
      <c r="G5" s="780" t="str">
        <f>Presupuesto!D35</f>
        <v>M2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16.45</v>
      </c>
      <c r="H8" s="79">
        <f>F8*G8</f>
        <v>9212</v>
      </c>
      <c r="K8" s="40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61000</v>
      </c>
      <c r="G9" s="7">
        <v>2.63E-2</v>
      </c>
      <c r="H9" s="79">
        <f>F9*G9</f>
        <v>1604.3</v>
      </c>
      <c r="K9" s="40"/>
    </row>
    <row r="10" spans="1:26" ht="29.25" customHeight="1">
      <c r="A10" s="837" t="s">
        <v>193</v>
      </c>
      <c r="B10" s="666"/>
      <c r="C10" s="666"/>
      <c r="D10" s="667"/>
      <c r="E10" s="94" t="s">
        <v>8</v>
      </c>
      <c r="F10" s="149">
        <v>5386</v>
      </c>
      <c r="G10" s="94">
        <v>1</v>
      </c>
      <c r="H10" s="79">
        <f>F10*G10</f>
        <v>5386</v>
      </c>
      <c r="K10" s="40"/>
    </row>
    <row r="11" spans="1:26" ht="14.25" customHeight="1">
      <c r="A11" s="814" t="s">
        <v>141</v>
      </c>
      <c r="B11" s="666"/>
      <c r="C11" s="666"/>
      <c r="D11" s="667"/>
      <c r="E11" s="7" t="s">
        <v>26</v>
      </c>
      <c r="F11" s="80">
        <v>65500</v>
      </c>
      <c r="G11" s="7">
        <v>3.9E-2</v>
      </c>
      <c r="H11" s="79">
        <f>F11*G11</f>
        <v>2554.5</v>
      </c>
      <c r="K11" s="40"/>
    </row>
    <row r="12" spans="1:26" ht="14.25" customHeight="1">
      <c r="A12" s="846" t="s">
        <v>184</v>
      </c>
      <c r="B12" s="666"/>
      <c r="C12" s="666"/>
      <c r="D12" s="667"/>
      <c r="E12" s="7" t="s">
        <v>185</v>
      </c>
      <c r="F12" s="80">
        <v>100</v>
      </c>
      <c r="G12" s="7">
        <v>9</v>
      </c>
      <c r="H12" s="79">
        <f>F12*G12</f>
        <v>900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58"/>
      <c r="B13" s="839"/>
      <c r="C13" s="839"/>
      <c r="D13" s="848"/>
      <c r="E13" s="128"/>
      <c r="F13" s="133"/>
      <c r="G13" s="128"/>
      <c r="H13" s="131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19657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148</v>
      </c>
      <c r="B17" s="666"/>
      <c r="C17" s="666"/>
      <c r="D17" s="667"/>
      <c r="E17" s="7" t="s">
        <v>61</v>
      </c>
      <c r="F17" s="80">
        <v>350</v>
      </c>
      <c r="G17" s="7">
        <f>$G$25</f>
        <v>5.5</v>
      </c>
      <c r="H17" s="79">
        <f>F17/G17</f>
        <v>63.636363636363633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149</v>
      </c>
      <c r="B18" s="666"/>
      <c r="C18" s="666"/>
      <c r="D18" s="667"/>
      <c r="E18" s="7" t="s">
        <v>61</v>
      </c>
      <c r="F18" s="80">
        <v>350</v>
      </c>
      <c r="G18" s="7">
        <f>$G$25</f>
        <v>5.5</v>
      </c>
      <c r="H18" s="79">
        <f>F18/G18</f>
        <v>63.636363636363633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188</v>
      </c>
      <c r="B19" s="666"/>
      <c r="C19" s="666"/>
      <c r="D19" s="667"/>
      <c r="E19" s="7" t="s">
        <v>30</v>
      </c>
      <c r="F19" s="80">
        <v>5625</v>
      </c>
      <c r="G19" s="5">
        <f>$G$25</f>
        <v>5.5</v>
      </c>
      <c r="H19" s="79">
        <f>F19/G19</f>
        <v>1022.7272727272727</v>
      </c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8"/>
      <c r="B20" s="666"/>
      <c r="C20" s="666"/>
      <c r="D20" s="667"/>
      <c r="E20" s="5"/>
      <c r="F20" s="84"/>
      <c r="G20" s="5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1150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cuadrillas'!C9</f>
        <v>Cuadrilla Estructural</v>
      </c>
      <c r="B25" s="666"/>
      <c r="C25" s="666"/>
      <c r="D25" s="667"/>
      <c r="E25" s="7">
        <v>1</v>
      </c>
      <c r="F25" s="88">
        <f>'Analisis de cuadrillas'!G9</f>
        <v>56186.910333333333</v>
      </c>
      <c r="G25" s="7">
        <v>5.5</v>
      </c>
      <c r="H25" s="79">
        <f>(E25*F25)/G25</f>
        <v>10215.801878787879</v>
      </c>
      <c r="I25" s="58"/>
      <c r="K25" s="58"/>
      <c r="M25" s="58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673"/>
      <c r="H29" s="86">
        <f>ROUNDUP(SUM(H25:H28),0)</f>
        <v>10216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31023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dSUjeEHPhainkyW0IQfbgWgR8435Ypvt1tdZ0yjreqa+SETFO4+49WWo03vJCgLqJc7cZAbJ9d7cC618L2JNmg==" saltValue="dFoDNJ4z9/5dC8NTI2OMXQ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17:D17"/>
    <mergeCell ref="A18:D18"/>
    <mergeCell ref="A19:D19"/>
    <mergeCell ref="A20:D20"/>
    <mergeCell ref="A21:D21"/>
    <mergeCell ref="A22:G22"/>
    <mergeCell ref="A23:H23"/>
    <mergeCell ref="B33:H33"/>
    <mergeCell ref="B34:H34"/>
    <mergeCell ref="B35:H35"/>
    <mergeCell ref="B36:H36"/>
    <mergeCell ref="A24:D24"/>
    <mergeCell ref="A25:D25"/>
    <mergeCell ref="A26:D26"/>
    <mergeCell ref="A27:D27"/>
    <mergeCell ref="A28:D28"/>
    <mergeCell ref="A29:G29"/>
    <mergeCell ref="A31:G31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4"/>
  <sheetViews>
    <sheetView showGridLines="0" topLeftCell="A17" zoomScale="92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'5.4'!A1:H1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J4" s="143"/>
      <c r="K4" s="40"/>
    </row>
    <row r="5" spans="1:26" ht="14.25" customHeight="1">
      <c r="A5" s="49">
        <f>Presupuesto!B36</f>
        <v>5.5</v>
      </c>
      <c r="B5" s="780" t="str">
        <f>Presupuesto!C36</f>
        <v>Concreto para columnas</v>
      </c>
      <c r="C5" s="686"/>
      <c r="D5" s="686"/>
      <c r="E5" s="686"/>
      <c r="F5" s="687"/>
      <c r="G5" s="780" t="str">
        <f>Presupuesto!D36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350</v>
      </c>
      <c r="H8" s="79">
        <f>F8*G8</f>
        <v>196000</v>
      </c>
      <c r="K8" s="40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61000</v>
      </c>
      <c r="G9" s="7">
        <v>0.56000000000000005</v>
      </c>
      <c r="H9" s="79">
        <f>F9*G9</f>
        <v>34160</v>
      </c>
      <c r="K9" s="40"/>
    </row>
    <row r="10" spans="1:26" ht="14.25" customHeight="1">
      <c r="A10" s="814" t="s">
        <v>141</v>
      </c>
      <c r="B10" s="666"/>
      <c r="C10" s="666"/>
      <c r="D10" s="667"/>
      <c r="E10" s="7" t="s">
        <v>26</v>
      </c>
      <c r="F10" s="80">
        <v>65500</v>
      </c>
      <c r="G10" s="7">
        <v>0.84</v>
      </c>
      <c r="H10" s="79">
        <f>F10*G10</f>
        <v>55020</v>
      </c>
      <c r="K10" s="40"/>
    </row>
    <row r="11" spans="1:26" ht="14.25" customHeight="1">
      <c r="A11" s="846" t="s">
        <v>184</v>
      </c>
      <c r="B11" s="666"/>
      <c r="C11" s="666"/>
      <c r="D11" s="667"/>
      <c r="E11" s="7" t="s">
        <v>185</v>
      </c>
      <c r="F11" s="80">
        <v>100</v>
      </c>
      <c r="G11" s="7">
        <v>180</v>
      </c>
      <c r="H11" s="79">
        <f>F11*G11</f>
        <v>18000</v>
      </c>
      <c r="K11" s="40"/>
    </row>
    <row r="12" spans="1:26" ht="14.25" customHeight="1">
      <c r="A12" s="814"/>
      <c r="B12" s="666"/>
      <c r="C12" s="666"/>
      <c r="D12" s="667"/>
      <c r="E12" s="7"/>
      <c r="F12" s="80"/>
      <c r="G12" s="150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/>
      <c r="B13" s="666"/>
      <c r="C13" s="666"/>
      <c r="D13" s="667"/>
      <c r="E13" s="7"/>
      <c r="F13" s="80"/>
      <c r="G13" s="7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59"/>
      <c r="B14" s="700"/>
      <c r="C14" s="700"/>
      <c r="D14" s="776"/>
      <c r="E14" s="56"/>
      <c r="F14" s="85"/>
      <c r="G14" s="56"/>
      <c r="H14" s="131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17" t="s">
        <v>110</v>
      </c>
      <c r="B15" s="672"/>
      <c r="C15" s="672"/>
      <c r="D15" s="672"/>
      <c r="E15" s="672"/>
      <c r="F15" s="672"/>
      <c r="G15" s="673"/>
      <c r="H15" s="86">
        <f>ROUND(SUM(H8:H14),0)</f>
        <v>303180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60" t="s">
        <v>112</v>
      </c>
      <c r="B16" s="861"/>
      <c r="C16" s="861"/>
      <c r="D16" s="861"/>
      <c r="E16" s="861"/>
      <c r="F16" s="861"/>
      <c r="G16" s="861"/>
      <c r="H16" s="862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1" t="s">
        <v>103</v>
      </c>
      <c r="B17" s="703"/>
      <c r="C17" s="703"/>
      <c r="D17" s="715"/>
      <c r="E17" s="59" t="s">
        <v>104</v>
      </c>
      <c r="F17" s="59" t="s">
        <v>113</v>
      </c>
      <c r="G17" s="60" t="s">
        <v>106</v>
      </c>
      <c r="H17" s="62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148</v>
      </c>
      <c r="B18" s="666"/>
      <c r="C18" s="666"/>
      <c r="D18" s="667"/>
      <c r="E18" s="7" t="s">
        <v>61</v>
      </c>
      <c r="F18" s="80">
        <v>350</v>
      </c>
      <c r="G18" s="151">
        <f>$G$28</f>
        <v>0.14000000000000001</v>
      </c>
      <c r="H18" s="79">
        <f t="shared" ref="H18:H19" si="0">F18/G18</f>
        <v>2499.9999999999995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149</v>
      </c>
      <c r="B19" s="666"/>
      <c r="C19" s="666"/>
      <c r="D19" s="667"/>
      <c r="E19" s="7" t="s">
        <v>61</v>
      </c>
      <c r="F19" s="80">
        <v>350</v>
      </c>
      <c r="G19" s="151">
        <f>$G$28</f>
        <v>0.14000000000000001</v>
      </c>
      <c r="H19" s="79">
        <f t="shared" si="0"/>
        <v>2499.9999999999995</v>
      </c>
      <c r="J19" s="58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188</v>
      </c>
      <c r="B20" s="666"/>
      <c r="C20" s="666"/>
      <c r="D20" s="667"/>
      <c r="E20" s="7" t="s">
        <v>30</v>
      </c>
      <c r="F20" s="80">
        <v>5625</v>
      </c>
      <c r="G20" s="172">
        <v>1</v>
      </c>
      <c r="H20" s="79">
        <f>F20/G20</f>
        <v>5625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190</v>
      </c>
      <c r="B21" s="666"/>
      <c r="C21" s="666"/>
      <c r="D21" s="667"/>
      <c r="E21" s="7" t="s">
        <v>30</v>
      </c>
      <c r="F21" s="80">
        <v>3500</v>
      </c>
      <c r="G21" s="172">
        <v>1</v>
      </c>
      <c r="H21" s="79">
        <f>F21/G21</f>
        <v>3500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131</v>
      </c>
      <c r="B22" s="666"/>
      <c r="C22" s="666"/>
      <c r="D22" s="667"/>
      <c r="E22" s="7" t="s">
        <v>132</v>
      </c>
      <c r="F22" s="80">
        <v>750</v>
      </c>
      <c r="G22" s="7">
        <v>64</v>
      </c>
      <c r="H22" s="79">
        <f>F22/G22</f>
        <v>11.71875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46" t="s">
        <v>194</v>
      </c>
      <c r="B23" s="666"/>
      <c r="C23" s="666"/>
      <c r="D23" s="667"/>
      <c r="E23" s="7" t="s">
        <v>8</v>
      </c>
      <c r="F23" s="80">
        <v>250</v>
      </c>
      <c r="G23" s="7">
        <v>128</v>
      </c>
      <c r="H23" s="79">
        <f>F23/G23</f>
        <v>1.953125</v>
      </c>
      <c r="J23" s="2"/>
      <c r="K23" s="58"/>
      <c r="L23" s="109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55"/>
      <c r="B24" s="839"/>
      <c r="C24" s="839"/>
      <c r="D24" s="848"/>
      <c r="E24" s="130"/>
      <c r="F24" s="129"/>
      <c r="G24" s="130"/>
      <c r="H24" s="152"/>
      <c r="J24" s="2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7" t="s">
        <v>116</v>
      </c>
      <c r="B25" s="672"/>
      <c r="C25" s="672"/>
      <c r="D25" s="672"/>
      <c r="E25" s="672"/>
      <c r="F25" s="672"/>
      <c r="G25" s="714"/>
      <c r="H25" s="86">
        <f>ROUNDUP(SUM(H18:H24),0)</f>
        <v>14139</v>
      </c>
      <c r="J25" s="109"/>
      <c r="K25" s="40"/>
      <c r="M25" s="40"/>
      <c r="N25" s="40"/>
      <c r="O25" s="58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1" t="s">
        <v>118</v>
      </c>
      <c r="B26" s="676"/>
      <c r="C26" s="676"/>
      <c r="D26" s="676"/>
      <c r="E26" s="676"/>
      <c r="F26" s="676"/>
      <c r="G26" s="676"/>
      <c r="H26" s="812"/>
      <c r="K26" s="40"/>
      <c r="M26" s="40"/>
      <c r="N26" s="40"/>
      <c r="O26" s="58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45" customHeight="1">
      <c r="A27" s="813" t="s">
        <v>119</v>
      </c>
      <c r="B27" s="679"/>
      <c r="C27" s="679"/>
      <c r="D27" s="680"/>
      <c r="E27" s="65" t="s">
        <v>120</v>
      </c>
      <c r="F27" s="66" t="s">
        <v>121</v>
      </c>
      <c r="G27" s="67" t="s">
        <v>106</v>
      </c>
      <c r="H27" s="68" t="s">
        <v>107</v>
      </c>
      <c r="J27" s="40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8" t="str">
        <f>'Analisis de cuadrillas'!C9</f>
        <v>Cuadrilla Estructural</v>
      </c>
      <c r="B28" s="666"/>
      <c r="C28" s="666"/>
      <c r="D28" s="667"/>
      <c r="E28" s="7">
        <v>1</v>
      </c>
      <c r="F28" s="88">
        <f>'Analisis de cuadrillas'!G9</f>
        <v>56186.910333333333</v>
      </c>
      <c r="G28" s="153">
        <v>0.14000000000000001</v>
      </c>
      <c r="H28" s="79">
        <f>(E28*F28)/G28</f>
        <v>401335.07380952378</v>
      </c>
      <c r="I28" s="58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8"/>
      <c r="B29" s="666"/>
      <c r="C29" s="666"/>
      <c r="D29" s="667"/>
      <c r="E29" s="5"/>
      <c r="F29" s="88"/>
      <c r="G29" s="5"/>
      <c r="H29" s="79"/>
      <c r="I29" s="40"/>
      <c r="J29" s="154"/>
      <c r="K29" s="40"/>
      <c r="L29" s="107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5"/>
      <c r="B30" s="666"/>
      <c r="C30" s="666"/>
      <c r="D30" s="667"/>
      <c r="E30" s="5"/>
      <c r="F30" s="88"/>
      <c r="G30" s="5"/>
      <c r="H30" s="79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6"/>
      <c r="B31" s="686"/>
      <c r="C31" s="686"/>
      <c r="D31" s="687"/>
      <c r="E31" s="89"/>
      <c r="F31" s="90"/>
      <c r="G31" s="56"/>
      <c r="H31" s="91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817" t="s">
        <v>122</v>
      </c>
      <c r="B32" s="672"/>
      <c r="C32" s="672"/>
      <c r="D32" s="672"/>
      <c r="E32" s="672"/>
      <c r="F32" s="672"/>
      <c r="G32" s="673"/>
      <c r="H32" s="86">
        <f>ROUNDUP(SUM(H28:H31),0)</f>
        <v>401336</v>
      </c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770" t="s">
        <v>123</v>
      </c>
      <c r="B34" s="672"/>
      <c r="C34" s="672"/>
      <c r="D34" s="672"/>
      <c r="E34" s="672"/>
      <c r="F34" s="672"/>
      <c r="G34" s="714"/>
      <c r="H34" s="92">
        <f>+H32+H15+H25</f>
        <v>718655</v>
      </c>
      <c r="J34" s="40"/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>
      <c r="A36" s="291" t="s">
        <v>1</v>
      </c>
      <c r="B36" s="761" t="str">
        <f>'1.1'!B32</f>
        <v>Johan Sebastian Alvarez, Daniel Eduardo Ochoa Mora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247</v>
      </c>
      <c r="B37" s="761" t="str">
        <f>'1.1'!B33</f>
        <v>ing. Alexander Solarte Benavides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248</v>
      </c>
      <c r="B38" s="761" t="str">
        <f>'1.1'!B34</f>
        <v>ing.Alexander Solarte Benavides</v>
      </c>
      <c r="C38" s="762"/>
      <c r="D38" s="762"/>
      <c r="E38" s="762"/>
      <c r="F38" s="762"/>
      <c r="G38" s="762"/>
      <c r="H38" s="762"/>
      <c r="K38" s="40"/>
    </row>
    <row r="39" spans="1:26" ht="14.25" customHeight="1">
      <c r="A39" s="291" t="s">
        <v>4</v>
      </c>
      <c r="B39" s="761" t="str">
        <f>'1.1'!B35</f>
        <v>12 de Noviembre del 2020</v>
      </c>
      <c r="C39" s="810"/>
      <c r="D39" s="810"/>
      <c r="E39" s="810"/>
      <c r="F39" s="810"/>
      <c r="G39" s="810"/>
      <c r="H39" s="810"/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4.25" customHeight="1">
      <c r="K239" s="40"/>
    </row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algorithmName="SHA-512" hashValue="25unqIllPabC23VJ9pLQRc2CXin4bcWz31wO91MMpxD3qK68/dpddDhAT4IXvCS+hirYixgqZkS+KvQBJX3Z0Q==" saltValue="ULhpctrPPpbaMr4FzxqaQw==" spinCount="100000" sheet="1" objects="1" scenarios="1" selectLockedCells="1" selectUnlockedCells="1"/>
  <mergeCells count="40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G15"/>
    <mergeCell ref="A16:H16"/>
    <mergeCell ref="A17:D17"/>
    <mergeCell ref="A18:D18"/>
    <mergeCell ref="A19:D19"/>
    <mergeCell ref="A20:D20"/>
    <mergeCell ref="A21:D21"/>
    <mergeCell ref="A22:D22"/>
    <mergeCell ref="A23:D23"/>
    <mergeCell ref="B38:H38"/>
    <mergeCell ref="B39:H39"/>
    <mergeCell ref="A24:D24"/>
    <mergeCell ref="A25:G25"/>
    <mergeCell ref="A26:H26"/>
    <mergeCell ref="A27:D27"/>
    <mergeCell ref="A28:D28"/>
    <mergeCell ref="A29:D29"/>
    <mergeCell ref="A30:D30"/>
    <mergeCell ref="A31:D31"/>
    <mergeCell ref="A32:G32"/>
    <mergeCell ref="A34:G34"/>
    <mergeCell ref="B36:H36"/>
    <mergeCell ref="B37:H37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</sheetPr>
  <dimension ref="B2:AA999"/>
  <sheetViews>
    <sheetView showGridLines="0" zoomScale="70" zoomScaleNormal="70" workbookViewId="0">
      <selection activeCell="C13" sqref="C13"/>
    </sheetView>
  </sheetViews>
  <sheetFormatPr baseColWidth="10" defaultColWidth="12.625" defaultRowHeight="15" customHeight="1"/>
  <cols>
    <col min="2" max="2" width="7.25" customWidth="1"/>
    <col min="3" max="3" width="70.5" style="190" customWidth="1"/>
    <col min="4" max="4" width="10.125" customWidth="1"/>
    <col min="5" max="7" width="9.375" customWidth="1"/>
    <col min="8" max="8" width="10.5" customWidth="1"/>
    <col min="9" max="9" width="13.625" customWidth="1"/>
    <col min="10" max="10" width="11.5" customWidth="1"/>
    <col min="11" max="11" width="15.5" customWidth="1"/>
    <col min="12" max="12" width="9.375" customWidth="1"/>
    <col min="13" max="13" width="57.75" customWidth="1"/>
    <col min="14" max="26" width="9.375" customWidth="1"/>
  </cols>
  <sheetData>
    <row r="2" spans="2:27" ht="15" customHeight="1" thickBot="1"/>
    <row r="3" spans="2:27" ht="15" customHeight="1" thickBot="1">
      <c r="B3" s="617" t="str">
        <f>Portada!C6</f>
        <v>PRESUPUESTO PARA LA CONSTRUCCION DE SALON SOCIAL EN LA COMUNIDAD DE NUEVA JERUSALEN</v>
      </c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9"/>
    </row>
    <row r="4" spans="2:27" ht="27.6" customHeight="1" thickBot="1">
      <c r="B4" s="620" t="s">
        <v>10</v>
      </c>
      <c r="C4" s="621"/>
      <c r="D4" s="621"/>
      <c r="E4" s="621"/>
      <c r="F4" s="621"/>
      <c r="G4" s="621"/>
      <c r="H4" s="621"/>
      <c r="I4" s="621"/>
      <c r="J4" s="621"/>
      <c r="K4" s="621"/>
      <c r="L4" s="621"/>
      <c r="M4" s="622"/>
    </row>
    <row r="5" spans="2:27" ht="14.25" customHeight="1" thickBot="1">
      <c r="B5" s="356" t="s">
        <v>13</v>
      </c>
      <c r="C5" s="360" t="s">
        <v>14</v>
      </c>
      <c r="D5" s="228" t="s">
        <v>16</v>
      </c>
      <c r="E5" s="229" t="s">
        <v>17</v>
      </c>
      <c r="F5" s="229" t="s">
        <v>19</v>
      </c>
      <c r="G5" s="229" t="s">
        <v>20</v>
      </c>
      <c r="H5" s="228" t="s">
        <v>21</v>
      </c>
      <c r="I5" s="228" t="s">
        <v>22</v>
      </c>
      <c r="J5" s="228" t="s">
        <v>23</v>
      </c>
      <c r="K5" s="228" t="s">
        <v>25</v>
      </c>
      <c r="L5" s="625" t="s">
        <v>27</v>
      </c>
      <c r="M5" s="626"/>
      <c r="N5" s="178"/>
    </row>
    <row r="6" spans="2:27" ht="14.25" customHeight="1" thickBot="1">
      <c r="B6" s="357">
        <f>'Actividades de construcción'!B5</f>
        <v>1</v>
      </c>
      <c r="C6" s="614" t="str">
        <f>'Actividades de construcción'!C5</f>
        <v>PRELIMINARES</v>
      </c>
      <c r="D6" s="615"/>
      <c r="E6" s="615"/>
      <c r="F6" s="615"/>
      <c r="G6" s="615"/>
      <c r="H6" s="615"/>
      <c r="I6" s="615"/>
      <c r="J6" s="615"/>
      <c r="K6" s="615"/>
      <c r="L6" s="615"/>
      <c r="M6" s="616"/>
      <c r="N6" s="178"/>
    </row>
    <row r="7" spans="2:27" ht="14.25" customHeight="1">
      <c r="B7" s="358">
        <f>'Actividades de construcción'!B6</f>
        <v>1.1000000000000001</v>
      </c>
      <c r="C7" s="361" t="str">
        <f>'Actividades de construcción'!C6</f>
        <v>Campamento en lámina de zinc</v>
      </c>
      <c r="D7" s="235" t="str">
        <f>'Actividades de construcción'!D6</f>
        <v>M2</v>
      </c>
      <c r="E7" s="236">
        <v>17</v>
      </c>
      <c r="F7" s="236">
        <v>8</v>
      </c>
      <c r="G7" s="236">
        <v>0</v>
      </c>
      <c r="H7" s="237">
        <f>E7*F7</f>
        <v>136</v>
      </c>
      <c r="I7" s="236">
        <v>1</v>
      </c>
      <c r="J7" s="238">
        <v>0</v>
      </c>
      <c r="K7" s="239">
        <f>(H7*I7)+(H7*J7)</f>
        <v>136</v>
      </c>
      <c r="L7" s="612"/>
      <c r="M7" s="613"/>
      <c r="N7" s="178"/>
      <c r="P7" s="182"/>
      <c r="Q7" s="182"/>
      <c r="R7" s="182"/>
      <c r="S7" s="182"/>
      <c r="T7" s="182"/>
      <c r="U7" s="182"/>
      <c r="V7" s="182"/>
      <c r="W7" s="182"/>
      <c r="X7" s="182"/>
      <c r="Y7" s="182"/>
      <c r="Z7" s="182"/>
      <c r="AA7" s="183"/>
    </row>
    <row r="8" spans="2:27" ht="14.25" customHeight="1">
      <c r="B8" s="358">
        <f>'Actividades de construcción'!B7</f>
        <v>1.2</v>
      </c>
      <c r="C8" s="361" t="str">
        <f>'Actividades de construcción'!C7</f>
        <v>Servicios Provisionales hidrosanitarios y de energia</v>
      </c>
      <c r="D8" s="235" t="str">
        <f>'Actividades de construcción'!D7</f>
        <v>GB</v>
      </c>
      <c r="E8" s="236">
        <v>1</v>
      </c>
      <c r="F8" s="236">
        <v>0</v>
      </c>
      <c r="G8" s="236">
        <v>0</v>
      </c>
      <c r="H8" s="237">
        <f>E8+F8+G8</f>
        <v>1</v>
      </c>
      <c r="I8" s="236">
        <v>1</v>
      </c>
      <c r="J8" s="238">
        <v>0</v>
      </c>
      <c r="K8" s="239">
        <f>(H8*I8)+(H8*J8)</f>
        <v>1</v>
      </c>
      <c r="L8" s="612"/>
      <c r="M8" s="613"/>
      <c r="N8" s="178"/>
      <c r="O8" s="6"/>
      <c r="P8" s="184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3"/>
    </row>
    <row r="9" spans="2:27" ht="14.25" customHeight="1">
      <c r="B9" s="358">
        <f>'Actividades de construcción'!B8</f>
        <v>1.3</v>
      </c>
      <c r="C9" s="361" t="str">
        <f>'Actividades de construcción'!C8</f>
        <v>Descapote de terreno de 220 m2 de área a 30 cm de profundidad</v>
      </c>
      <c r="D9" s="235" t="str">
        <f>'Actividades de construcción'!D8</f>
        <v>M2</v>
      </c>
      <c r="E9" s="236">
        <f>20*11</f>
        <v>220</v>
      </c>
      <c r="F9" s="236">
        <v>0</v>
      </c>
      <c r="G9" s="236">
        <v>0</v>
      </c>
      <c r="H9" s="237">
        <f>E9+F9+G9</f>
        <v>220</v>
      </c>
      <c r="I9" s="236">
        <v>1</v>
      </c>
      <c r="J9" s="238">
        <v>0</v>
      </c>
      <c r="K9" s="239">
        <f>(H9*I9)+(H9*J9)</f>
        <v>220</v>
      </c>
      <c r="L9" s="624" t="s">
        <v>66</v>
      </c>
      <c r="M9" s="613"/>
      <c r="N9" s="178"/>
      <c r="O9" s="6"/>
      <c r="P9" s="182"/>
      <c r="Q9" s="182"/>
      <c r="R9" s="182"/>
      <c r="S9" s="184"/>
      <c r="T9" s="185"/>
      <c r="U9" s="185"/>
      <c r="V9" s="185"/>
      <c r="W9" s="185"/>
      <c r="X9" s="186"/>
      <c r="Y9" s="187"/>
      <c r="Z9" s="188"/>
      <c r="AA9" s="183"/>
    </row>
    <row r="10" spans="2:27" ht="14.25" customHeight="1">
      <c r="B10" s="358">
        <f>'Actividades de construcción'!B9</f>
        <v>1.4</v>
      </c>
      <c r="C10" s="361" t="str">
        <f>'Actividades de construcción'!C9</f>
        <v>Replanteo, alineación y nivelación del terreno</v>
      </c>
      <c r="D10" s="235" t="str">
        <f>'Actividades de construcción'!D9</f>
        <v>M2</v>
      </c>
      <c r="E10" s="236">
        <f>20*11</f>
        <v>220</v>
      </c>
      <c r="F10" s="236">
        <v>0</v>
      </c>
      <c r="G10" s="236">
        <v>0</v>
      </c>
      <c r="H10" s="237">
        <f>E10+F10+G10</f>
        <v>220</v>
      </c>
      <c r="I10" s="236">
        <v>1</v>
      </c>
      <c r="J10" s="238">
        <v>0</v>
      </c>
      <c r="K10" s="239">
        <f>(H10*I10)+(H10*J10)</f>
        <v>220</v>
      </c>
      <c r="L10" s="612"/>
      <c r="M10" s="613"/>
      <c r="N10" s="178"/>
      <c r="O10" s="6"/>
      <c r="P10" s="182"/>
      <c r="Q10" s="182"/>
      <c r="R10" s="182"/>
      <c r="S10" s="184"/>
      <c r="T10" s="185"/>
      <c r="U10" s="185"/>
      <c r="V10" s="185"/>
      <c r="W10" s="185"/>
      <c r="X10" s="185"/>
      <c r="Y10" s="189"/>
      <c r="Z10" s="188"/>
      <c r="AA10" s="183"/>
    </row>
    <row r="11" spans="2:27" ht="14.25" customHeight="1" thickBot="1">
      <c r="B11" s="358">
        <f>'Actividades de construcción'!B10</f>
        <v>1.5</v>
      </c>
      <c r="C11" s="362" t="str">
        <f>'Actividades de construcción'!C10</f>
        <v>Cerramiento con postes de madera y lona verde, altura de 2 mts</v>
      </c>
      <c r="D11" s="240" t="str">
        <f>'Actividades de construcción'!D10</f>
        <v>ML</v>
      </c>
      <c r="E11" s="241">
        <f>88+44</f>
        <v>132</v>
      </c>
      <c r="F11" s="241">
        <v>0</v>
      </c>
      <c r="G11" s="241">
        <v>0</v>
      </c>
      <c r="H11" s="242">
        <f>E11+F11+G11</f>
        <v>132</v>
      </c>
      <c r="I11" s="241">
        <v>1</v>
      </c>
      <c r="J11" s="243">
        <v>0</v>
      </c>
      <c r="K11" s="244">
        <f>(H11*I11)+(H11*J11)</f>
        <v>132</v>
      </c>
      <c r="L11" s="624" t="s">
        <v>311</v>
      </c>
      <c r="M11" s="613"/>
      <c r="N11" s="178"/>
      <c r="O11" s="6"/>
      <c r="P11" s="182"/>
      <c r="Q11" s="182"/>
      <c r="R11" s="182"/>
      <c r="S11" s="184"/>
      <c r="T11" s="185"/>
      <c r="U11" s="185"/>
      <c r="V11" s="185"/>
      <c r="W11" s="185"/>
      <c r="X11" s="185"/>
      <c r="Y11" s="189"/>
      <c r="Z11" s="188"/>
      <c r="AA11" s="183"/>
    </row>
    <row r="12" spans="2:27" ht="14.25" customHeight="1" thickBot="1">
      <c r="B12" s="358">
        <f>'Actividades de construcción'!B11</f>
        <v>2</v>
      </c>
      <c r="C12" s="614" t="str">
        <f>'Actividades de construcción'!C11</f>
        <v>MOVIMIENTO DE TIERRAS</v>
      </c>
      <c r="D12" s="615"/>
      <c r="E12" s="615"/>
      <c r="F12" s="615"/>
      <c r="G12" s="615"/>
      <c r="H12" s="615"/>
      <c r="I12" s="615"/>
      <c r="J12" s="615"/>
      <c r="K12" s="615"/>
      <c r="L12" s="615"/>
      <c r="M12" s="616"/>
      <c r="N12" s="178"/>
      <c r="O12" s="6"/>
      <c r="P12" s="182"/>
      <c r="Q12" s="182"/>
      <c r="R12" s="182"/>
      <c r="S12" s="184"/>
      <c r="T12" s="185"/>
      <c r="U12" s="184"/>
      <c r="V12" s="185"/>
      <c r="W12" s="185"/>
      <c r="X12" s="185"/>
      <c r="Y12" s="189"/>
      <c r="Z12" s="188"/>
      <c r="AA12" s="183"/>
    </row>
    <row r="13" spans="2:27">
      <c r="B13" s="358">
        <f>'Actividades de construcción'!B12</f>
        <v>2.1</v>
      </c>
      <c r="C13" s="363" t="str">
        <f>'Actividades de construcción'!C12</f>
        <v>Excavación manual, profundidad inferior a un metro</v>
      </c>
      <c r="D13" s="230" t="str">
        <f>'Actividades de construcción'!D12</f>
        <v>M3</v>
      </c>
      <c r="E13" s="231">
        <f>4.4*7</f>
        <v>30.800000000000004</v>
      </c>
      <c r="F13" s="231">
        <f>((0.5*0.8*3.45)*5)+((0.5*0.8*3.08)*5)+((0.5*0.8*3.5)*5)+((0.5*0.8*2)*5)+((0.5*0.8*2)*5)+((0.5*0.8*2.48)*5)</f>
        <v>33.020000000000003</v>
      </c>
      <c r="G13" s="231">
        <f>(48.97*1*0.2)</f>
        <v>9.7940000000000005</v>
      </c>
      <c r="H13" s="232">
        <f>E13+F13+G13</f>
        <v>73.614000000000004</v>
      </c>
      <c r="I13" s="231">
        <v>1</v>
      </c>
      <c r="J13" s="233">
        <v>0</v>
      </c>
      <c r="K13" s="234">
        <f>(H13*I13)+(H13*J13)</f>
        <v>73.614000000000004</v>
      </c>
      <c r="L13" s="627" t="s">
        <v>328</v>
      </c>
      <c r="M13" s="611"/>
      <c r="N13" s="178"/>
      <c r="O13" s="6"/>
      <c r="P13" s="184"/>
      <c r="Q13" s="182"/>
      <c r="R13" s="182"/>
      <c r="S13" s="182"/>
      <c r="T13" s="182"/>
      <c r="U13" s="182"/>
      <c r="V13" s="182"/>
      <c r="W13" s="182"/>
      <c r="X13" s="182"/>
      <c r="Y13" s="182"/>
      <c r="Z13" s="182"/>
      <c r="AA13" s="183"/>
    </row>
    <row r="14" spans="2:27" ht="19.149999999999999" customHeight="1">
      <c r="B14" s="358">
        <f>'Actividades de construcción'!B13</f>
        <v>2.2000000000000002</v>
      </c>
      <c r="C14" s="361" t="str">
        <f>'Actividades de construcción'!C13</f>
        <v>Cargue manual y retiro de escombro</v>
      </c>
      <c r="D14" s="235" t="str">
        <f>'Actividades de construcción'!D13</f>
        <v>M3</v>
      </c>
      <c r="E14" s="236">
        <f>E13</f>
        <v>30.800000000000004</v>
      </c>
      <c r="F14" s="236">
        <f>F13</f>
        <v>33.020000000000003</v>
      </c>
      <c r="G14" s="236">
        <f>G13</f>
        <v>9.7940000000000005</v>
      </c>
      <c r="H14" s="237">
        <f>E14+F14+G14</f>
        <v>73.614000000000004</v>
      </c>
      <c r="I14" s="236">
        <v>1</v>
      </c>
      <c r="J14" s="238">
        <v>0</v>
      </c>
      <c r="K14" s="239">
        <f>(H14*I14)+(H14*J14)</f>
        <v>73.614000000000004</v>
      </c>
      <c r="L14" s="627" t="s">
        <v>388</v>
      </c>
      <c r="M14" s="611"/>
      <c r="N14" s="178"/>
      <c r="O14" s="6"/>
      <c r="P14" s="184"/>
      <c r="Q14" s="182"/>
      <c r="R14" s="182"/>
      <c r="S14" s="182"/>
      <c r="T14" s="182"/>
      <c r="U14" s="182"/>
      <c r="V14" s="182"/>
      <c r="W14" s="182"/>
      <c r="X14" s="182"/>
      <c r="Y14" s="182"/>
      <c r="Z14" s="182"/>
      <c r="AA14" s="183"/>
    </row>
    <row r="15" spans="2:27" ht="25.9" customHeight="1" thickBot="1">
      <c r="B15" s="358">
        <f>'Actividades de construcción'!B14</f>
        <v>2.2999999999999998</v>
      </c>
      <c r="C15" s="362" t="str">
        <f>'Actividades de construcción'!C14</f>
        <v>Rellenos con material de río, compactación manual</v>
      </c>
      <c r="D15" s="240" t="str">
        <f>'Actividades de construcción'!D14</f>
        <v>M3</v>
      </c>
      <c r="E15" s="245">
        <f>0.66*7</f>
        <v>4.62</v>
      </c>
      <c r="F15" s="245">
        <f>1.035+0.92+1.05+0.6+0.6+0.744</f>
        <v>4.9489999999999998</v>
      </c>
      <c r="G15" s="241">
        <f>4.29+3.3</f>
        <v>7.59</v>
      </c>
      <c r="H15" s="242">
        <f>E15+F15+G15</f>
        <v>17.158999999999999</v>
      </c>
      <c r="I15" s="241">
        <v>1</v>
      </c>
      <c r="J15" s="243">
        <v>0</v>
      </c>
      <c r="K15" s="244">
        <f>(H15*I15)+(H15*J15)</f>
        <v>17.158999999999999</v>
      </c>
      <c r="L15" s="623" t="s">
        <v>373</v>
      </c>
      <c r="M15" s="609"/>
      <c r="N15" s="359"/>
      <c r="O15" s="6"/>
      <c r="P15" s="184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3"/>
    </row>
    <row r="16" spans="2:27" ht="14.25" customHeight="1" thickBot="1">
      <c r="B16" s="358">
        <f>'Actividades de construcción'!B15</f>
        <v>3</v>
      </c>
      <c r="C16" s="614" t="str">
        <f>'Actividades de construcción'!C15</f>
        <v>RED SANITARIA</v>
      </c>
      <c r="D16" s="615"/>
      <c r="E16" s="615"/>
      <c r="F16" s="615"/>
      <c r="G16" s="615"/>
      <c r="H16" s="615"/>
      <c r="I16" s="615"/>
      <c r="J16" s="615"/>
      <c r="K16" s="615"/>
      <c r="L16" s="615"/>
      <c r="M16" s="616"/>
      <c r="N16" s="178"/>
      <c r="O16" s="6"/>
      <c r="P16" s="184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3"/>
    </row>
    <row r="17" spans="2:27" ht="14.25" customHeight="1">
      <c r="B17" s="358">
        <f>'Actividades de construcción'!B16</f>
        <v>3.1</v>
      </c>
      <c r="C17" s="363" t="str">
        <f>'Actividades de construcción'!C16</f>
        <v>Caja de inspección en concreto 100X100X100</v>
      </c>
      <c r="D17" s="230" t="str">
        <f>'Actividades de construcción'!D16</f>
        <v>UND</v>
      </c>
      <c r="E17" s="231">
        <v>1</v>
      </c>
      <c r="F17" s="231">
        <v>0</v>
      </c>
      <c r="G17" s="231">
        <v>0</v>
      </c>
      <c r="H17" s="232">
        <f t="shared" ref="H17:H23" si="0">E17+F17+G17</f>
        <v>1</v>
      </c>
      <c r="I17" s="231">
        <v>2</v>
      </c>
      <c r="J17" s="233">
        <v>0</v>
      </c>
      <c r="K17" s="234">
        <f t="shared" ref="K17:K23" si="1">(H17*I17)+(H17*J17)</f>
        <v>2</v>
      </c>
      <c r="L17" s="628"/>
      <c r="M17" s="611"/>
      <c r="N17" s="178"/>
      <c r="O17" s="6"/>
      <c r="P17" s="184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3"/>
    </row>
    <row r="18" spans="2:27" ht="14.25" customHeight="1">
      <c r="B18" s="358">
        <f>'Actividades de construcción'!B17</f>
        <v>3.2</v>
      </c>
      <c r="C18" s="364" t="str">
        <f>'Actividades de construcción'!C17</f>
        <v>Red sanitaria tuberia PVC 4"</v>
      </c>
      <c r="D18" s="235" t="str">
        <f>'Actividades de construcción'!D17</f>
        <v>ML</v>
      </c>
      <c r="E18" s="236">
        <f>0.29+2.12+2.09+0.82+3.17+0.64+0.78+2.41+2.79+0.68+0.51+0.42+0.42+2.33+0.43+0.43+4.54+1.63+1.11+2.16+1.11+0.53+5</f>
        <v>36.410000000000004</v>
      </c>
      <c r="F18" s="236">
        <v>0</v>
      </c>
      <c r="G18" s="236">
        <v>0</v>
      </c>
      <c r="H18" s="237">
        <f t="shared" si="0"/>
        <v>36.410000000000004</v>
      </c>
      <c r="I18" s="236">
        <v>1</v>
      </c>
      <c r="J18" s="238">
        <v>0</v>
      </c>
      <c r="K18" s="239">
        <f t="shared" si="1"/>
        <v>36.410000000000004</v>
      </c>
      <c r="L18" s="612"/>
      <c r="M18" s="613"/>
      <c r="N18" s="178"/>
      <c r="O18" s="6"/>
      <c r="P18" s="184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3"/>
    </row>
    <row r="19" spans="2:27" ht="14.25" customHeight="1">
      <c r="B19" s="358">
        <f>'Actividades de construcción'!B18</f>
        <v>3.3</v>
      </c>
      <c r="C19" s="364" t="str">
        <f>'Actividades de construcción'!C18</f>
        <v>Red sanitaria tuberia PVC 2"</v>
      </c>
      <c r="D19" s="235" t="str">
        <f>'Actividades de construcción'!D18</f>
        <v>ML</v>
      </c>
      <c r="E19" s="236">
        <f>1.13+0.39+0.29+0.29+2.46+0.29+0.29+2.84+3.64+4.74+0.25+0.95+2.15+0.29+0.77+2.84+1.72+1.94+2.06+5</f>
        <v>34.33</v>
      </c>
      <c r="F19" s="236">
        <v>0</v>
      </c>
      <c r="G19" s="236">
        <v>0</v>
      </c>
      <c r="H19" s="237">
        <f t="shared" si="0"/>
        <v>34.33</v>
      </c>
      <c r="I19" s="236">
        <v>1</v>
      </c>
      <c r="J19" s="238">
        <v>0</v>
      </c>
      <c r="K19" s="239">
        <f t="shared" si="1"/>
        <v>34.33</v>
      </c>
      <c r="L19" s="612"/>
      <c r="M19" s="613"/>
      <c r="N19" s="178"/>
      <c r="O19" s="6"/>
      <c r="P19" s="184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</row>
    <row r="20" spans="2:27" ht="14.25" customHeight="1">
      <c r="B20" s="358">
        <f>'Actividades de construcción'!B19</f>
        <v>3.4</v>
      </c>
      <c r="C20" s="364" t="str">
        <f>'Actividades de construcción'!C19</f>
        <v>Salida sanitaria en PVC de 4"</v>
      </c>
      <c r="D20" s="235" t="str">
        <f>'Actividades de construcción'!D19</f>
        <v>UND</v>
      </c>
      <c r="E20" s="236">
        <v>1</v>
      </c>
      <c r="F20" s="236">
        <v>0</v>
      </c>
      <c r="G20" s="236">
        <v>0</v>
      </c>
      <c r="H20" s="237">
        <f t="shared" si="0"/>
        <v>1</v>
      </c>
      <c r="I20" s="236">
        <v>9</v>
      </c>
      <c r="J20" s="238">
        <v>0</v>
      </c>
      <c r="K20" s="239">
        <f t="shared" si="1"/>
        <v>9</v>
      </c>
      <c r="L20" s="612"/>
      <c r="M20" s="613"/>
      <c r="N20" s="178"/>
      <c r="O20" s="6"/>
    </row>
    <row r="21" spans="2:27" ht="14.25" customHeight="1">
      <c r="B21" s="358">
        <f>'Actividades de construcción'!B20</f>
        <v>3.5</v>
      </c>
      <c r="C21" s="364" t="str">
        <f>'Actividades de construcción'!C20</f>
        <v>Salida sanitaria en PVC de 2"</v>
      </c>
      <c r="D21" s="235" t="str">
        <f>'Actividades de construcción'!D20</f>
        <v>UND</v>
      </c>
      <c r="E21" s="236">
        <v>1</v>
      </c>
      <c r="F21" s="236">
        <v>0</v>
      </c>
      <c r="G21" s="236">
        <v>0</v>
      </c>
      <c r="H21" s="237">
        <f t="shared" si="0"/>
        <v>1</v>
      </c>
      <c r="I21" s="236">
        <v>16</v>
      </c>
      <c r="J21" s="238">
        <v>0</v>
      </c>
      <c r="K21" s="239">
        <f t="shared" si="1"/>
        <v>16</v>
      </c>
      <c r="L21" s="612"/>
      <c r="M21" s="613"/>
      <c r="N21" s="178"/>
      <c r="O21" s="6"/>
    </row>
    <row r="22" spans="2:27" ht="14.25" customHeight="1">
      <c r="B22" s="358">
        <f>'Actividades de construcción'!B21</f>
        <v>3.6</v>
      </c>
      <c r="C22" s="364" t="str">
        <f>'Actividades de construcción'!C21</f>
        <v>Red de aguas lluvias en tuberia PVC de 3"</v>
      </c>
      <c r="D22" s="235" t="str">
        <f>'Actividades de construcción'!D21</f>
        <v>ML</v>
      </c>
      <c r="E22" s="236">
        <f>(1.53*2)+(2.38*2)</f>
        <v>7.82</v>
      </c>
      <c r="F22" s="429">
        <v>0</v>
      </c>
      <c r="G22" s="236">
        <v>0</v>
      </c>
      <c r="H22" s="237">
        <f t="shared" si="0"/>
        <v>7.82</v>
      </c>
      <c r="I22" s="236">
        <v>1</v>
      </c>
      <c r="J22" s="238">
        <v>0</v>
      </c>
      <c r="K22" s="239">
        <f t="shared" si="1"/>
        <v>7.82</v>
      </c>
      <c r="L22" s="612"/>
      <c r="M22" s="613"/>
      <c r="N22" s="178"/>
      <c r="O22" s="6"/>
    </row>
    <row r="23" spans="2:27" ht="14.25" customHeight="1" thickBot="1">
      <c r="B23" s="358">
        <f>'Actividades de construcción'!B22</f>
        <v>3.7</v>
      </c>
      <c r="C23" s="365" t="str">
        <f>'Actividades de construcción'!C22</f>
        <v>Salida de aguas lluvias en tuberia PVC de 3"</v>
      </c>
      <c r="D23" s="240" t="str">
        <f>'Actividades de construcción'!D22</f>
        <v>UND</v>
      </c>
      <c r="E23" s="241">
        <v>1</v>
      </c>
      <c r="F23" s="241">
        <v>0</v>
      </c>
      <c r="G23" s="241">
        <v>0</v>
      </c>
      <c r="H23" s="242">
        <f t="shared" si="0"/>
        <v>1</v>
      </c>
      <c r="I23" s="241">
        <v>6</v>
      </c>
      <c r="J23" s="243">
        <v>0</v>
      </c>
      <c r="K23" s="244">
        <f t="shared" si="1"/>
        <v>6</v>
      </c>
      <c r="L23" s="608"/>
      <c r="M23" s="609"/>
      <c r="N23" s="178"/>
      <c r="O23" s="6"/>
    </row>
    <row r="24" spans="2:27" ht="14.25" customHeight="1" thickBot="1">
      <c r="B24" s="358">
        <f>'Actividades de construcción'!B23</f>
        <v>4</v>
      </c>
      <c r="C24" s="614" t="str">
        <f>'Actividades de construcción'!C23</f>
        <v>RED HIDRAULICA</v>
      </c>
      <c r="D24" s="615"/>
      <c r="E24" s="615"/>
      <c r="F24" s="615"/>
      <c r="G24" s="615"/>
      <c r="H24" s="615"/>
      <c r="I24" s="615"/>
      <c r="J24" s="615"/>
      <c r="K24" s="615"/>
      <c r="L24" s="615"/>
      <c r="M24" s="616"/>
      <c r="N24" s="178"/>
      <c r="O24" s="6"/>
    </row>
    <row r="25" spans="2:27" ht="14.25" customHeight="1">
      <c r="B25" s="358">
        <f>'Actividades de construcción'!B24</f>
        <v>4.0999999999999996</v>
      </c>
      <c r="C25" s="363" t="str">
        <f>'Actividades de construcción'!C24</f>
        <v>Red hidraulica en tuberia PVC presión de 1/2 "</v>
      </c>
      <c r="D25" s="230" t="str">
        <f>'Actividades de construcción'!D24</f>
        <v>ML</v>
      </c>
      <c r="E25" s="246">
        <f>5.18+3.16+2.45+3.17+3.17+2.61+3.79+2.76+2.38+2.13+2.12+2.44+0.51+1.86</f>
        <v>37.72999999999999</v>
      </c>
      <c r="F25" s="246">
        <v>0</v>
      </c>
      <c r="G25" s="246">
        <v>0</v>
      </c>
      <c r="H25" s="232">
        <f>E25+F25+G25</f>
        <v>37.72999999999999</v>
      </c>
      <c r="I25" s="231">
        <v>1</v>
      </c>
      <c r="J25" s="233">
        <v>0</v>
      </c>
      <c r="K25" s="234">
        <f>(H25*I25)+(H25*J25)</f>
        <v>37.72999999999999</v>
      </c>
      <c r="L25" s="628"/>
      <c r="M25" s="611"/>
      <c r="N25" s="178"/>
      <c r="O25" s="6"/>
      <c r="P25" s="1"/>
    </row>
    <row r="26" spans="2:27" ht="14.25" customHeight="1" thickBot="1">
      <c r="B26" s="358">
        <f>'Actividades de construcción'!B25</f>
        <v>4.2</v>
      </c>
      <c r="C26" s="361" t="str">
        <f>'Actividades de construcción'!C25</f>
        <v>Punto de agua fria en tuberia PVC de 1/2 "</v>
      </c>
      <c r="D26" s="235" t="str">
        <f>'Actividades de construcción'!D25</f>
        <v>UND</v>
      </c>
      <c r="E26" s="247">
        <v>1</v>
      </c>
      <c r="F26" s="247">
        <v>0</v>
      </c>
      <c r="G26" s="247">
        <v>0</v>
      </c>
      <c r="H26" s="237">
        <f>E26+F26+G26</f>
        <v>1</v>
      </c>
      <c r="I26" s="236">
        <v>19</v>
      </c>
      <c r="J26" s="238">
        <v>0</v>
      </c>
      <c r="K26" s="239">
        <f>(H26*I26)+(H26*J26)</f>
        <v>19</v>
      </c>
      <c r="L26" s="612"/>
      <c r="M26" s="613"/>
      <c r="N26" s="178"/>
      <c r="O26" s="6"/>
      <c r="P26" s="1"/>
    </row>
    <row r="27" spans="2:27" ht="14.25" customHeight="1" thickBot="1">
      <c r="B27" s="358">
        <f>'Actividades de construcción'!B26</f>
        <v>5</v>
      </c>
      <c r="C27" s="614" t="str">
        <f>'Actividades de construcción'!C26</f>
        <v>ESTRUCTURA EN CONCRETO REFORZADO</v>
      </c>
      <c r="D27" s="615"/>
      <c r="E27" s="615"/>
      <c r="F27" s="615"/>
      <c r="G27" s="615"/>
      <c r="H27" s="615"/>
      <c r="I27" s="615"/>
      <c r="J27" s="615"/>
      <c r="K27" s="615"/>
      <c r="L27" s="615"/>
      <c r="M27" s="616"/>
      <c r="N27" s="178"/>
      <c r="O27" s="6"/>
      <c r="P27" s="1"/>
    </row>
    <row r="28" spans="2:27" ht="14.25" customHeight="1">
      <c r="B28" s="358">
        <f>'Actividades de construcción'!B27</f>
        <v>5.0999999999999996</v>
      </c>
      <c r="C28" s="363" t="str">
        <f>'Actividades de construcción'!C27</f>
        <v>Concreto ciclopeo 60/40</v>
      </c>
      <c r="D28" s="230" t="str">
        <f>'Actividades de construcción'!D27</f>
        <v>M3</v>
      </c>
      <c r="E28" s="230">
        <f>39.86</f>
        <v>39.86</v>
      </c>
      <c r="F28" s="246">
        <v>0</v>
      </c>
      <c r="G28" s="246">
        <v>0</v>
      </c>
      <c r="H28" s="232">
        <f t="shared" ref="H28:H34" si="2">E28+F28+G28</f>
        <v>39.86</v>
      </c>
      <c r="I28" s="231">
        <v>1</v>
      </c>
      <c r="J28" s="249">
        <v>0</v>
      </c>
      <c r="K28" s="234">
        <f t="shared" ref="K28:K35" si="3">(H28*I28)+(H28*J28)</f>
        <v>39.86</v>
      </c>
      <c r="L28" s="628"/>
      <c r="M28" s="611"/>
      <c r="N28" s="178"/>
      <c r="O28" s="6"/>
      <c r="P28" s="1"/>
    </row>
    <row r="29" spans="2:27" ht="14.25" customHeight="1">
      <c r="B29" s="358">
        <f>'Actividades de construcción'!B28</f>
        <v>5.2</v>
      </c>
      <c r="C29" s="361" t="str">
        <f>'Actividades de construcción'!C28</f>
        <v>Acero de refuerzo, incluye alambre de amarre</v>
      </c>
      <c r="D29" s="235" t="str">
        <f>'Actividades de construcción'!D28</f>
        <v>KG</v>
      </c>
      <c r="E29" s="247">
        <v>5583.94</v>
      </c>
      <c r="F29" s="247">
        <f>E29*10%</f>
        <v>558.39400000000001</v>
      </c>
      <c r="G29" s="247">
        <v>0</v>
      </c>
      <c r="H29" s="232">
        <f t="shared" si="2"/>
        <v>6142.3339999999998</v>
      </c>
      <c r="I29" s="236">
        <v>1</v>
      </c>
      <c r="J29" s="250">
        <v>0</v>
      </c>
      <c r="K29" s="239">
        <f t="shared" si="3"/>
        <v>6142.3339999999998</v>
      </c>
      <c r="L29" s="624" t="s">
        <v>387</v>
      </c>
      <c r="M29" s="613"/>
      <c r="N29" s="355"/>
      <c r="O29" s="355"/>
      <c r="P29" s="1"/>
    </row>
    <row r="30" spans="2:27" ht="14.25" customHeight="1">
      <c r="B30" s="358">
        <f>'Actividades de construcción'!B29</f>
        <v>5.3</v>
      </c>
      <c r="C30" s="361" t="str">
        <f>'Actividades de construcción'!C29</f>
        <v xml:space="preserve">Concreto para vigas de cimentación </v>
      </c>
      <c r="D30" s="235" t="str">
        <f>'Actividades de construcción'!D29</f>
        <v>M3</v>
      </c>
      <c r="E30" s="247">
        <v>15</v>
      </c>
      <c r="F30" s="247">
        <v>0</v>
      </c>
      <c r="G30" s="247">
        <v>0</v>
      </c>
      <c r="H30" s="232">
        <f t="shared" si="2"/>
        <v>15</v>
      </c>
      <c r="I30" s="236">
        <v>1</v>
      </c>
      <c r="J30" s="250">
        <v>0</v>
      </c>
      <c r="K30" s="239">
        <f t="shared" si="3"/>
        <v>15</v>
      </c>
      <c r="L30" s="612"/>
      <c r="M30" s="613"/>
      <c r="N30" s="178"/>
      <c r="O30" s="6"/>
      <c r="P30" s="1"/>
    </row>
    <row r="31" spans="2:27">
      <c r="B31" s="358">
        <f>'Actividades de construcción'!B30</f>
        <v>5.4</v>
      </c>
      <c r="C31" s="361" t="str">
        <f>'Actividades de construcción'!C30</f>
        <v>Concreto para placa de piso, incluye malla electrosol</v>
      </c>
      <c r="D31" s="235" t="str">
        <f>'Actividades de construcción'!D30</f>
        <v>M2</v>
      </c>
      <c r="E31" s="247">
        <v>220</v>
      </c>
      <c r="F31" s="247">
        <v>0</v>
      </c>
      <c r="G31" s="247">
        <v>0</v>
      </c>
      <c r="H31" s="232">
        <f t="shared" si="2"/>
        <v>220</v>
      </c>
      <c r="I31" s="236">
        <v>1</v>
      </c>
      <c r="J31" s="250">
        <v>0</v>
      </c>
      <c r="K31" s="239">
        <f t="shared" si="3"/>
        <v>220</v>
      </c>
      <c r="L31" s="624"/>
      <c r="M31" s="613"/>
      <c r="N31" s="178"/>
      <c r="O31" s="6"/>
      <c r="P31" s="1"/>
    </row>
    <row r="32" spans="2:27" ht="14.25" customHeight="1">
      <c r="B32" s="358">
        <f>'Actividades de construcción'!B31</f>
        <v>5.5</v>
      </c>
      <c r="C32" s="361" t="str">
        <f>'Actividades de construcción'!C31</f>
        <v>Concreto para columnas</v>
      </c>
      <c r="D32" s="235" t="str">
        <f>'Actividades de construcción'!D31</f>
        <v>M3</v>
      </c>
      <c r="E32" s="247">
        <v>4.25</v>
      </c>
      <c r="F32" s="247">
        <v>0</v>
      </c>
      <c r="G32" s="247">
        <v>0</v>
      </c>
      <c r="H32" s="232">
        <f t="shared" si="2"/>
        <v>4.25</v>
      </c>
      <c r="I32" s="236">
        <v>1</v>
      </c>
      <c r="J32" s="250">
        <v>0</v>
      </c>
      <c r="K32" s="239">
        <f t="shared" si="3"/>
        <v>4.25</v>
      </c>
      <c r="L32" s="612"/>
      <c r="M32" s="613"/>
      <c r="N32" s="178"/>
      <c r="O32" s="6"/>
      <c r="P32" s="1"/>
    </row>
    <row r="33" spans="2:16" ht="14.25" customHeight="1">
      <c r="B33" s="358">
        <f>'Actividades de construcción'!B32</f>
        <v>5.6</v>
      </c>
      <c r="C33" s="361" t="str">
        <f>'Actividades de construcción'!C32</f>
        <v>Concreto para viga de entrepiso</v>
      </c>
      <c r="D33" s="235" t="str">
        <f>'Actividades de construcción'!D32</f>
        <v>M3</v>
      </c>
      <c r="E33" s="247">
        <v>6.77</v>
      </c>
      <c r="F33" s="247">
        <v>0</v>
      </c>
      <c r="G33" s="247">
        <v>0</v>
      </c>
      <c r="H33" s="232">
        <f t="shared" si="2"/>
        <v>6.77</v>
      </c>
      <c r="I33" s="236">
        <v>1</v>
      </c>
      <c r="J33" s="250">
        <v>0</v>
      </c>
      <c r="K33" s="239">
        <f t="shared" si="3"/>
        <v>6.77</v>
      </c>
      <c r="L33" s="612"/>
      <c r="M33" s="613"/>
      <c r="N33" s="178"/>
      <c r="O33" s="6"/>
      <c r="P33" s="1"/>
    </row>
    <row r="34" spans="2:16" ht="14.25" customHeight="1">
      <c r="B34" s="358">
        <f>'Actividades de construcción'!B33</f>
        <v>5.7</v>
      </c>
      <c r="C34" s="361" t="str">
        <f>'Actividades de construcción'!C33</f>
        <v>Concreto para viga a nivel de culata</v>
      </c>
      <c r="D34" s="235" t="str">
        <f>'Actividades de construcción'!D33</f>
        <v>M3</v>
      </c>
      <c r="E34" s="247">
        <v>2.3260000000000001</v>
      </c>
      <c r="F34" s="247">
        <v>0</v>
      </c>
      <c r="G34" s="247">
        <v>0</v>
      </c>
      <c r="H34" s="232">
        <f t="shared" si="2"/>
        <v>2.3260000000000001</v>
      </c>
      <c r="I34" s="236">
        <v>1</v>
      </c>
      <c r="J34" s="250">
        <v>0</v>
      </c>
      <c r="K34" s="239">
        <f t="shared" si="3"/>
        <v>2.3260000000000001</v>
      </c>
      <c r="L34" s="612"/>
      <c r="M34" s="613"/>
      <c r="N34" s="178"/>
      <c r="O34" s="6"/>
      <c r="P34" s="1"/>
    </row>
    <row r="35" spans="2:16" ht="14.25" customHeight="1">
      <c r="B35" s="358">
        <f>'Actividades de construcción'!B34</f>
        <v>5.8</v>
      </c>
      <c r="C35" s="361" t="str">
        <f>'Actividades de construcción'!C34</f>
        <v xml:space="preserve">Meson de concreto, e=10 cms, Ancho 60 cm </v>
      </c>
      <c r="D35" s="235" t="str">
        <f>'Actividades de construcción'!D34</f>
        <v>M2</v>
      </c>
      <c r="E35" s="247">
        <f>1.44+0.84</f>
        <v>2.2799999999999998</v>
      </c>
      <c r="F35" s="247">
        <v>0</v>
      </c>
      <c r="G35" s="247">
        <v>0</v>
      </c>
      <c r="H35" s="232">
        <f>E35+F35+G35</f>
        <v>2.2799999999999998</v>
      </c>
      <c r="I35" s="236">
        <v>1</v>
      </c>
      <c r="J35" s="250">
        <v>0</v>
      </c>
      <c r="K35" s="239">
        <f t="shared" si="3"/>
        <v>2.2799999999999998</v>
      </c>
      <c r="L35" s="612"/>
      <c r="M35" s="613"/>
      <c r="N35" s="178"/>
      <c r="O35" s="6"/>
      <c r="P35" s="1"/>
    </row>
    <row r="36" spans="2:16" s="442" customFormat="1" ht="14.25" customHeight="1" thickBot="1">
      <c r="B36" s="358">
        <f>'Actividades de construcción'!B35</f>
        <v>5.9</v>
      </c>
      <c r="C36" s="361" t="str">
        <f>'Actividades de construcción'!C35</f>
        <v>Estructura placa facil para entrepiso</v>
      </c>
      <c r="D36" s="235" t="str">
        <f>'Actividades de construcción'!D35</f>
        <v>M2</v>
      </c>
      <c r="E36" s="247">
        <v>220</v>
      </c>
      <c r="F36" s="247">
        <v>0</v>
      </c>
      <c r="G36" s="247">
        <v>0</v>
      </c>
      <c r="H36" s="232">
        <f t="shared" ref="H36" si="4">E36+F36+G36</f>
        <v>220</v>
      </c>
      <c r="I36" s="236">
        <v>1</v>
      </c>
      <c r="J36" s="250">
        <v>0</v>
      </c>
      <c r="K36" s="239">
        <f t="shared" ref="K36" si="5">(H36*I36)+(H36*J36)</f>
        <v>220</v>
      </c>
      <c r="L36" s="612"/>
      <c r="M36" s="613"/>
      <c r="N36" s="178"/>
      <c r="O36" s="6"/>
      <c r="P36" s="1"/>
    </row>
    <row r="37" spans="2:16" ht="18" customHeight="1" thickBot="1">
      <c r="B37" s="358">
        <f>'Actividades de construcción'!B36</f>
        <v>6</v>
      </c>
      <c r="C37" s="614" t="str">
        <f>'Actividades de construcción'!C36</f>
        <v>MAMPOSTERIA EN BLOQUE DE LADRILLO</v>
      </c>
      <c r="D37" s="615"/>
      <c r="E37" s="615"/>
      <c r="F37" s="615"/>
      <c r="G37" s="615"/>
      <c r="H37" s="615"/>
      <c r="I37" s="615"/>
      <c r="J37" s="615"/>
      <c r="K37" s="615"/>
      <c r="L37" s="615"/>
      <c r="M37" s="616"/>
      <c r="N37" s="178"/>
      <c r="O37" s="372"/>
      <c r="P37" s="1"/>
    </row>
    <row r="38" spans="2:16">
      <c r="B38" s="358">
        <f>'Actividades de construcción'!B37</f>
        <v>6.1</v>
      </c>
      <c r="C38" s="374" t="str">
        <f>'Actividades de construcción'!C37</f>
        <v xml:space="preserve">Muro en bloque de arcilla, espesor 12 centimetros </v>
      </c>
      <c r="D38" s="375" t="str">
        <f>'Actividades de construcción'!D37</f>
        <v>M2</v>
      </c>
      <c r="E38" s="376">
        <f>(9.75*2)+(8.5*2)+((8.44-3.57)*2)+((7.42-2.6)*2)+((9.5*2)-2.6)+((8.36-2.6)*2)+((5.75*2)-2.6)+(5.09*2)+(5.75*2)+(5.06*2)+((7.31*2)-2.6)+((6.43-2.6)*2)</f>
        <v>144.18</v>
      </c>
      <c r="F38" s="376">
        <f>((6.72*2)-2.6)+(6.75*2)+((6.07*2)-2.6)+(6.07*2)+(5.19*2)+((5.94*2)-3.78)+(5.34*2)+((5.34*2)-3.78)</f>
        <v>82.080000000000013</v>
      </c>
      <c r="G38" s="376">
        <f>(3.92+1.475+3.925+1.475+5+1.27+1.675+2.3+2.42+1.35+1.35+2.43+1.1+2.32+1.96+2.4+2.68+2.98+2.3+0.75+(2.3-2.6)+1.6+2.72+2.7+3.93+2.42)*2.5</f>
        <v>145.375</v>
      </c>
      <c r="H38" s="377">
        <f>E38+F38+G38</f>
        <v>371.63499999999999</v>
      </c>
      <c r="I38" s="378">
        <v>1</v>
      </c>
      <c r="J38" s="379">
        <v>0</v>
      </c>
      <c r="K38" s="380">
        <f>(H38*I38)+(H38*J38)</f>
        <v>371.63499999999999</v>
      </c>
      <c r="L38" s="629" t="s">
        <v>317</v>
      </c>
      <c r="M38" s="630"/>
      <c r="N38" s="355"/>
      <c r="O38" s="355"/>
      <c r="P38" s="1"/>
    </row>
    <row r="39" spans="2:16" ht="14.25" customHeight="1">
      <c r="B39" s="358">
        <f>'Actividades de construcción'!B38</f>
        <v>6.2</v>
      </c>
      <c r="C39" s="361" t="str">
        <f>'Actividades de construcción'!C38</f>
        <v xml:space="preserve">Pañetes de muros en mortero 1:4 impermeabilizado </v>
      </c>
      <c r="D39" s="235" t="str">
        <f>'Actividades de construcción'!D38</f>
        <v>M2</v>
      </c>
      <c r="E39" s="247">
        <f>E38*2</f>
        <v>288.36</v>
      </c>
      <c r="F39" s="247">
        <f>F38*2</f>
        <v>164.16000000000003</v>
      </c>
      <c r="G39" s="247">
        <f>G38*2</f>
        <v>290.75</v>
      </c>
      <c r="H39" s="237">
        <f>E39+F39+G39</f>
        <v>743.27</v>
      </c>
      <c r="I39" s="236">
        <v>1</v>
      </c>
      <c r="J39" s="250">
        <v>0</v>
      </c>
      <c r="K39" s="239">
        <f>(H39*I39)+(H39*J39)</f>
        <v>743.27</v>
      </c>
      <c r="L39" s="612" t="s">
        <v>327</v>
      </c>
      <c r="M39" s="613"/>
      <c r="N39" s="178"/>
      <c r="O39" s="372"/>
      <c r="P39" s="1"/>
    </row>
    <row r="40" spans="2:16" ht="14.25" customHeight="1" thickBot="1">
      <c r="B40" s="358">
        <f>'Actividades de construcción'!B39</f>
        <v>6.3</v>
      </c>
      <c r="C40" s="362" t="str">
        <f>'Actividades de construcción'!C39</f>
        <v>Enchape ceramico para piso y pared</v>
      </c>
      <c r="D40" s="240" t="str">
        <f>'Actividades de construcción'!D39</f>
        <v>M2</v>
      </c>
      <c r="E40" s="240">
        <f>(9.58*2)+65.114+4.32+14.65+20.28+6.34+39.95+(5.69*2)+10.19+11.137+201.59+2.36+2.12</f>
        <v>408.59100000000001</v>
      </c>
      <c r="F40" s="240">
        <f>(0.6*2.4)+(1.4*0.6)</f>
        <v>2.2799999999999998</v>
      </c>
      <c r="G40" s="240">
        <f>(7.5*2.5)+23.125+29.5+47.7+159.25+50</f>
        <v>328.32499999999999</v>
      </c>
      <c r="H40" s="242">
        <f>E40+F40+G40</f>
        <v>739.19599999999991</v>
      </c>
      <c r="I40" s="241">
        <v>1</v>
      </c>
      <c r="J40" s="251">
        <v>0</v>
      </c>
      <c r="K40" s="244">
        <f>(H40*I40)+(H40*J40)</f>
        <v>739.19599999999991</v>
      </c>
      <c r="L40" s="631" t="s">
        <v>381</v>
      </c>
      <c r="M40" s="632"/>
      <c r="N40" s="178"/>
      <c r="O40" s="6"/>
      <c r="P40" s="1"/>
    </row>
    <row r="41" spans="2:16" ht="14.25" customHeight="1" thickBot="1">
      <c r="B41" s="358">
        <f>'Actividades de construcción'!B40</f>
        <v>7</v>
      </c>
      <c r="C41" s="614" t="str">
        <f>'Actividades de construcción'!C40</f>
        <v>INSTALACIÓN ELECTRICA</v>
      </c>
      <c r="D41" s="615"/>
      <c r="E41" s="615"/>
      <c r="F41" s="615"/>
      <c r="G41" s="615"/>
      <c r="H41" s="615"/>
      <c r="I41" s="615"/>
      <c r="J41" s="615"/>
      <c r="K41" s="615"/>
      <c r="L41" s="615"/>
      <c r="M41" s="616"/>
      <c r="N41" s="178"/>
      <c r="O41" s="6"/>
      <c r="P41" s="1"/>
    </row>
    <row r="42" spans="2:16" ht="14.25" customHeight="1">
      <c r="B42" s="358">
        <f>'Actividades de construcción'!B41</f>
        <v>7.1</v>
      </c>
      <c r="C42" s="363" t="str">
        <f>'Actividades de construcción'!C41</f>
        <v>Acometida al contador, incluye contador y accesorios</v>
      </c>
      <c r="D42" s="230" t="str">
        <f>'Actividades de construcción'!D41</f>
        <v>GB</v>
      </c>
      <c r="E42" s="246">
        <v>1</v>
      </c>
      <c r="F42" s="246">
        <v>0</v>
      </c>
      <c r="G42" s="246">
        <v>0</v>
      </c>
      <c r="H42" s="232">
        <f t="shared" ref="H42:H50" si="6">E42+F42+G42</f>
        <v>1</v>
      </c>
      <c r="I42" s="231">
        <v>1</v>
      </c>
      <c r="J42" s="249">
        <v>0</v>
      </c>
      <c r="K42" s="234">
        <f t="shared" ref="K42:K50" si="7">(H42*I42)+(H42*J42)</f>
        <v>1</v>
      </c>
      <c r="L42" s="628"/>
      <c r="M42" s="611"/>
      <c r="N42" s="178"/>
      <c r="O42" s="6"/>
      <c r="P42" s="1"/>
    </row>
    <row r="43" spans="2:16" ht="14.25" customHeight="1">
      <c r="B43" s="358">
        <f>'Actividades de construcción'!B42</f>
        <v>7.2</v>
      </c>
      <c r="C43" s="361" t="str">
        <f>'Actividades de construcción'!C42</f>
        <v>Acometida del contador al tablero general</v>
      </c>
      <c r="D43" s="235" t="str">
        <f>'Actividades de construcción'!D42</f>
        <v>ML</v>
      </c>
      <c r="E43" s="247">
        <v>10</v>
      </c>
      <c r="F43" s="247">
        <v>0</v>
      </c>
      <c r="G43" s="247">
        <v>0</v>
      </c>
      <c r="H43" s="237">
        <f t="shared" si="6"/>
        <v>10</v>
      </c>
      <c r="I43" s="236">
        <v>1</v>
      </c>
      <c r="J43" s="250">
        <v>0</v>
      </c>
      <c r="K43" s="239">
        <f t="shared" si="7"/>
        <v>10</v>
      </c>
      <c r="L43" s="612"/>
      <c r="M43" s="613"/>
      <c r="N43" s="178"/>
      <c r="O43" s="6"/>
      <c r="P43" s="1"/>
    </row>
    <row r="44" spans="2:16" ht="14.25" customHeight="1">
      <c r="B44" s="358">
        <f>'Actividades de construcción'!B43</f>
        <v>7.3</v>
      </c>
      <c r="C44" s="361" t="str">
        <f>'Actividades de construcción'!C43</f>
        <v>Puesta a tierra del tablero</v>
      </c>
      <c r="D44" s="235" t="str">
        <f>'Actividades de construcción'!D43</f>
        <v>UND</v>
      </c>
      <c r="E44" s="247">
        <v>1</v>
      </c>
      <c r="F44" s="247">
        <v>0</v>
      </c>
      <c r="G44" s="247">
        <v>0</v>
      </c>
      <c r="H44" s="237">
        <f t="shared" si="6"/>
        <v>1</v>
      </c>
      <c r="I44" s="236">
        <v>5</v>
      </c>
      <c r="J44" s="250">
        <v>0</v>
      </c>
      <c r="K44" s="239">
        <f t="shared" si="7"/>
        <v>5</v>
      </c>
      <c r="L44" s="612"/>
      <c r="M44" s="613"/>
      <c r="N44" s="178"/>
      <c r="O44" s="6"/>
      <c r="P44" s="1"/>
    </row>
    <row r="45" spans="2:16" ht="14.25" customHeight="1">
      <c r="B45" s="358">
        <f>'Actividades de construcción'!B44</f>
        <v>7.4</v>
      </c>
      <c r="C45" s="361" t="str">
        <f>'Actividades de construcción'!C44</f>
        <v xml:space="preserve">Tablero general de distribución de 3 circuitos </v>
      </c>
      <c r="D45" s="235" t="str">
        <f>'Actividades de construcción'!D44</f>
        <v>GB</v>
      </c>
      <c r="E45" s="247">
        <v>1</v>
      </c>
      <c r="F45" s="247">
        <v>0</v>
      </c>
      <c r="G45" s="247">
        <v>0</v>
      </c>
      <c r="H45" s="237">
        <f t="shared" si="6"/>
        <v>1</v>
      </c>
      <c r="I45" s="236">
        <v>1</v>
      </c>
      <c r="J45" s="250">
        <v>0</v>
      </c>
      <c r="K45" s="239">
        <f t="shared" si="7"/>
        <v>1</v>
      </c>
      <c r="L45" s="612"/>
      <c r="M45" s="613"/>
      <c r="N45" s="178"/>
      <c r="O45" s="6"/>
      <c r="P45" s="1"/>
    </row>
    <row r="46" spans="2:16" ht="14.25" customHeight="1">
      <c r="B46" s="358">
        <f>'Actividades de construcción'!B45</f>
        <v>7.5</v>
      </c>
      <c r="C46" s="361" t="str">
        <f>'Actividades de construcción'!C45</f>
        <v xml:space="preserve">Red electrica de distribución, incluye accesorios </v>
      </c>
      <c r="D46" s="235" t="str">
        <f>'Actividades de construcción'!D45</f>
        <v>ML</v>
      </c>
      <c r="E46" s="247">
        <f>6.93+1.46+2.18+1.05+1.85+3.15+1.9+0.96+0.95+11.64+3.53+2.62+12.056+10.41+17.4</f>
        <v>78.085999999999984</v>
      </c>
      <c r="F46" s="247">
        <f>1.23+1.05+7.98+0.95+3.02+1.34+5.25+3.66+1.12+1.08+2.39+1.45+1.07+0.48+1.047+1.35+2.33+1.35+1.14+2.26+3.16+0.97+2.27+5.36+7.36+1.03+2.349+1.1+1.48+1.42+2.68+1.15+1.02+5.29+2.37+3.38+3.05+0.91+4.99+3.94+3.81+3.81+1.09+1.25+2.66+2.13+1.09+5.31+2.31+2.35+2.33+2.67+2.33+2.66+2.78+1.61+4.99</f>
        <v>142.00600000000003</v>
      </c>
      <c r="G46" s="247">
        <v>0</v>
      </c>
      <c r="H46" s="237">
        <f t="shared" si="6"/>
        <v>220.09200000000001</v>
      </c>
      <c r="I46" s="236">
        <v>1</v>
      </c>
      <c r="J46" s="250">
        <v>0</v>
      </c>
      <c r="K46" s="239">
        <f t="shared" si="7"/>
        <v>220.09200000000001</v>
      </c>
      <c r="L46" s="612" t="s">
        <v>330</v>
      </c>
      <c r="M46" s="613"/>
      <c r="N46" s="178"/>
      <c r="O46" s="6"/>
      <c r="P46" s="1"/>
    </row>
    <row r="47" spans="2:16" ht="14.25" customHeight="1">
      <c r="B47" s="358">
        <f>'Actividades de construcción'!B46</f>
        <v>7.6</v>
      </c>
      <c r="C47" s="361" t="str">
        <f>'Actividades de construcción'!C46</f>
        <v>Salida toma trifilar para la estufa, incluye aparato</v>
      </c>
      <c r="D47" s="235" t="str">
        <f>'Actividades de construcción'!D46</f>
        <v>UND</v>
      </c>
      <c r="E47" s="247">
        <v>1</v>
      </c>
      <c r="F47" s="247">
        <v>0</v>
      </c>
      <c r="G47" s="247">
        <v>0</v>
      </c>
      <c r="H47" s="237">
        <f t="shared" si="6"/>
        <v>1</v>
      </c>
      <c r="I47" s="236">
        <v>1</v>
      </c>
      <c r="J47" s="250">
        <v>0</v>
      </c>
      <c r="K47" s="239">
        <f t="shared" si="7"/>
        <v>1</v>
      </c>
      <c r="L47" s="612"/>
      <c r="M47" s="613"/>
      <c r="N47" s="178"/>
      <c r="O47" s="6"/>
      <c r="P47" s="1"/>
    </row>
    <row r="48" spans="2:16" ht="14.25" customHeight="1">
      <c r="B48" s="358">
        <f>'Actividades de construcción'!B47</f>
        <v>7.7</v>
      </c>
      <c r="C48" s="361" t="str">
        <f>'Actividades de construcción'!C47</f>
        <v>Salida toma doble con polo a tierra, incluye aparato</v>
      </c>
      <c r="D48" s="235" t="str">
        <f>'Actividades de construcción'!D47</f>
        <v>UND</v>
      </c>
      <c r="E48" s="247">
        <v>18</v>
      </c>
      <c r="F48" s="247">
        <v>0</v>
      </c>
      <c r="G48" s="247">
        <v>0</v>
      </c>
      <c r="H48" s="237">
        <f t="shared" si="6"/>
        <v>18</v>
      </c>
      <c r="I48" s="236">
        <v>1</v>
      </c>
      <c r="J48" s="250">
        <v>0</v>
      </c>
      <c r="K48" s="239">
        <f t="shared" si="7"/>
        <v>18</v>
      </c>
      <c r="L48" s="612"/>
      <c r="M48" s="613"/>
      <c r="N48" s="178"/>
      <c r="P48" s="1"/>
    </row>
    <row r="49" spans="2:18" ht="14.25" customHeight="1">
      <c r="B49" s="358">
        <f>'Actividades de construcción'!B48</f>
        <v>7.8</v>
      </c>
      <c r="C49" s="361" t="str">
        <f>'Actividades de construcción'!C48</f>
        <v>Salida para iluminación, incluye aparato</v>
      </c>
      <c r="D49" s="235" t="str">
        <f>'Actividades de construcción'!D48</f>
        <v>UND</v>
      </c>
      <c r="E49" s="247">
        <v>28</v>
      </c>
      <c r="F49" s="247">
        <v>0</v>
      </c>
      <c r="G49" s="247">
        <v>0</v>
      </c>
      <c r="H49" s="237">
        <f t="shared" si="6"/>
        <v>28</v>
      </c>
      <c r="I49" s="236">
        <v>1</v>
      </c>
      <c r="J49" s="250">
        <v>0</v>
      </c>
      <c r="K49" s="239">
        <f t="shared" si="7"/>
        <v>28</v>
      </c>
      <c r="L49" s="612"/>
      <c r="M49" s="613"/>
      <c r="N49" s="178"/>
    </row>
    <row r="50" spans="2:18" ht="14.25" customHeight="1" thickBot="1">
      <c r="B50" s="358">
        <f>'Actividades de construcción'!B49</f>
        <v>7.9</v>
      </c>
      <c r="C50" s="362" t="str">
        <f>'Actividades de construcción'!C49</f>
        <v>Salida para interruptor, incluye aparato</v>
      </c>
      <c r="D50" s="240" t="str">
        <f>'Actividades de construcción'!D49</f>
        <v>UND</v>
      </c>
      <c r="E50" s="248">
        <v>17</v>
      </c>
      <c r="F50" s="248">
        <v>0</v>
      </c>
      <c r="G50" s="248">
        <v>0</v>
      </c>
      <c r="H50" s="242">
        <f t="shared" si="6"/>
        <v>17</v>
      </c>
      <c r="I50" s="241">
        <v>1</v>
      </c>
      <c r="J50" s="251">
        <v>0</v>
      </c>
      <c r="K50" s="244">
        <f t="shared" si="7"/>
        <v>17</v>
      </c>
      <c r="L50" s="608"/>
      <c r="M50" s="609"/>
      <c r="N50" s="178"/>
    </row>
    <row r="51" spans="2:18" ht="14.25" customHeight="1" thickBot="1">
      <c r="B51" s="358">
        <f>'Actividades de construcción'!B50</f>
        <v>8</v>
      </c>
      <c r="C51" s="614" t="str">
        <f>'Actividades de construcción'!C50</f>
        <v>CARPINTERIA METALICA</v>
      </c>
      <c r="D51" s="615"/>
      <c r="E51" s="615"/>
      <c r="F51" s="615"/>
      <c r="G51" s="615"/>
      <c r="H51" s="615"/>
      <c r="I51" s="615"/>
      <c r="J51" s="615"/>
      <c r="K51" s="615"/>
      <c r="L51" s="615"/>
      <c r="M51" s="616"/>
      <c r="N51" s="178"/>
    </row>
    <row r="52" spans="2:18" ht="14.25">
      <c r="B52" s="358">
        <f>'Actividades de construcción'!B51</f>
        <v>8.1</v>
      </c>
      <c r="C52" s="366" t="str">
        <f>'Actividades de construcción'!C51</f>
        <v>Ventaneria metalica, según diseño, inc. instalación</v>
      </c>
      <c r="D52" s="230" t="str">
        <f>'Actividades de construcción'!D51</f>
        <v>M2</v>
      </c>
      <c r="E52" s="230">
        <f>(1.3*2)*5</f>
        <v>13</v>
      </c>
      <c r="F52" s="230">
        <f>(1.3*2)*6</f>
        <v>15.600000000000001</v>
      </c>
      <c r="G52" s="230">
        <v>0</v>
      </c>
      <c r="H52" s="232">
        <f t="shared" ref="H52:H61" si="8">E52+F52+G52</f>
        <v>28.6</v>
      </c>
      <c r="I52" s="231">
        <v>1</v>
      </c>
      <c r="J52" s="249">
        <v>0</v>
      </c>
      <c r="K52" s="234">
        <f t="shared" ref="K52:K61" si="9">(H52*I52)+(H52*J52)</f>
        <v>28.6</v>
      </c>
      <c r="L52" s="610" t="s">
        <v>384</v>
      </c>
      <c r="M52" s="611"/>
      <c r="N52" s="178"/>
      <c r="O52" s="315"/>
    </row>
    <row r="53" spans="2:18" ht="14.25" customHeight="1">
      <c r="B53" s="358">
        <f>'Actividades de construcción'!B52</f>
        <v>8.1999999999999993</v>
      </c>
      <c r="C53" s="367" t="str">
        <f>'Actividades de construcción'!C52</f>
        <v>Puerta lámina / marco metalico,para Interiores incluye instalación</v>
      </c>
      <c r="D53" s="235" t="str">
        <f>'Actividades de construcción'!D52</f>
        <v>UND</v>
      </c>
      <c r="E53" s="247">
        <v>6</v>
      </c>
      <c r="F53" s="247">
        <v>0</v>
      </c>
      <c r="G53" s="247">
        <v>0</v>
      </c>
      <c r="H53" s="237">
        <f t="shared" si="8"/>
        <v>6</v>
      </c>
      <c r="I53" s="236">
        <v>1</v>
      </c>
      <c r="J53" s="250">
        <v>0</v>
      </c>
      <c r="K53" s="239">
        <f t="shared" si="9"/>
        <v>6</v>
      </c>
      <c r="L53" s="612" t="s">
        <v>333</v>
      </c>
      <c r="M53" s="613"/>
      <c r="N53" s="178"/>
    </row>
    <row r="54" spans="2:18" s="398" customFormat="1" ht="14.25" customHeight="1">
      <c r="B54" s="358">
        <f>'Actividades de construcción'!B53</f>
        <v>8.3000000000000007</v>
      </c>
      <c r="C54" s="367" t="str">
        <f>'Actividades de construcción'!C53</f>
        <v>Puerta lámina porton doble para exteriores incluye instalación</v>
      </c>
      <c r="D54" s="235" t="str">
        <f>'Actividades de construcción'!D53</f>
        <v>UND</v>
      </c>
      <c r="E54" s="247">
        <v>2</v>
      </c>
      <c r="F54" s="247">
        <v>0</v>
      </c>
      <c r="G54" s="247">
        <v>0</v>
      </c>
      <c r="H54" s="237">
        <f>E54+F54+G54</f>
        <v>2</v>
      </c>
      <c r="I54" s="236">
        <v>1</v>
      </c>
      <c r="J54" s="250">
        <v>0</v>
      </c>
      <c r="K54" s="239">
        <f>(H54*I54)+(H54*J54)</f>
        <v>2</v>
      </c>
      <c r="L54" s="612" t="s">
        <v>334</v>
      </c>
      <c r="M54" s="613"/>
      <c r="N54" s="178"/>
    </row>
    <row r="55" spans="2:18" ht="14.25">
      <c r="B55" s="358">
        <f>'Actividades de construcción'!B54</f>
        <v>8.4</v>
      </c>
      <c r="C55" s="368" t="str">
        <f>'Actividades de construcción'!C54</f>
        <v xml:space="preserve">Divisiones sanitarias en acero inoxidable (Altura 1.80m) incluye instalación </v>
      </c>
      <c r="D55" s="235" t="str">
        <f>'Actividades de construcción'!D54</f>
        <v>M2</v>
      </c>
      <c r="E55" s="247">
        <f>1.5*1.7</f>
        <v>2.5499999999999998</v>
      </c>
      <c r="F55" s="247">
        <f>1.5*1.7</f>
        <v>2.5499999999999998</v>
      </c>
      <c r="G55" s="247">
        <f>(2.15*1.36)*2</f>
        <v>5.8479999999999999</v>
      </c>
      <c r="H55" s="237">
        <f t="shared" si="8"/>
        <v>10.948</v>
      </c>
      <c r="I55" s="236">
        <v>1</v>
      </c>
      <c r="J55" s="250">
        <v>0</v>
      </c>
      <c r="K55" s="239">
        <f t="shared" si="9"/>
        <v>10.948</v>
      </c>
      <c r="L55" s="612" t="s">
        <v>296</v>
      </c>
      <c r="M55" s="613"/>
      <c r="N55" s="178"/>
    </row>
    <row r="56" spans="2:18" ht="14.25" customHeight="1">
      <c r="B56" s="358">
        <f>'Actividades de construcción'!B55</f>
        <v>8.5</v>
      </c>
      <c r="C56" s="369" t="str">
        <f>'Actividades de construcción'!C55</f>
        <v xml:space="preserve">Ventana tipo corredera de 4 hojas en aluminio, incluye instalación </v>
      </c>
      <c r="D56" s="235" t="str">
        <f>'Actividades de construcción'!D55</f>
        <v>UND</v>
      </c>
      <c r="E56" s="247">
        <v>1</v>
      </c>
      <c r="F56" s="247">
        <v>0</v>
      </c>
      <c r="G56" s="247">
        <v>0</v>
      </c>
      <c r="H56" s="237">
        <f t="shared" si="8"/>
        <v>1</v>
      </c>
      <c r="I56" s="236">
        <v>2</v>
      </c>
      <c r="J56" s="250">
        <v>0</v>
      </c>
      <c r="K56" s="239">
        <f t="shared" si="9"/>
        <v>2</v>
      </c>
      <c r="L56" s="633"/>
      <c r="M56" s="613"/>
      <c r="N56" s="178"/>
      <c r="R56" s="320"/>
    </row>
    <row r="57" spans="2:18" ht="14.25" customHeight="1">
      <c r="B57" s="358">
        <f>'Actividades de construcción'!B56</f>
        <v>8.6</v>
      </c>
      <c r="C57" s="361" t="str">
        <f>'Actividades de construcción'!C56</f>
        <v xml:space="preserve">Pasamano tipo barandal para balcon en acero inoxidable, incluye instalación </v>
      </c>
      <c r="D57" s="235" t="str">
        <f>'Actividades de construcción'!D56</f>
        <v>ML</v>
      </c>
      <c r="E57" s="247">
        <v>5</v>
      </c>
      <c r="F57" s="247">
        <v>5</v>
      </c>
      <c r="G57" s="247">
        <v>0</v>
      </c>
      <c r="H57" s="237">
        <f t="shared" si="8"/>
        <v>10</v>
      </c>
      <c r="I57" s="236">
        <v>1</v>
      </c>
      <c r="J57" s="250">
        <v>0</v>
      </c>
      <c r="K57" s="239">
        <f t="shared" si="9"/>
        <v>10</v>
      </c>
      <c r="L57" s="612" t="s">
        <v>295</v>
      </c>
      <c r="M57" s="613"/>
      <c r="N57" s="178"/>
    </row>
    <row r="58" spans="2:18" s="398" customFormat="1" ht="14.25" customHeight="1">
      <c r="B58" s="358">
        <f>'Actividades de construcción'!B57</f>
        <v>8.6999999999999993</v>
      </c>
      <c r="C58" s="361" t="str">
        <f>'Actividades de construcción'!C57</f>
        <v>Estructura metalica de cubierta, perfiles A500 Grado C para cercha</v>
      </c>
      <c r="D58" s="235" t="str">
        <f>'Actividades de construcción'!D57</f>
        <v>ML</v>
      </c>
      <c r="E58" s="247">
        <v>155.82</v>
      </c>
      <c r="F58" s="247">
        <v>33.04</v>
      </c>
      <c r="G58" s="247">
        <v>0</v>
      </c>
      <c r="H58" s="237">
        <f>E58+F58+G58</f>
        <v>188.85999999999999</v>
      </c>
      <c r="I58" s="236">
        <v>1</v>
      </c>
      <c r="J58" s="250">
        <v>0</v>
      </c>
      <c r="K58" s="239">
        <f>(H58*I58)+(H58*J58)</f>
        <v>188.85999999999999</v>
      </c>
      <c r="L58" s="612" t="s">
        <v>351</v>
      </c>
      <c r="M58" s="613"/>
      <c r="N58" s="178"/>
    </row>
    <row r="59" spans="2:18" ht="14.25" customHeight="1">
      <c r="B59" s="358">
        <f>'Actividades de construcción'!B58</f>
        <v>8.8000000000000007</v>
      </c>
      <c r="C59" s="361" t="str">
        <f>'Actividades de construcción'!C58</f>
        <v>Estructura metalica de cubierta, correas perfil C (espesor 1.5 mm)</v>
      </c>
      <c r="D59" s="235" t="str">
        <f>'Actividades de construcción'!D58</f>
        <v>ML</v>
      </c>
      <c r="E59" s="247">
        <v>240</v>
      </c>
      <c r="F59" s="247">
        <v>0</v>
      </c>
      <c r="G59" s="247">
        <v>0</v>
      </c>
      <c r="H59" s="237">
        <f t="shared" si="8"/>
        <v>240</v>
      </c>
      <c r="I59" s="236">
        <v>1</v>
      </c>
      <c r="J59" s="250">
        <v>0</v>
      </c>
      <c r="K59" s="239">
        <f t="shared" si="9"/>
        <v>240</v>
      </c>
      <c r="L59" s="612" t="s">
        <v>343</v>
      </c>
      <c r="M59" s="613"/>
      <c r="N59" s="178"/>
    </row>
    <row r="60" spans="2:18" ht="14.25" customHeight="1">
      <c r="B60" s="358">
        <f>'Actividades de construcción'!B59</f>
        <v>8.9</v>
      </c>
      <c r="C60" s="361" t="str">
        <f>'Actividades de construcción'!C59</f>
        <v xml:space="preserve">Cubierta de teja de fibro cemento ondulada perfil 7, inc instalación </v>
      </c>
      <c r="D60" s="235" t="str">
        <f>'Actividades de construcción'!D59</f>
        <v>M2</v>
      </c>
      <c r="E60" s="247">
        <v>220</v>
      </c>
      <c r="F60" s="247">
        <v>0</v>
      </c>
      <c r="G60" s="247">
        <v>0</v>
      </c>
      <c r="H60" s="237">
        <f t="shared" si="8"/>
        <v>220</v>
      </c>
      <c r="I60" s="236">
        <v>1</v>
      </c>
      <c r="J60" s="250">
        <v>0</v>
      </c>
      <c r="K60" s="239">
        <f t="shared" si="9"/>
        <v>220</v>
      </c>
      <c r="L60" s="624" t="s">
        <v>347</v>
      </c>
      <c r="M60" s="613"/>
      <c r="N60" s="178"/>
    </row>
    <row r="61" spans="2:18" ht="14.25" customHeight="1" thickBot="1">
      <c r="B61" s="458">
        <f>'Actividades de construcción'!B60</f>
        <v>8.1</v>
      </c>
      <c r="C61" s="362" t="str">
        <f>'Actividades de construcción'!C60</f>
        <v xml:space="preserve">Canales y bajantes, incluye instalación </v>
      </c>
      <c r="D61" s="240" t="str">
        <f>'Actividades de construcción'!D60</f>
        <v>ML</v>
      </c>
      <c r="E61" s="248">
        <v>60</v>
      </c>
      <c r="F61" s="248">
        <v>0</v>
      </c>
      <c r="G61" s="248">
        <v>0</v>
      </c>
      <c r="H61" s="237">
        <f t="shared" si="8"/>
        <v>60</v>
      </c>
      <c r="I61" s="241">
        <v>1</v>
      </c>
      <c r="J61" s="251">
        <v>0</v>
      </c>
      <c r="K61" s="244">
        <f t="shared" si="9"/>
        <v>60</v>
      </c>
      <c r="L61" s="608"/>
      <c r="M61" s="609"/>
      <c r="N61" s="178"/>
    </row>
    <row r="62" spans="2:18" ht="14.25" customHeight="1" thickBot="1">
      <c r="B62" s="358">
        <f>'Actividades de construcción'!B61</f>
        <v>9</v>
      </c>
      <c r="C62" s="614" t="str">
        <f>'Actividades de construcción'!C61</f>
        <v>APARATOS SANITARIOS</v>
      </c>
      <c r="D62" s="615"/>
      <c r="E62" s="615"/>
      <c r="F62" s="615"/>
      <c r="G62" s="615"/>
      <c r="H62" s="615"/>
      <c r="I62" s="615"/>
      <c r="J62" s="615"/>
      <c r="K62" s="615"/>
      <c r="L62" s="615"/>
      <c r="M62" s="616"/>
      <c r="N62" s="178"/>
    </row>
    <row r="63" spans="2:18" ht="14.25" customHeight="1">
      <c r="B63" s="358">
        <f>'Actividades de construcción'!B62</f>
        <v>9.1</v>
      </c>
      <c r="C63" s="366" t="str">
        <f>'Actividades de construcción'!C62</f>
        <v>Taza y cisterna, incluye instalación y prueba</v>
      </c>
      <c r="D63" s="230" t="str">
        <f>'Actividades de construcción'!D62</f>
        <v>UND</v>
      </c>
      <c r="E63" s="246">
        <v>1</v>
      </c>
      <c r="F63" s="246">
        <v>0</v>
      </c>
      <c r="G63" s="246">
        <v>0</v>
      </c>
      <c r="H63" s="232">
        <f>E63+F63+G63</f>
        <v>1</v>
      </c>
      <c r="I63" s="231">
        <v>9</v>
      </c>
      <c r="J63" s="249">
        <v>0</v>
      </c>
      <c r="K63" s="234">
        <f>(H63*I63)+(H63*J63)</f>
        <v>9</v>
      </c>
      <c r="L63" s="628"/>
      <c r="M63" s="611"/>
      <c r="N63" s="178"/>
    </row>
    <row r="64" spans="2:18" ht="14.25" customHeight="1">
      <c r="B64" s="358">
        <f>'Actividades de construcción'!B63</f>
        <v>9.1999999999999993</v>
      </c>
      <c r="C64" s="367" t="str">
        <f>'Actividades de construcción'!C63</f>
        <v>Lavamanos con pedestal blanco, incluye griferia, (incluye instalación y prueba)</v>
      </c>
      <c r="D64" s="235" t="str">
        <f>'Actividades de construcción'!D63</f>
        <v>UND</v>
      </c>
      <c r="E64" s="247">
        <v>1</v>
      </c>
      <c r="F64" s="247">
        <v>0</v>
      </c>
      <c r="G64" s="247">
        <v>0</v>
      </c>
      <c r="H64" s="237">
        <f>E64+F64+G64</f>
        <v>1</v>
      </c>
      <c r="I64" s="236">
        <v>3</v>
      </c>
      <c r="J64" s="250">
        <v>0</v>
      </c>
      <c r="K64" s="239">
        <f>(H64*I64)+(H64*J64)</f>
        <v>3</v>
      </c>
      <c r="L64" s="612" t="s">
        <v>297</v>
      </c>
      <c r="M64" s="613"/>
      <c r="N64" s="178"/>
    </row>
    <row r="65" spans="2:14" ht="14.25" customHeight="1">
      <c r="B65" s="358">
        <f>'Actividades de construcción'!B64</f>
        <v>9.3000000000000007</v>
      </c>
      <c r="C65" s="361" t="str">
        <f>'Actividades de construcción'!C64</f>
        <v>Lavamanos dobles, incluye griferia, (incluye instalación y prueba)</v>
      </c>
      <c r="D65" s="235" t="str">
        <f>'Actividades de construcción'!D64</f>
        <v>UND</v>
      </c>
      <c r="E65" s="247">
        <v>1</v>
      </c>
      <c r="F65" s="247">
        <v>0</v>
      </c>
      <c r="G65" s="247">
        <v>0</v>
      </c>
      <c r="H65" s="237">
        <f>E65+F65+G65</f>
        <v>1</v>
      </c>
      <c r="I65" s="236">
        <v>2</v>
      </c>
      <c r="J65" s="250">
        <v>0</v>
      </c>
      <c r="K65" s="239">
        <f>(H65*I65)+(H65*J65)</f>
        <v>2</v>
      </c>
      <c r="L65" s="612" t="s">
        <v>299</v>
      </c>
      <c r="M65" s="613"/>
      <c r="N65" s="178"/>
    </row>
    <row r="66" spans="2:14" ht="14.25" customHeight="1" thickBot="1">
      <c r="B66" s="358">
        <f>'Actividades de construcción'!B65</f>
        <v>9.4</v>
      </c>
      <c r="C66" s="361" t="str">
        <f>'Actividades de construcción'!C65</f>
        <v>Lavaplatos de insertar en el mesón de acero inoxidable, incluye griferia</v>
      </c>
      <c r="D66" s="235" t="str">
        <f>'Actividades de construcción'!D65</f>
        <v>UND</v>
      </c>
      <c r="E66" s="247">
        <v>1</v>
      </c>
      <c r="F66" s="247">
        <v>0</v>
      </c>
      <c r="G66" s="247">
        <v>0</v>
      </c>
      <c r="H66" s="237">
        <f>E66+F66+G66</f>
        <v>1</v>
      </c>
      <c r="I66" s="236">
        <v>1</v>
      </c>
      <c r="J66" s="250">
        <v>0</v>
      </c>
      <c r="K66" s="239">
        <f>(H66*I66)+(H66*J66)</f>
        <v>1</v>
      </c>
      <c r="L66" s="612" t="s">
        <v>301</v>
      </c>
      <c r="M66" s="613"/>
      <c r="N66" s="178"/>
    </row>
    <row r="67" spans="2:14" ht="14.25" customHeight="1" thickBot="1">
      <c r="B67" s="358">
        <f>'Actividades de construcción'!B66</f>
        <v>10</v>
      </c>
      <c r="C67" s="614" t="str">
        <f>'Actividades de construcción'!C66</f>
        <v>ACABADOS</v>
      </c>
      <c r="D67" s="615"/>
      <c r="E67" s="615"/>
      <c r="F67" s="615"/>
      <c r="G67" s="615"/>
      <c r="H67" s="615"/>
      <c r="I67" s="615"/>
      <c r="J67" s="615"/>
      <c r="K67" s="615"/>
      <c r="L67" s="615"/>
      <c r="M67" s="616"/>
      <c r="N67" s="178"/>
    </row>
    <row r="68" spans="2:14" s="316" customFormat="1" ht="14.25" customHeight="1">
      <c r="B68" s="358">
        <f>'Actividades de construcción'!B67</f>
        <v>10.1</v>
      </c>
      <c r="C68" s="366" t="str">
        <f>'Actividades de construcción'!C67</f>
        <v>Espejo para el baño, incluye instalación (120x70 cm)</v>
      </c>
      <c r="D68" s="230" t="str">
        <f>'Actividades de construcción'!D67</f>
        <v>UND</v>
      </c>
      <c r="E68" s="230">
        <v>1</v>
      </c>
      <c r="F68" s="230">
        <v>0</v>
      </c>
      <c r="G68" s="230">
        <v>0</v>
      </c>
      <c r="H68" s="232">
        <f t="shared" ref="H68:H76" si="10">E68+F68+G68</f>
        <v>1</v>
      </c>
      <c r="I68" s="231">
        <v>2</v>
      </c>
      <c r="J68" s="249">
        <v>0</v>
      </c>
      <c r="K68" s="234">
        <f t="shared" ref="K68:K76" si="11">(H68*I68)+(H68*J68)</f>
        <v>2</v>
      </c>
      <c r="L68" s="624"/>
      <c r="M68" s="636"/>
      <c r="N68" s="178"/>
    </row>
    <row r="69" spans="2:14" ht="14.25" customHeight="1">
      <c r="B69" s="358">
        <f>'Actividades de construcción'!B68</f>
        <v>10.199999999999999</v>
      </c>
      <c r="C69" s="366" t="str">
        <f>'Actividades de construcción'!C68</f>
        <v>Espejo para el baño, incluye instalación (75x70 cm)</v>
      </c>
      <c r="D69" s="230" t="str">
        <f>'Actividades de construcción'!D68</f>
        <v>UND</v>
      </c>
      <c r="E69" s="247">
        <v>1</v>
      </c>
      <c r="F69" s="247">
        <v>0</v>
      </c>
      <c r="G69" s="247">
        <v>0</v>
      </c>
      <c r="H69" s="237">
        <f t="shared" si="10"/>
        <v>1</v>
      </c>
      <c r="I69" s="236">
        <v>3</v>
      </c>
      <c r="J69" s="250">
        <v>0</v>
      </c>
      <c r="K69" s="239">
        <f t="shared" si="11"/>
        <v>3</v>
      </c>
      <c r="L69" s="612"/>
      <c r="M69" s="613"/>
      <c r="N69" s="178"/>
    </row>
    <row r="70" spans="2:14" ht="14.25" customHeight="1">
      <c r="B70" s="358">
        <f>'Actividades de construcción'!B69</f>
        <v>10.3</v>
      </c>
      <c r="C70" s="363" t="str">
        <f>'Actividades de construcción'!C69</f>
        <v>Pintura puertas en esmalte, incluye hoja y marco</v>
      </c>
      <c r="D70" s="230" t="str">
        <f>'Actividades de construcción'!D69</f>
        <v>UND</v>
      </c>
      <c r="E70" s="247">
        <v>1</v>
      </c>
      <c r="F70" s="247">
        <v>0</v>
      </c>
      <c r="G70" s="247">
        <v>0</v>
      </c>
      <c r="H70" s="237">
        <f t="shared" si="10"/>
        <v>1</v>
      </c>
      <c r="I70" s="236">
        <v>1</v>
      </c>
      <c r="J70" s="250">
        <v>0</v>
      </c>
      <c r="K70" s="239">
        <f t="shared" si="11"/>
        <v>1</v>
      </c>
      <c r="L70" s="612"/>
      <c r="M70" s="613"/>
      <c r="N70" s="178"/>
    </row>
    <row r="71" spans="2:14" ht="13.9" customHeight="1">
      <c r="B71" s="358">
        <f>'Actividades de construcción'!B70</f>
        <v>10.4</v>
      </c>
      <c r="C71" s="363" t="str">
        <f>'Actividades de construcción'!C70</f>
        <v>Pintura estructura metálica de cubierta</v>
      </c>
      <c r="D71" s="230" t="str">
        <f>'Actividades de construcción'!D70</f>
        <v>ML</v>
      </c>
      <c r="E71" s="235">
        <f>E58</f>
        <v>155.82</v>
      </c>
      <c r="F71" s="247">
        <f>F58</f>
        <v>33.04</v>
      </c>
      <c r="G71" s="247">
        <v>0</v>
      </c>
      <c r="H71" s="237">
        <f t="shared" si="10"/>
        <v>188.85999999999999</v>
      </c>
      <c r="I71" s="236">
        <v>1</v>
      </c>
      <c r="J71" s="250">
        <v>0</v>
      </c>
      <c r="K71" s="239">
        <f t="shared" si="11"/>
        <v>188.85999999999999</v>
      </c>
      <c r="L71" s="612" t="s">
        <v>389</v>
      </c>
      <c r="M71" s="613"/>
      <c r="N71" s="178"/>
    </row>
    <row r="72" spans="2:14" ht="13.9" customHeight="1">
      <c r="B72" s="358">
        <f>'Actividades de construcción'!B71</f>
        <v>10.5</v>
      </c>
      <c r="C72" s="363" t="str">
        <f>'Actividades de construcción'!C71</f>
        <v>Pintura fachada en vinilo para exteriores</v>
      </c>
      <c r="D72" s="230" t="str">
        <f>'Actividades de construcción'!D71</f>
        <v>M2</v>
      </c>
      <c r="E72" s="247">
        <f>E38</f>
        <v>144.18</v>
      </c>
      <c r="F72" s="247">
        <f>F38</f>
        <v>82.080000000000013</v>
      </c>
      <c r="G72" s="247">
        <v>0</v>
      </c>
      <c r="H72" s="237">
        <f t="shared" si="10"/>
        <v>226.26000000000002</v>
      </c>
      <c r="I72" s="236">
        <v>1</v>
      </c>
      <c r="J72" s="250">
        <v>0</v>
      </c>
      <c r="K72" s="239">
        <f t="shared" si="11"/>
        <v>226.26000000000002</v>
      </c>
      <c r="L72" s="612" t="s">
        <v>390</v>
      </c>
      <c r="M72" s="613"/>
      <c r="N72" s="178"/>
    </row>
    <row r="73" spans="2:14" s="323" customFormat="1" ht="14.25" customHeight="1">
      <c r="B73" s="358">
        <f>'Actividades de construcción'!B72</f>
        <v>10.6</v>
      </c>
      <c r="C73" s="363" t="str">
        <f>'Actividades de construcción'!C72</f>
        <v>Pintura en vinilo para interiores, 3 manos</v>
      </c>
      <c r="D73" s="230" t="str">
        <f>'Actividades de construcción'!D72</f>
        <v>M2</v>
      </c>
      <c r="E73" s="247">
        <f>G38</f>
        <v>145.375</v>
      </c>
      <c r="F73" s="247">
        <v>0</v>
      </c>
      <c r="G73" s="247">
        <v>0</v>
      </c>
      <c r="H73" s="237">
        <f>F73+G73+E73</f>
        <v>145.375</v>
      </c>
      <c r="I73" s="236">
        <v>1</v>
      </c>
      <c r="J73" s="250">
        <v>0</v>
      </c>
      <c r="K73" s="239">
        <f>(H73*I73)+(H73*J73)</f>
        <v>145.375</v>
      </c>
      <c r="L73" s="612" t="s">
        <v>391</v>
      </c>
      <c r="M73" s="613"/>
      <c r="N73" s="178"/>
    </row>
    <row r="74" spans="2:14" ht="14.25" customHeight="1">
      <c r="B74" s="358">
        <f>'Actividades de construcción'!B73</f>
        <v>10.7</v>
      </c>
      <c r="C74" s="366" t="str">
        <f>'Actividades de construcción'!C73</f>
        <v>Aseo grueso y diario</v>
      </c>
      <c r="D74" s="230" t="str">
        <f>'Actividades de construcción'!D73</f>
        <v>GB</v>
      </c>
      <c r="E74" s="247">
        <v>1</v>
      </c>
      <c r="F74" s="247">
        <v>0</v>
      </c>
      <c r="G74" s="247">
        <v>0</v>
      </c>
      <c r="H74" s="237">
        <f t="shared" si="10"/>
        <v>1</v>
      </c>
      <c r="I74" s="236">
        <v>1</v>
      </c>
      <c r="J74" s="250">
        <v>0</v>
      </c>
      <c r="K74" s="239">
        <f t="shared" si="11"/>
        <v>1</v>
      </c>
      <c r="L74" s="612"/>
      <c r="M74" s="613"/>
      <c r="N74" s="178"/>
    </row>
    <row r="75" spans="2:14" ht="14.25" customHeight="1">
      <c r="B75" s="358">
        <f>'Actividades de construcción'!B74</f>
        <v>10.8</v>
      </c>
      <c r="C75" s="366" t="str">
        <f>'Actividades de construcción'!C74</f>
        <v>Aseo fino para entrega de la obra</v>
      </c>
      <c r="D75" s="230" t="str">
        <f>'Actividades de construcción'!D74</f>
        <v>GB</v>
      </c>
      <c r="E75" s="247">
        <v>1</v>
      </c>
      <c r="F75" s="247">
        <v>0</v>
      </c>
      <c r="G75" s="247">
        <v>0</v>
      </c>
      <c r="H75" s="237">
        <f t="shared" si="10"/>
        <v>1</v>
      </c>
      <c r="I75" s="236">
        <v>1</v>
      </c>
      <c r="J75" s="250">
        <v>0</v>
      </c>
      <c r="K75" s="239">
        <f t="shared" si="11"/>
        <v>1</v>
      </c>
      <c r="L75" s="612"/>
      <c r="M75" s="613"/>
      <c r="N75" s="178"/>
    </row>
    <row r="76" spans="2:14" ht="14.25" customHeight="1" thickBot="1">
      <c r="B76" s="401">
        <f>'Actividades de construcción'!B75</f>
        <v>10.9</v>
      </c>
      <c r="C76" s="370" t="str">
        <f>'Actividades de construcción'!C75</f>
        <v>Manual de mantenimiento del salon comunal</v>
      </c>
      <c r="D76" s="371" t="str">
        <f>'Actividades de construcción'!D75</f>
        <v>GB</v>
      </c>
      <c r="E76" s="252">
        <v>1</v>
      </c>
      <c r="F76" s="252">
        <v>0</v>
      </c>
      <c r="G76" s="252">
        <v>0</v>
      </c>
      <c r="H76" s="253">
        <f t="shared" si="10"/>
        <v>1</v>
      </c>
      <c r="I76" s="254">
        <v>1</v>
      </c>
      <c r="J76" s="255">
        <v>0</v>
      </c>
      <c r="K76" s="256">
        <f t="shared" si="11"/>
        <v>1</v>
      </c>
      <c r="L76" s="634"/>
      <c r="M76" s="635"/>
      <c r="N76" s="178"/>
    </row>
    <row r="77" spans="2:14" ht="14.25" customHeight="1">
      <c r="B77" s="488"/>
      <c r="C77" s="270"/>
      <c r="D77" s="257"/>
      <c r="E77" s="257"/>
      <c r="F77" s="257"/>
      <c r="G77" s="257"/>
      <c r="H77" s="257"/>
      <c r="I77" s="257"/>
      <c r="J77" s="257"/>
      <c r="K77" s="257"/>
      <c r="L77" s="257"/>
      <c r="M77" s="257"/>
    </row>
    <row r="78" spans="2:14" ht="14.25" customHeight="1">
      <c r="B78" s="488"/>
      <c r="C78" s="270"/>
      <c r="D78" s="257"/>
      <c r="E78" s="257"/>
      <c r="F78" s="257"/>
      <c r="G78" s="257"/>
      <c r="H78" s="257"/>
      <c r="I78" s="257"/>
      <c r="J78" s="257"/>
      <c r="K78" s="257"/>
      <c r="L78" s="257"/>
      <c r="M78" s="257"/>
    </row>
    <row r="79" spans="2:14" ht="14.25" customHeight="1">
      <c r="B79" s="271"/>
      <c r="C79" s="270"/>
      <c r="D79" s="257"/>
      <c r="E79" s="257"/>
      <c r="F79" s="257"/>
      <c r="G79" s="257"/>
      <c r="H79" s="257"/>
      <c r="I79" s="257"/>
      <c r="J79" s="257"/>
      <c r="K79" s="257"/>
      <c r="L79" s="257"/>
      <c r="M79" s="257"/>
    </row>
    <row r="80" spans="2:14" ht="14.25" customHeight="1">
      <c r="B80" s="271"/>
      <c r="C80" s="270"/>
      <c r="D80" s="257"/>
      <c r="E80" s="257"/>
      <c r="F80" s="257"/>
      <c r="G80" s="257"/>
      <c r="H80" s="257"/>
      <c r="I80" s="257"/>
      <c r="J80" s="257"/>
      <c r="K80" s="257"/>
      <c r="L80" s="257"/>
      <c r="M80" s="257"/>
    </row>
    <row r="81" spans="2:13" ht="14.25" customHeight="1">
      <c r="B81" s="271"/>
      <c r="C81" s="270"/>
      <c r="D81" s="257"/>
      <c r="E81" s="257"/>
      <c r="F81" s="257"/>
      <c r="G81" s="257"/>
      <c r="H81" s="257"/>
      <c r="I81" s="257"/>
      <c r="J81" s="257"/>
      <c r="K81" s="257"/>
      <c r="L81" s="257"/>
      <c r="M81" s="257"/>
    </row>
    <row r="82" spans="2:13" ht="14.25" customHeight="1">
      <c r="B82" s="271"/>
      <c r="C82" s="270"/>
      <c r="D82" s="257"/>
      <c r="E82" s="257"/>
      <c r="F82" s="257"/>
      <c r="G82" s="257"/>
      <c r="H82" s="257"/>
      <c r="I82" s="257"/>
      <c r="J82" s="257"/>
      <c r="K82" s="257"/>
      <c r="L82" s="257"/>
      <c r="M82" s="257"/>
    </row>
    <row r="83" spans="2:13" ht="14.25" customHeight="1">
      <c r="B83" s="271"/>
      <c r="C83" s="270"/>
      <c r="D83" s="257"/>
      <c r="E83" s="257"/>
      <c r="F83" s="257"/>
      <c r="G83" s="257"/>
      <c r="H83" s="257"/>
      <c r="I83" s="257"/>
      <c r="J83" s="257"/>
      <c r="K83" s="257"/>
      <c r="L83" s="257"/>
      <c r="M83" s="257"/>
    </row>
    <row r="84" spans="2:13" ht="14.25" customHeight="1">
      <c r="B84" s="271"/>
      <c r="C84" s="270"/>
      <c r="D84" s="257"/>
      <c r="E84" s="257"/>
      <c r="F84" s="257"/>
      <c r="G84" s="257"/>
      <c r="H84" s="257"/>
      <c r="I84" s="257"/>
      <c r="J84" s="257"/>
      <c r="K84" s="257"/>
      <c r="L84" s="257"/>
      <c r="M84" s="257"/>
    </row>
    <row r="85" spans="2:13" ht="14.25" customHeight="1">
      <c r="B85" s="271"/>
      <c r="C85" s="270"/>
      <c r="D85" s="257"/>
      <c r="E85" s="257"/>
      <c r="F85" s="257"/>
      <c r="G85" s="257"/>
      <c r="H85" s="257"/>
      <c r="I85" s="257"/>
      <c r="J85" s="257"/>
      <c r="K85" s="257"/>
      <c r="L85" s="257"/>
      <c r="M85" s="257"/>
    </row>
    <row r="86" spans="2:13" ht="14.25" customHeight="1">
      <c r="B86" s="271"/>
      <c r="C86" s="270"/>
      <c r="D86" s="257"/>
      <c r="E86" s="257"/>
      <c r="F86" s="257"/>
      <c r="G86" s="257"/>
      <c r="H86" s="257"/>
      <c r="I86" s="257"/>
      <c r="J86" s="257"/>
      <c r="K86" s="257"/>
      <c r="L86" s="257"/>
      <c r="M86" s="257"/>
    </row>
    <row r="87" spans="2:13" ht="14.25" customHeight="1">
      <c r="B87" s="271"/>
      <c r="C87" s="270"/>
      <c r="D87" s="257"/>
      <c r="E87" s="257"/>
      <c r="F87" s="257"/>
      <c r="G87" s="257"/>
      <c r="H87" s="257"/>
      <c r="I87" s="257"/>
      <c r="J87" s="257"/>
      <c r="K87" s="257"/>
      <c r="L87" s="257"/>
      <c r="M87" s="257"/>
    </row>
    <row r="88" spans="2:13" ht="14.25" customHeight="1">
      <c r="B88" s="271"/>
      <c r="C88" s="270"/>
      <c r="D88" s="257"/>
      <c r="E88" s="257"/>
      <c r="F88" s="257"/>
      <c r="G88" s="257"/>
      <c r="H88" s="257"/>
      <c r="I88" s="257"/>
      <c r="J88" s="257"/>
      <c r="K88" s="257"/>
      <c r="L88" s="257"/>
      <c r="M88" s="257"/>
    </row>
    <row r="89" spans="2:13" ht="14.25" customHeight="1">
      <c r="B89" s="271"/>
      <c r="C89" s="270"/>
      <c r="D89" s="257"/>
      <c r="E89" s="257"/>
      <c r="F89" s="257"/>
      <c r="G89" s="257"/>
      <c r="H89" s="257"/>
      <c r="I89" s="257"/>
      <c r="J89" s="257"/>
      <c r="K89" s="257"/>
      <c r="L89" s="257"/>
      <c r="M89" s="257"/>
    </row>
    <row r="90" spans="2:13" ht="14.25" customHeight="1">
      <c r="B90" s="271"/>
      <c r="C90" s="270"/>
      <c r="D90" s="257"/>
      <c r="E90" s="257"/>
      <c r="F90" s="257"/>
      <c r="G90" s="257"/>
      <c r="H90" s="257"/>
      <c r="I90" s="257"/>
      <c r="J90" s="257"/>
      <c r="K90" s="257"/>
      <c r="L90" s="257"/>
      <c r="M90" s="257"/>
    </row>
    <row r="91" spans="2:13" ht="14.25" customHeight="1">
      <c r="B91" s="271"/>
      <c r="C91" s="270"/>
      <c r="D91" s="257"/>
      <c r="E91" s="257"/>
      <c r="F91" s="257"/>
      <c r="G91" s="257"/>
      <c r="H91" s="257"/>
      <c r="I91" s="257"/>
      <c r="J91" s="257"/>
      <c r="K91" s="257"/>
      <c r="L91" s="257"/>
      <c r="M91" s="257"/>
    </row>
    <row r="92" spans="2:13" ht="14.25" customHeight="1">
      <c r="B92" s="271"/>
      <c r="C92" s="270"/>
      <c r="D92" s="257"/>
      <c r="E92" s="257"/>
      <c r="F92" s="257"/>
      <c r="G92" s="257"/>
      <c r="H92" s="257"/>
      <c r="I92" s="257"/>
      <c r="J92" s="257"/>
      <c r="K92" s="257"/>
      <c r="L92" s="257"/>
      <c r="M92" s="257"/>
    </row>
    <row r="93" spans="2:13" ht="14.25" customHeight="1">
      <c r="B93" s="271"/>
      <c r="C93" s="270"/>
      <c r="D93" s="257"/>
      <c r="E93" s="257"/>
      <c r="F93" s="257"/>
      <c r="G93" s="257"/>
      <c r="H93" s="257"/>
      <c r="I93" s="257"/>
      <c r="J93" s="257"/>
      <c r="K93" s="257"/>
      <c r="L93" s="257"/>
      <c r="M93" s="257"/>
    </row>
    <row r="94" spans="2:13" ht="14.25" customHeight="1">
      <c r="B94" s="271"/>
      <c r="C94" s="270"/>
      <c r="D94" s="257"/>
      <c r="E94" s="257"/>
      <c r="F94" s="257"/>
      <c r="G94" s="257"/>
      <c r="H94" s="257"/>
      <c r="I94" s="257"/>
      <c r="J94" s="257"/>
      <c r="K94" s="257"/>
      <c r="L94" s="257"/>
      <c r="M94" s="257"/>
    </row>
    <row r="95" spans="2:13" ht="14.25" customHeight="1">
      <c r="B95" s="271"/>
      <c r="C95" s="270"/>
      <c r="D95" s="257"/>
      <c r="E95" s="257"/>
      <c r="F95" s="257"/>
      <c r="G95" s="257"/>
      <c r="H95" s="257"/>
      <c r="I95" s="257"/>
      <c r="J95" s="257"/>
      <c r="K95" s="257"/>
      <c r="L95" s="257"/>
      <c r="M95" s="257"/>
    </row>
    <row r="96" spans="2:13" ht="14.25" customHeight="1">
      <c r="B96" s="271"/>
      <c r="C96" s="270"/>
      <c r="D96" s="257"/>
      <c r="E96" s="257"/>
      <c r="F96" s="257"/>
      <c r="G96" s="257"/>
      <c r="H96" s="257"/>
      <c r="I96" s="257"/>
      <c r="J96" s="257"/>
      <c r="K96" s="257"/>
      <c r="L96" s="257"/>
      <c r="M96" s="257"/>
    </row>
    <row r="97" spans="2:13" ht="14.25" customHeight="1">
      <c r="B97" s="271"/>
      <c r="C97" s="270"/>
      <c r="D97" s="257"/>
      <c r="E97" s="257"/>
      <c r="F97" s="257"/>
      <c r="G97" s="257"/>
      <c r="H97" s="257"/>
      <c r="I97" s="257"/>
      <c r="J97" s="257"/>
      <c r="K97" s="257"/>
      <c r="L97" s="257"/>
      <c r="M97" s="257"/>
    </row>
    <row r="98" spans="2:13" ht="14.25" customHeight="1">
      <c r="B98" s="271"/>
      <c r="C98" s="270"/>
      <c r="D98" s="257"/>
      <c r="E98" s="257"/>
      <c r="F98" s="257"/>
      <c r="G98" s="257"/>
      <c r="H98" s="257"/>
      <c r="I98" s="257"/>
      <c r="J98" s="257"/>
      <c r="K98" s="257"/>
      <c r="L98" s="257"/>
      <c r="M98" s="257"/>
    </row>
    <row r="99" spans="2:13" ht="14.25" customHeight="1">
      <c r="B99" s="271"/>
      <c r="C99" s="270"/>
      <c r="D99" s="257"/>
      <c r="E99" s="257"/>
      <c r="F99" s="257"/>
      <c r="G99" s="257"/>
      <c r="H99" s="257"/>
      <c r="I99" s="257"/>
      <c r="J99" s="257"/>
      <c r="K99" s="257"/>
      <c r="L99" s="257"/>
      <c r="M99" s="257"/>
    </row>
    <row r="100" spans="2:13" ht="14.25" customHeight="1">
      <c r="B100" s="271"/>
      <c r="C100" s="270"/>
      <c r="D100" s="271"/>
      <c r="E100" s="257"/>
      <c r="F100" s="257"/>
      <c r="G100" s="257"/>
      <c r="H100" s="257"/>
      <c r="I100" s="257"/>
      <c r="J100" s="257"/>
      <c r="K100" s="257"/>
      <c r="L100" s="257"/>
      <c r="M100" s="257"/>
    </row>
    <row r="101" spans="2:13" ht="14.25" customHeight="1">
      <c r="B101" s="271"/>
      <c r="C101" s="270"/>
      <c r="D101" s="271"/>
      <c r="E101" s="257"/>
      <c r="F101" s="257"/>
      <c r="G101" s="257"/>
      <c r="H101" s="257"/>
      <c r="I101" s="257"/>
      <c r="J101" s="257"/>
      <c r="K101" s="257"/>
      <c r="L101" s="257"/>
      <c r="M101" s="257"/>
    </row>
    <row r="102" spans="2:13" ht="14.25" customHeight="1">
      <c r="B102" s="271"/>
      <c r="C102" s="270"/>
      <c r="D102" s="271"/>
      <c r="E102" s="257"/>
      <c r="F102" s="257"/>
      <c r="G102" s="257"/>
      <c r="H102" s="257"/>
      <c r="I102" s="257"/>
      <c r="J102" s="257"/>
      <c r="K102" s="257"/>
      <c r="L102" s="257"/>
      <c r="M102" s="257"/>
    </row>
    <row r="103" spans="2:13" ht="14.25" customHeight="1">
      <c r="B103" s="271"/>
      <c r="C103" s="270"/>
      <c r="D103" s="271"/>
      <c r="E103" s="257"/>
      <c r="F103" s="257"/>
      <c r="G103" s="257"/>
      <c r="H103" s="257"/>
      <c r="I103" s="257"/>
      <c r="J103" s="257"/>
      <c r="K103" s="257"/>
      <c r="L103" s="257"/>
      <c r="M103" s="257"/>
    </row>
    <row r="104" spans="2:13" ht="14.25" customHeight="1">
      <c r="B104" s="271"/>
      <c r="C104" s="270"/>
      <c r="D104" s="271"/>
      <c r="E104" s="257"/>
      <c r="F104" s="257"/>
      <c r="G104" s="257"/>
      <c r="H104" s="257"/>
      <c r="I104" s="257"/>
      <c r="J104" s="257"/>
      <c r="K104" s="257"/>
      <c r="L104" s="257"/>
      <c r="M104" s="257"/>
    </row>
    <row r="105" spans="2:13" ht="14.25" customHeight="1">
      <c r="B105" s="271"/>
      <c r="C105" s="270"/>
      <c r="D105" s="271"/>
      <c r="E105" s="257"/>
      <c r="F105" s="257"/>
      <c r="G105" s="257"/>
      <c r="H105" s="257"/>
      <c r="I105" s="257"/>
      <c r="J105" s="257"/>
      <c r="K105" s="257"/>
      <c r="L105" s="257"/>
      <c r="M105" s="257"/>
    </row>
    <row r="106" spans="2:13" ht="14.25" customHeight="1">
      <c r="B106" s="271"/>
      <c r="C106" s="270"/>
      <c r="D106" s="271"/>
      <c r="E106" s="257"/>
      <c r="F106" s="257"/>
      <c r="G106" s="257"/>
      <c r="H106" s="257"/>
      <c r="I106" s="257"/>
      <c r="J106" s="257"/>
      <c r="K106" s="257"/>
      <c r="L106" s="257"/>
      <c r="M106" s="257"/>
    </row>
    <row r="107" spans="2:13" ht="14.25" customHeight="1">
      <c r="B107" s="271"/>
      <c r="C107" s="270"/>
      <c r="D107" s="271"/>
      <c r="E107" s="257"/>
      <c r="F107" s="257"/>
      <c r="G107" s="257"/>
      <c r="H107" s="257"/>
      <c r="I107" s="257"/>
      <c r="J107" s="257"/>
      <c r="K107" s="257"/>
      <c r="L107" s="257"/>
      <c r="M107" s="257"/>
    </row>
    <row r="108" spans="2:13" ht="14.25" customHeight="1">
      <c r="B108" s="271"/>
      <c r="C108" s="270"/>
      <c r="D108" s="271"/>
      <c r="E108" s="257"/>
      <c r="F108" s="257"/>
      <c r="G108" s="257"/>
      <c r="H108" s="257"/>
      <c r="I108" s="257"/>
      <c r="J108" s="257"/>
      <c r="K108" s="257"/>
      <c r="L108" s="257"/>
      <c r="M108" s="257"/>
    </row>
    <row r="109" spans="2:13" ht="14.25" customHeight="1">
      <c r="B109" s="271"/>
      <c r="C109" s="270"/>
      <c r="D109" s="271"/>
      <c r="E109" s="257"/>
      <c r="F109" s="257"/>
      <c r="G109" s="257"/>
      <c r="H109" s="257"/>
      <c r="I109" s="257"/>
      <c r="J109" s="257"/>
      <c r="K109" s="257"/>
      <c r="L109" s="257"/>
      <c r="M109" s="257"/>
    </row>
    <row r="110" spans="2:13" ht="14.25" customHeight="1">
      <c r="B110" s="271"/>
      <c r="C110" s="270"/>
      <c r="D110" s="271"/>
      <c r="E110" s="257"/>
      <c r="F110" s="257"/>
      <c r="G110" s="257"/>
      <c r="H110" s="257"/>
      <c r="I110" s="257"/>
      <c r="J110" s="257"/>
      <c r="K110" s="257"/>
      <c r="L110" s="257"/>
      <c r="M110" s="257"/>
    </row>
    <row r="111" spans="2:13" ht="14.25" customHeight="1">
      <c r="B111" s="271"/>
      <c r="C111" s="270"/>
      <c r="D111" s="271"/>
      <c r="E111" s="257"/>
      <c r="F111" s="257"/>
      <c r="G111" s="257"/>
      <c r="H111" s="257"/>
      <c r="I111" s="257"/>
      <c r="J111" s="257"/>
      <c r="K111" s="257"/>
      <c r="L111" s="257"/>
      <c r="M111" s="257"/>
    </row>
    <row r="112" spans="2:13" ht="14.25" customHeight="1">
      <c r="B112" s="271"/>
      <c r="C112" s="270"/>
      <c r="D112" s="271"/>
      <c r="E112" s="257"/>
      <c r="F112" s="257"/>
      <c r="G112" s="257"/>
      <c r="H112" s="257"/>
      <c r="I112" s="257"/>
      <c r="J112" s="257"/>
      <c r="K112" s="257"/>
      <c r="L112" s="257"/>
      <c r="M112" s="257"/>
    </row>
    <row r="113" spans="2:13" ht="14.25" customHeight="1">
      <c r="B113" s="271"/>
      <c r="C113" s="270"/>
      <c r="D113" s="271"/>
      <c r="E113" s="257"/>
      <c r="F113" s="257"/>
      <c r="G113" s="257"/>
      <c r="H113" s="257"/>
      <c r="I113" s="257"/>
      <c r="J113" s="257"/>
      <c r="K113" s="257"/>
      <c r="L113" s="257"/>
      <c r="M113" s="257"/>
    </row>
    <row r="114" spans="2:13" ht="14.25" customHeight="1">
      <c r="B114" s="271"/>
      <c r="C114" s="270"/>
      <c r="D114" s="271"/>
      <c r="E114" s="257"/>
      <c r="F114" s="257"/>
      <c r="G114" s="257"/>
      <c r="H114" s="257"/>
      <c r="I114" s="257"/>
      <c r="J114" s="257"/>
      <c r="K114" s="257"/>
      <c r="L114" s="257"/>
      <c r="M114" s="257"/>
    </row>
    <row r="115" spans="2:13" ht="14.25" customHeight="1">
      <c r="B115" s="271"/>
      <c r="C115" s="270"/>
      <c r="D115" s="271"/>
      <c r="E115" s="257"/>
      <c r="F115" s="257"/>
      <c r="G115" s="257"/>
      <c r="H115" s="257"/>
      <c r="I115" s="257"/>
      <c r="J115" s="257"/>
      <c r="K115" s="257"/>
      <c r="L115" s="257"/>
      <c r="M115" s="257"/>
    </row>
    <row r="116" spans="2:13" ht="14.25" customHeight="1">
      <c r="B116" s="271"/>
      <c r="C116" s="270"/>
      <c r="D116" s="271"/>
      <c r="E116" s="257"/>
      <c r="F116" s="257"/>
      <c r="G116" s="257"/>
      <c r="H116" s="257"/>
      <c r="I116" s="257"/>
      <c r="J116" s="257"/>
      <c r="K116" s="257"/>
      <c r="L116" s="257"/>
      <c r="M116" s="257"/>
    </row>
    <row r="117" spans="2:13" ht="14.25" customHeight="1">
      <c r="B117" s="271"/>
      <c r="C117" s="270"/>
      <c r="D117" s="271"/>
      <c r="E117" s="257"/>
      <c r="F117" s="257"/>
      <c r="G117" s="257"/>
      <c r="H117" s="257"/>
      <c r="I117" s="257"/>
      <c r="J117" s="257"/>
      <c r="K117" s="257"/>
      <c r="L117" s="257"/>
      <c r="M117" s="257"/>
    </row>
    <row r="118" spans="2:13" ht="14.25" customHeight="1">
      <c r="B118" s="271"/>
      <c r="C118" s="270"/>
      <c r="D118" s="271"/>
      <c r="E118" s="257"/>
      <c r="F118" s="257"/>
      <c r="G118" s="257"/>
      <c r="H118" s="257"/>
      <c r="I118" s="257"/>
      <c r="J118" s="257"/>
      <c r="K118" s="257"/>
      <c r="L118" s="257"/>
      <c r="M118" s="257"/>
    </row>
    <row r="119" spans="2:13" ht="14.25" customHeight="1">
      <c r="B119" s="271"/>
      <c r="C119" s="270"/>
      <c r="D119" s="271"/>
      <c r="E119" s="257"/>
      <c r="F119" s="257"/>
      <c r="G119" s="257"/>
      <c r="H119" s="257"/>
      <c r="I119" s="257"/>
      <c r="J119" s="257"/>
      <c r="K119" s="257"/>
      <c r="L119" s="257"/>
      <c r="M119" s="257"/>
    </row>
    <row r="120" spans="2:13" ht="14.25" customHeight="1">
      <c r="B120" s="271"/>
      <c r="C120" s="270"/>
      <c r="D120" s="271"/>
      <c r="E120" s="257"/>
      <c r="F120" s="257"/>
      <c r="G120" s="257"/>
      <c r="H120" s="257"/>
      <c r="I120" s="257"/>
      <c r="J120" s="257"/>
      <c r="K120" s="257"/>
      <c r="L120" s="257"/>
      <c r="M120" s="257"/>
    </row>
    <row r="121" spans="2:13" ht="14.25" customHeight="1">
      <c r="B121" s="271"/>
      <c r="C121" s="270"/>
      <c r="D121" s="271"/>
      <c r="E121" s="257"/>
      <c r="F121" s="257"/>
      <c r="G121" s="257"/>
      <c r="H121" s="257"/>
      <c r="I121" s="257"/>
      <c r="J121" s="257"/>
      <c r="K121" s="257"/>
      <c r="L121" s="257"/>
      <c r="M121" s="257"/>
    </row>
    <row r="122" spans="2:13" ht="14.25" customHeight="1">
      <c r="B122" s="271"/>
      <c r="C122" s="270"/>
      <c r="D122" s="271"/>
      <c r="E122" s="257"/>
      <c r="F122" s="257"/>
      <c r="G122" s="257"/>
      <c r="H122" s="257"/>
      <c r="I122" s="257"/>
      <c r="J122" s="257"/>
      <c r="K122" s="257"/>
      <c r="L122" s="257"/>
      <c r="M122" s="257"/>
    </row>
    <row r="123" spans="2:13" ht="14.25" customHeight="1">
      <c r="B123" s="271"/>
      <c r="C123" s="270"/>
      <c r="D123" s="271"/>
      <c r="E123" s="257"/>
      <c r="F123" s="257"/>
      <c r="G123" s="257"/>
      <c r="H123" s="257"/>
      <c r="I123" s="257"/>
      <c r="J123" s="257"/>
      <c r="K123" s="257"/>
      <c r="L123" s="257"/>
      <c r="M123" s="257"/>
    </row>
    <row r="124" spans="2:13" ht="14.25" customHeight="1">
      <c r="B124" s="271"/>
      <c r="C124" s="270"/>
      <c r="D124" s="271"/>
      <c r="E124" s="257"/>
      <c r="F124" s="257"/>
      <c r="G124" s="257"/>
      <c r="H124" s="257"/>
      <c r="I124" s="257"/>
      <c r="J124" s="257"/>
      <c r="K124" s="257"/>
      <c r="L124" s="257"/>
      <c r="M124" s="257"/>
    </row>
    <row r="125" spans="2:13" ht="14.25" customHeight="1">
      <c r="B125" s="271"/>
      <c r="C125" s="270"/>
      <c r="D125" s="271"/>
      <c r="E125" s="257"/>
      <c r="F125" s="257"/>
      <c r="G125" s="257"/>
      <c r="H125" s="257"/>
      <c r="I125" s="257"/>
      <c r="J125" s="257"/>
      <c r="K125" s="257"/>
      <c r="L125" s="257"/>
      <c r="M125" s="257"/>
    </row>
    <row r="126" spans="2:13" ht="14.25" customHeight="1">
      <c r="B126" s="271"/>
      <c r="C126" s="270"/>
      <c r="D126" s="271"/>
      <c r="E126" s="257"/>
      <c r="F126" s="257"/>
      <c r="G126" s="257"/>
      <c r="H126" s="257"/>
      <c r="I126" s="257"/>
      <c r="J126" s="257"/>
      <c r="K126" s="257"/>
      <c r="L126" s="257"/>
      <c r="M126" s="257"/>
    </row>
    <row r="127" spans="2:13" ht="14.25" customHeight="1">
      <c r="B127" s="271"/>
      <c r="C127" s="270"/>
      <c r="D127" s="271"/>
      <c r="E127" s="257"/>
      <c r="F127" s="257"/>
      <c r="G127" s="257"/>
      <c r="H127" s="257"/>
      <c r="I127" s="257"/>
      <c r="J127" s="257"/>
      <c r="K127" s="257"/>
      <c r="L127" s="257"/>
      <c r="M127" s="257"/>
    </row>
    <row r="128" spans="2:13" ht="14.25" customHeight="1">
      <c r="B128" s="271"/>
      <c r="C128" s="270"/>
      <c r="D128" s="271"/>
      <c r="E128" s="257"/>
      <c r="F128" s="257"/>
      <c r="G128" s="257"/>
      <c r="H128" s="257"/>
      <c r="I128" s="257"/>
      <c r="J128" s="257"/>
      <c r="K128" s="257"/>
      <c r="L128" s="257"/>
      <c r="M128" s="257"/>
    </row>
    <row r="129" spans="2:13" ht="14.25" customHeight="1">
      <c r="B129" s="271"/>
      <c r="C129" s="270"/>
      <c r="D129" s="271"/>
      <c r="E129" s="257"/>
      <c r="F129" s="257"/>
      <c r="G129" s="257"/>
      <c r="H129" s="257"/>
      <c r="I129" s="257"/>
      <c r="J129" s="257"/>
      <c r="K129" s="257"/>
      <c r="L129" s="257"/>
      <c r="M129" s="257"/>
    </row>
    <row r="130" spans="2:13" ht="14.25" customHeight="1">
      <c r="B130" s="271"/>
      <c r="C130" s="270"/>
      <c r="D130" s="271"/>
      <c r="E130" s="257"/>
      <c r="F130" s="257"/>
      <c r="G130" s="257"/>
      <c r="H130" s="257"/>
      <c r="I130" s="257"/>
      <c r="J130" s="257"/>
      <c r="K130" s="257"/>
      <c r="L130" s="257"/>
      <c r="M130" s="257"/>
    </row>
    <row r="131" spans="2:13" ht="14.25" customHeight="1">
      <c r="B131" s="271"/>
      <c r="C131" s="270"/>
      <c r="D131" s="271"/>
      <c r="E131" s="257"/>
      <c r="F131" s="257"/>
      <c r="G131" s="257"/>
      <c r="H131" s="257"/>
      <c r="I131" s="257"/>
      <c r="J131" s="257"/>
      <c r="K131" s="257"/>
      <c r="L131" s="257"/>
      <c r="M131" s="257"/>
    </row>
    <row r="132" spans="2:13" ht="14.25" customHeight="1">
      <c r="B132" s="271"/>
      <c r="C132" s="270"/>
      <c r="D132" s="271"/>
      <c r="E132" s="257"/>
      <c r="F132" s="257"/>
      <c r="G132" s="257"/>
      <c r="H132" s="257"/>
      <c r="I132" s="257"/>
      <c r="J132" s="257"/>
      <c r="K132" s="257"/>
      <c r="L132" s="257"/>
      <c r="M132" s="257"/>
    </row>
    <row r="133" spans="2:13" ht="14.25" customHeight="1">
      <c r="B133" s="271"/>
      <c r="C133" s="270"/>
      <c r="D133" s="271"/>
      <c r="E133" s="257"/>
      <c r="F133" s="257"/>
      <c r="G133" s="257"/>
      <c r="H133" s="257"/>
      <c r="I133" s="257"/>
      <c r="J133" s="257"/>
      <c r="K133" s="257"/>
      <c r="L133" s="257"/>
      <c r="M133" s="257"/>
    </row>
    <row r="134" spans="2:13" ht="14.25" customHeight="1">
      <c r="B134" s="271"/>
      <c r="C134" s="270"/>
      <c r="D134" s="271"/>
      <c r="E134" s="257"/>
      <c r="F134" s="257"/>
      <c r="G134" s="257"/>
      <c r="H134" s="257"/>
      <c r="I134" s="257"/>
      <c r="J134" s="257"/>
      <c r="K134" s="257"/>
      <c r="L134" s="257"/>
      <c r="M134" s="257"/>
    </row>
    <row r="135" spans="2:13" ht="14.25" customHeight="1">
      <c r="B135" s="271"/>
      <c r="C135" s="270"/>
      <c r="D135" s="271"/>
      <c r="E135" s="257"/>
      <c r="F135" s="257"/>
      <c r="G135" s="257"/>
      <c r="H135" s="257"/>
      <c r="I135" s="257"/>
      <c r="J135" s="257"/>
      <c r="K135" s="257"/>
      <c r="L135" s="257"/>
      <c r="M135" s="257"/>
    </row>
    <row r="136" spans="2:13" ht="14.25" customHeight="1">
      <c r="B136" s="271"/>
      <c r="C136" s="270"/>
      <c r="D136" s="271"/>
      <c r="E136" s="257"/>
      <c r="F136" s="257"/>
      <c r="G136" s="257"/>
      <c r="H136" s="257"/>
      <c r="I136" s="257"/>
      <c r="J136" s="257"/>
      <c r="K136" s="257"/>
      <c r="L136" s="257"/>
      <c r="M136" s="257"/>
    </row>
    <row r="137" spans="2:13" ht="14.25" customHeight="1">
      <c r="B137" s="271"/>
      <c r="C137" s="270"/>
      <c r="D137" s="271"/>
      <c r="E137" s="257"/>
      <c r="F137" s="257"/>
      <c r="G137" s="257"/>
      <c r="H137" s="257"/>
      <c r="I137" s="257"/>
      <c r="J137" s="257"/>
      <c r="K137" s="257"/>
      <c r="L137" s="257"/>
      <c r="M137" s="257"/>
    </row>
    <row r="138" spans="2:13" ht="14.25" customHeight="1">
      <c r="B138" s="271"/>
      <c r="C138" s="270"/>
      <c r="D138" s="271"/>
      <c r="E138" s="257"/>
      <c r="F138" s="257"/>
      <c r="G138" s="257"/>
      <c r="H138" s="257"/>
      <c r="I138" s="257"/>
      <c r="J138" s="257"/>
      <c r="K138" s="257"/>
      <c r="L138" s="257"/>
      <c r="M138" s="257"/>
    </row>
    <row r="139" spans="2:13" ht="14.25" customHeight="1">
      <c r="B139" s="271"/>
      <c r="C139" s="270"/>
      <c r="D139" s="271"/>
      <c r="E139" s="257"/>
      <c r="F139" s="257"/>
      <c r="G139" s="257"/>
      <c r="H139" s="257"/>
      <c r="I139" s="257"/>
      <c r="J139" s="257"/>
      <c r="K139" s="257"/>
      <c r="L139" s="257"/>
      <c r="M139" s="257"/>
    </row>
    <row r="140" spans="2:13" ht="14.25" customHeight="1">
      <c r="B140" s="271"/>
      <c r="C140" s="270"/>
      <c r="D140" s="271"/>
      <c r="E140" s="257"/>
      <c r="F140" s="257"/>
      <c r="G140" s="257"/>
      <c r="H140" s="257"/>
      <c r="I140" s="257"/>
      <c r="J140" s="257"/>
      <c r="K140" s="257"/>
      <c r="L140" s="257"/>
      <c r="M140" s="257"/>
    </row>
    <row r="141" spans="2:13" ht="14.25" customHeight="1">
      <c r="B141" s="271"/>
      <c r="C141" s="270"/>
      <c r="D141" s="271"/>
      <c r="E141" s="257"/>
      <c r="F141" s="257"/>
      <c r="G141" s="257"/>
      <c r="H141" s="257"/>
      <c r="I141" s="257"/>
      <c r="J141" s="257"/>
      <c r="K141" s="257"/>
      <c r="L141" s="257"/>
      <c r="M141" s="257"/>
    </row>
    <row r="142" spans="2:13" ht="14.25" customHeight="1">
      <c r="B142" s="271"/>
      <c r="C142" s="270"/>
      <c r="D142" s="271"/>
      <c r="E142" s="257"/>
      <c r="F142" s="257"/>
      <c r="G142" s="257"/>
      <c r="H142" s="257"/>
      <c r="I142" s="257"/>
      <c r="J142" s="257"/>
      <c r="K142" s="257"/>
      <c r="L142" s="257"/>
      <c r="M142" s="257"/>
    </row>
    <row r="143" spans="2:13" ht="14.25" customHeight="1">
      <c r="B143" s="271"/>
      <c r="C143" s="270"/>
      <c r="D143" s="271"/>
      <c r="E143" s="257"/>
      <c r="F143" s="257"/>
      <c r="G143" s="257"/>
      <c r="H143" s="257"/>
      <c r="I143" s="257"/>
      <c r="J143" s="257"/>
      <c r="K143" s="257"/>
      <c r="L143" s="257"/>
      <c r="M143" s="257"/>
    </row>
    <row r="144" spans="2:13" ht="14.25" customHeight="1">
      <c r="B144" s="1"/>
      <c r="C144" s="6"/>
      <c r="D144" s="1"/>
    </row>
    <row r="145" spans="2:4" ht="14.25" customHeight="1">
      <c r="B145" s="1"/>
      <c r="C145" s="6"/>
      <c r="D145" s="1"/>
    </row>
    <row r="146" spans="2:4" ht="14.25" customHeight="1">
      <c r="B146" s="1"/>
      <c r="C146" s="6"/>
      <c r="D146" s="1"/>
    </row>
    <row r="147" spans="2:4" ht="14.25" customHeight="1">
      <c r="B147" s="1"/>
      <c r="C147" s="6"/>
      <c r="D147" s="1"/>
    </row>
    <row r="148" spans="2:4" ht="14.25" customHeight="1">
      <c r="B148" s="1"/>
      <c r="C148" s="6"/>
      <c r="D148" s="1"/>
    </row>
    <row r="149" spans="2:4" ht="14.25" customHeight="1">
      <c r="B149" s="1"/>
      <c r="C149" s="6"/>
      <c r="D149" s="1"/>
    </row>
    <row r="150" spans="2:4" ht="14.25" customHeight="1">
      <c r="B150" s="1"/>
      <c r="C150" s="6"/>
      <c r="D150" s="1"/>
    </row>
    <row r="151" spans="2:4" ht="14.25" customHeight="1">
      <c r="B151" s="1"/>
      <c r="C151" s="6"/>
      <c r="D151" s="1"/>
    </row>
    <row r="152" spans="2:4" ht="14.25" customHeight="1">
      <c r="B152" s="1"/>
      <c r="C152" s="6"/>
      <c r="D152" s="1"/>
    </row>
    <row r="153" spans="2:4" ht="14.25" customHeight="1">
      <c r="B153" s="1"/>
      <c r="C153" s="6"/>
      <c r="D153" s="1"/>
    </row>
    <row r="154" spans="2:4" ht="14.25" customHeight="1">
      <c r="B154" s="1"/>
      <c r="C154" s="6"/>
      <c r="D154" s="1"/>
    </row>
    <row r="155" spans="2:4" ht="14.25" customHeight="1">
      <c r="B155" s="1"/>
      <c r="C155" s="6"/>
      <c r="D155" s="1"/>
    </row>
    <row r="156" spans="2:4" ht="14.25" customHeight="1">
      <c r="B156" s="1"/>
      <c r="C156" s="6"/>
      <c r="D156" s="1"/>
    </row>
    <row r="157" spans="2:4" ht="14.25" customHeight="1">
      <c r="B157" s="1"/>
      <c r="C157" s="6"/>
      <c r="D157" s="1"/>
    </row>
    <row r="158" spans="2:4" ht="14.25" customHeight="1">
      <c r="B158" s="1"/>
      <c r="C158" s="6"/>
      <c r="D158" s="1"/>
    </row>
    <row r="159" spans="2:4" ht="14.25" customHeight="1">
      <c r="B159" s="1"/>
      <c r="C159" s="6"/>
      <c r="D159" s="1"/>
    </row>
    <row r="160" spans="2:4" ht="14.25" customHeight="1">
      <c r="B160" s="1"/>
      <c r="C160" s="6"/>
      <c r="D160" s="1"/>
    </row>
    <row r="161" spans="2:4" ht="14.25" customHeight="1">
      <c r="B161" s="1"/>
      <c r="C161" s="6"/>
      <c r="D161" s="1"/>
    </row>
    <row r="162" spans="2:4" ht="14.25" customHeight="1">
      <c r="B162" s="1"/>
      <c r="C162" s="6"/>
      <c r="D162" s="1"/>
    </row>
    <row r="163" spans="2:4" ht="14.25" customHeight="1">
      <c r="B163" s="1"/>
      <c r="C163" s="6"/>
      <c r="D163" s="1"/>
    </row>
    <row r="164" spans="2:4" ht="14.25" customHeight="1">
      <c r="B164" s="1"/>
      <c r="C164" s="6"/>
      <c r="D164" s="1"/>
    </row>
    <row r="165" spans="2:4" ht="14.25" customHeight="1">
      <c r="B165" s="1"/>
      <c r="C165" s="6"/>
      <c r="D165" s="1"/>
    </row>
    <row r="166" spans="2:4" ht="14.25" customHeight="1">
      <c r="B166" s="1"/>
      <c r="C166" s="6"/>
      <c r="D166" s="1"/>
    </row>
    <row r="167" spans="2:4" ht="14.25" customHeight="1">
      <c r="B167" s="1"/>
      <c r="C167" s="6"/>
      <c r="D167" s="1"/>
    </row>
    <row r="168" spans="2:4" ht="14.25" customHeight="1">
      <c r="B168" s="1"/>
      <c r="C168" s="6"/>
      <c r="D168" s="1"/>
    </row>
    <row r="169" spans="2:4" ht="14.25" customHeight="1">
      <c r="B169" s="1"/>
      <c r="C169" s="6"/>
      <c r="D169" s="1"/>
    </row>
    <row r="170" spans="2:4" ht="14.25" customHeight="1">
      <c r="B170" s="1"/>
      <c r="C170" s="6"/>
      <c r="D170" s="1"/>
    </row>
    <row r="171" spans="2:4" ht="14.25" customHeight="1">
      <c r="B171" s="1"/>
      <c r="C171" s="6"/>
      <c r="D171" s="1"/>
    </row>
    <row r="172" spans="2:4" ht="14.25" customHeight="1">
      <c r="B172" s="1"/>
      <c r="C172" s="6"/>
      <c r="D172" s="1"/>
    </row>
    <row r="173" spans="2:4" ht="14.25" customHeight="1">
      <c r="B173" s="1"/>
      <c r="C173" s="6"/>
      <c r="D173" s="1"/>
    </row>
    <row r="174" spans="2:4" ht="14.25" customHeight="1">
      <c r="B174" s="1"/>
      <c r="C174" s="6"/>
      <c r="D174" s="1"/>
    </row>
    <row r="175" spans="2:4" ht="14.25" customHeight="1">
      <c r="B175" s="1"/>
      <c r="C175" s="6"/>
      <c r="D175" s="1"/>
    </row>
    <row r="176" spans="2:4" ht="14.25" customHeight="1">
      <c r="B176" s="1"/>
      <c r="C176" s="6"/>
      <c r="D176" s="1"/>
    </row>
    <row r="177" spans="2:4" ht="14.25" customHeight="1">
      <c r="B177" s="1"/>
      <c r="C177" s="6"/>
      <c r="D177" s="1"/>
    </row>
    <row r="178" spans="2:4" ht="14.25" customHeight="1">
      <c r="B178" s="1"/>
      <c r="C178" s="6"/>
      <c r="D178" s="1"/>
    </row>
    <row r="179" spans="2:4" ht="14.25" customHeight="1">
      <c r="B179" s="1"/>
      <c r="C179" s="6"/>
      <c r="D179" s="1"/>
    </row>
    <row r="180" spans="2:4" ht="14.25" customHeight="1">
      <c r="B180" s="1"/>
      <c r="C180" s="6"/>
      <c r="D180" s="1"/>
    </row>
    <row r="181" spans="2:4" ht="14.25" customHeight="1">
      <c r="B181" s="1"/>
      <c r="C181" s="6"/>
      <c r="D181" s="1"/>
    </row>
    <row r="182" spans="2:4" ht="14.25" customHeight="1">
      <c r="B182" s="1"/>
      <c r="C182" s="6"/>
      <c r="D182" s="1"/>
    </row>
    <row r="183" spans="2:4" ht="14.25" customHeight="1">
      <c r="B183" s="1"/>
      <c r="C183" s="6"/>
      <c r="D183" s="1"/>
    </row>
    <row r="184" spans="2:4" ht="14.25" customHeight="1">
      <c r="B184" s="1"/>
      <c r="C184" s="6"/>
      <c r="D184" s="1"/>
    </row>
    <row r="185" spans="2:4" ht="14.25" customHeight="1">
      <c r="B185" s="1"/>
      <c r="C185" s="6"/>
      <c r="D185" s="1"/>
    </row>
    <row r="186" spans="2:4" ht="14.25" customHeight="1">
      <c r="B186" s="1"/>
      <c r="C186" s="6"/>
      <c r="D186" s="1"/>
    </row>
    <row r="187" spans="2:4" ht="14.25" customHeight="1">
      <c r="B187" s="1"/>
      <c r="C187" s="6"/>
      <c r="D187" s="1"/>
    </row>
    <row r="188" spans="2:4" ht="14.25" customHeight="1">
      <c r="B188" s="1"/>
      <c r="C188" s="6"/>
      <c r="D188" s="1"/>
    </row>
    <row r="189" spans="2:4" ht="14.25" customHeight="1">
      <c r="B189" s="1"/>
      <c r="C189" s="6"/>
      <c r="D189" s="1"/>
    </row>
    <row r="190" spans="2:4" ht="14.25" customHeight="1">
      <c r="B190" s="1"/>
      <c r="C190" s="6"/>
      <c r="D190" s="1"/>
    </row>
    <row r="191" spans="2:4" ht="14.25" customHeight="1">
      <c r="B191" s="1"/>
      <c r="C191" s="6"/>
      <c r="D191" s="1"/>
    </row>
    <row r="192" spans="2:4" ht="14.25" customHeight="1">
      <c r="B192" s="1"/>
      <c r="C192" s="6"/>
      <c r="D192" s="1"/>
    </row>
    <row r="193" spans="2:4" ht="14.25" customHeight="1">
      <c r="B193" s="1"/>
      <c r="C193" s="6"/>
      <c r="D193" s="1"/>
    </row>
    <row r="194" spans="2:4" ht="14.25" customHeight="1">
      <c r="B194" s="1"/>
      <c r="C194" s="6"/>
      <c r="D194" s="1"/>
    </row>
    <row r="195" spans="2:4" ht="14.25" customHeight="1">
      <c r="B195" s="1"/>
      <c r="C195" s="6"/>
      <c r="D195" s="1"/>
    </row>
    <row r="196" spans="2:4" ht="14.25" customHeight="1">
      <c r="B196" s="1"/>
      <c r="C196" s="6"/>
      <c r="D196" s="1"/>
    </row>
    <row r="197" spans="2:4" ht="14.25" customHeight="1">
      <c r="B197" s="1"/>
      <c r="C197" s="6"/>
      <c r="D197" s="1"/>
    </row>
    <row r="198" spans="2:4" ht="14.25" customHeight="1">
      <c r="B198" s="1"/>
      <c r="C198" s="6"/>
      <c r="D198" s="1"/>
    </row>
    <row r="199" spans="2:4" ht="14.25" customHeight="1">
      <c r="B199" s="1"/>
      <c r="C199" s="6"/>
      <c r="D199" s="1"/>
    </row>
    <row r="200" spans="2:4" ht="14.25" customHeight="1">
      <c r="B200" s="1"/>
      <c r="C200" s="6"/>
      <c r="D200" s="1"/>
    </row>
    <row r="201" spans="2:4" ht="14.25" customHeight="1">
      <c r="B201" s="1"/>
      <c r="C201" s="6"/>
      <c r="D201" s="1"/>
    </row>
    <row r="202" spans="2:4" ht="14.25" customHeight="1">
      <c r="B202" s="1"/>
      <c r="C202" s="6"/>
      <c r="D202" s="1"/>
    </row>
    <row r="203" spans="2:4" ht="14.25" customHeight="1">
      <c r="B203" s="1"/>
      <c r="C203" s="6"/>
      <c r="D203" s="1"/>
    </row>
    <row r="204" spans="2:4" ht="14.25" customHeight="1">
      <c r="B204" s="1"/>
      <c r="C204" s="6"/>
      <c r="D204" s="1"/>
    </row>
    <row r="205" spans="2:4" ht="14.25" customHeight="1">
      <c r="B205" s="1"/>
      <c r="C205" s="6"/>
      <c r="D205" s="1"/>
    </row>
    <row r="206" spans="2:4" ht="14.25" customHeight="1">
      <c r="B206" s="1"/>
      <c r="C206" s="6"/>
      <c r="D206" s="1"/>
    </row>
    <row r="207" spans="2:4" ht="14.25" customHeight="1">
      <c r="B207" s="1"/>
      <c r="C207" s="6"/>
      <c r="D207" s="1"/>
    </row>
    <row r="208" spans="2:4" ht="14.25" customHeight="1">
      <c r="B208" s="1"/>
      <c r="C208" s="6"/>
      <c r="D208" s="1"/>
    </row>
    <row r="209" spans="2:4" ht="14.25" customHeight="1">
      <c r="B209" s="1"/>
      <c r="C209" s="6"/>
      <c r="D209" s="1"/>
    </row>
    <row r="210" spans="2:4" ht="14.25" customHeight="1">
      <c r="B210" s="1"/>
      <c r="C210" s="6"/>
      <c r="D210" s="1"/>
    </row>
    <row r="211" spans="2:4" ht="14.25" customHeight="1">
      <c r="B211" s="1"/>
      <c r="C211" s="6"/>
      <c r="D211" s="1"/>
    </row>
    <row r="212" spans="2:4" ht="14.25" customHeight="1">
      <c r="B212" s="1"/>
      <c r="C212" s="6"/>
      <c r="D212" s="1"/>
    </row>
    <row r="213" spans="2:4" ht="14.25" customHeight="1">
      <c r="B213" s="1"/>
      <c r="C213" s="6"/>
      <c r="D213" s="1"/>
    </row>
    <row r="214" spans="2:4" ht="14.25" customHeight="1">
      <c r="B214" s="1"/>
      <c r="C214" s="6"/>
      <c r="D214" s="1"/>
    </row>
    <row r="215" spans="2:4" ht="14.25" customHeight="1">
      <c r="B215" s="1"/>
      <c r="C215" s="6"/>
      <c r="D215" s="1"/>
    </row>
    <row r="216" spans="2:4" ht="14.25" customHeight="1">
      <c r="B216" s="1"/>
      <c r="C216" s="6"/>
      <c r="D216" s="1"/>
    </row>
    <row r="217" spans="2:4" ht="14.25" customHeight="1">
      <c r="B217" s="1"/>
      <c r="C217" s="6"/>
      <c r="D217" s="1"/>
    </row>
    <row r="218" spans="2:4" ht="14.25" customHeight="1">
      <c r="B218" s="1"/>
      <c r="C218" s="6"/>
      <c r="D218" s="1"/>
    </row>
    <row r="219" spans="2:4" ht="14.25" customHeight="1">
      <c r="B219" s="1"/>
      <c r="C219" s="6"/>
      <c r="D219" s="1"/>
    </row>
    <row r="220" spans="2:4" ht="14.25" customHeight="1">
      <c r="B220" s="1"/>
      <c r="C220" s="6"/>
      <c r="D220" s="1"/>
    </row>
    <row r="221" spans="2:4" ht="14.25" customHeight="1">
      <c r="B221" s="1"/>
      <c r="C221" s="6"/>
      <c r="D221" s="1"/>
    </row>
    <row r="222" spans="2:4" ht="14.25" customHeight="1">
      <c r="B222" s="1"/>
      <c r="C222" s="6"/>
      <c r="D222" s="1"/>
    </row>
    <row r="223" spans="2:4" ht="14.25" customHeight="1">
      <c r="B223" s="1"/>
      <c r="C223" s="6"/>
      <c r="D223" s="1"/>
    </row>
    <row r="224" spans="2:4" ht="14.25" customHeight="1">
      <c r="B224" s="1"/>
      <c r="C224" s="6"/>
      <c r="D224" s="1"/>
    </row>
    <row r="225" spans="2:4" ht="14.25" customHeight="1">
      <c r="B225" s="1"/>
      <c r="C225" s="6"/>
      <c r="D225" s="1"/>
    </row>
    <row r="226" spans="2:4" ht="14.25" customHeight="1">
      <c r="B226" s="1"/>
      <c r="C226" s="6"/>
      <c r="D226" s="1"/>
    </row>
    <row r="227" spans="2:4" ht="14.25" customHeight="1">
      <c r="B227" s="1"/>
      <c r="C227" s="6"/>
      <c r="D227" s="1"/>
    </row>
    <row r="228" spans="2:4" ht="14.25" customHeight="1">
      <c r="B228" s="1"/>
      <c r="C228" s="6"/>
      <c r="D228" s="1"/>
    </row>
    <row r="229" spans="2:4" ht="14.25" customHeight="1">
      <c r="B229" s="1"/>
      <c r="C229" s="6"/>
      <c r="D229" s="1"/>
    </row>
    <row r="230" spans="2:4" ht="14.25" customHeight="1">
      <c r="B230" s="1"/>
      <c r="C230" s="6"/>
      <c r="D230" s="1"/>
    </row>
    <row r="231" spans="2:4" ht="14.25" customHeight="1">
      <c r="B231" s="1"/>
      <c r="C231" s="6"/>
      <c r="D231" s="1"/>
    </row>
    <row r="232" spans="2:4" ht="14.25" customHeight="1">
      <c r="B232" s="1"/>
      <c r="C232" s="6"/>
      <c r="D232" s="1"/>
    </row>
    <row r="233" spans="2:4" ht="14.25" customHeight="1">
      <c r="B233" s="1"/>
      <c r="C233" s="6"/>
      <c r="D233" s="1"/>
    </row>
    <row r="234" spans="2:4" ht="14.25" customHeight="1">
      <c r="B234" s="1"/>
      <c r="C234" s="6"/>
      <c r="D234" s="1"/>
    </row>
    <row r="235" spans="2:4" ht="14.25" customHeight="1">
      <c r="B235" s="1"/>
      <c r="C235" s="6"/>
      <c r="D235" s="1"/>
    </row>
    <row r="236" spans="2:4" ht="14.25" customHeight="1">
      <c r="B236" s="1"/>
      <c r="C236" s="6"/>
      <c r="D236" s="1"/>
    </row>
    <row r="237" spans="2:4" ht="14.25" customHeight="1">
      <c r="B237" s="1"/>
      <c r="C237" s="6"/>
      <c r="D237" s="1"/>
    </row>
    <row r="238" spans="2:4" ht="14.25" customHeight="1">
      <c r="B238" s="1"/>
      <c r="C238" s="6"/>
      <c r="D238" s="1"/>
    </row>
    <row r="239" spans="2:4" ht="14.25" customHeight="1">
      <c r="B239" s="1"/>
      <c r="C239" s="6"/>
      <c r="D239" s="1"/>
    </row>
    <row r="240" spans="2:4" ht="14.25" customHeight="1">
      <c r="B240" s="1"/>
      <c r="C240" s="6"/>
      <c r="D240" s="1"/>
    </row>
    <row r="241" spans="2:4" ht="14.25" customHeight="1">
      <c r="B241" s="1"/>
      <c r="C241" s="6"/>
      <c r="D241" s="1"/>
    </row>
    <row r="242" spans="2:4" ht="14.25" customHeight="1">
      <c r="B242" s="1"/>
      <c r="C242" s="6"/>
      <c r="D242" s="1"/>
    </row>
    <row r="243" spans="2:4" ht="14.25" customHeight="1">
      <c r="B243" s="1"/>
      <c r="C243" s="6"/>
      <c r="D243" s="1"/>
    </row>
    <row r="244" spans="2:4" ht="14.25" customHeight="1">
      <c r="B244" s="1"/>
      <c r="C244" s="6"/>
      <c r="D244" s="1"/>
    </row>
    <row r="245" spans="2:4" ht="14.25" customHeight="1">
      <c r="B245" s="1"/>
      <c r="C245" s="6"/>
      <c r="D245" s="1"/>
    </row>
    <row r="246" spans="2:4" ht="14.25" customHeight="1">
      <c r="B246" s="1"/>
      <c r="C246" s="6"/>
      <c r="D246" s="1"/>
    </row>
    <row r="247" spans="2:4" ht="14.25" customHeight="1">
      <c r="B247" s="1"/>
      <c r="C247" s="6"/>
      <c r="D247" s="1"/>
    </row>
    <row r="248" spans="2:4" ht="14.25" customHeight="1">
      <c r="B248" s="1"/>
      <c r="C248" s="6"/>
      <c r="D248" s="1"/>
    </row>
    <row r="249" spans="2:4" ht="14.25" customHeight="1">
      <c r="B249" s="1"/>
      <c r="C249" s="6"/>
      <c r="D249" s="1"/>
    </row>
    <row r="250" spans="2:4" ht="14.25" customHeight="1">
      <c r="B250" s="1"/>
      <c r="C250" s="6"/>
      <c r="D250" s="1"/>
    </row>
    <row r="251" spans="2:4" ht="14.25" customHeight="1">
      <c r="B251" s="1"/>
      <c r="C251" s="6"/>
      <c r="D251" s="1"/>
    </row>
    <row r="252" spans="2:4" ht="14.25" customHeight="1">
      <c r="B252" s="1"/>
      <c r="C252" s="6"/>
      <c r="D252" s="1"/>
    </row>
    <row r="253" spans="2:4" ht="14.25" customHeight="1">
      <c r="B253" s="1"/>
      <c r="C253" s="6"/>
      <c r="D253" s="1"/>
    </row>
    <row r="254" spans="2:4" ht="14.25" customHeight="1">
      <c r="B254" s="1"/>
      <c r="C254" s="6"/>
      <c r="D254" s="1"/>
    </row>
    <row r="255" spans="2:4" ht="14.25" customHeight="1">
      <c r="B255" s="1"/>
      <c r="C255" s="6"/>
      <c r="D255" s="1"/>
    </row>
    <row r="256" spans="2:4" ht="14.25" customHeight="1">
      <c r="B256" s="1"/>
      <c r="C256" s="6"/>
      <c r="D256" s="1"/>
    </row>
    <row r="257" spans="2:4" ht="14.25" customHeight="1">
      <c r="B257" s="1"/>
      <c r="C257" s="6"/>
      <c r="D257" s="1"/>
    </row>
    <row r="258" spans="2:4" ht="14.25" customHeight="1">
      <c r="B258" s="1"/>
      <c r="C258" s="6"/>
      <c r="D258" s="1"/>
    </row>
    <row r="259" spans="2:4" ht="14.25" customHeight="1">
      <c r="B259" s="1"/>
      <c r="C259" s="6"/>
      <c r="D259" s="1"/>
    </row>
    <row r="260" spans="2:4" ht="14.25" customHeight="1">
      <c r="B260" s="1"/>
      <c r="C260" s="6"/>
      <c r="D260" s="1"/>
    </row>
    <row r="261" spans="2:4" ht="14.25" customHeight="1">
      <c r="B261" s="1"/>
      <c r="C261" s="6"/>
      <c r="D261" s="1"/>
    </row>
    <row r="262" spans="2:4" ht="14.25" customHeight="1">
      <c r="B262" s="1"/>
      <c r="C262" s="6"/>
      <c r="D262" s="1"/>
    </row>
    <row r="263" spans="2:4" ht="14.25" customHeight="1">
      <c r="B263" s="1"/>
      <c r="C263" s="6"/>
      <c r="D263" s="1"/>
    </row>
    <row r="264" spans="2:4" ht="14.25" customHeight="1">
      <c r="B264" s="1"/>
      <c r="C264" s="6"/>
      <c r="D264" s="1"/>
    </row>
    <row r="265" spans="2:4" ht="14.25" customHeight="1">
      <c r="B265" s="1"/>
      <c r="C265" s="6"/>
      <c r="D265" s="1"/>
    </row>
    <row r="266" spans="2:4" ht="14.25" customHeight="1">
      <c r="B266" s="1"/>
      <c r="C266" s="6"/>
      <c r="D266" s="1"/>
    </row>
    <row r="267" spans="2:4" ht="14.25" customHeight="1">
      <c r="B267" s="1"/>
      <c r="C267" s="6"/>
      <c r="D267" s="1"/>
    </row>
    <row r="268" spans="2:4" ht="14.25" customHeight="1">
      <c r="B268" s="1"/>
      <c r="C268" s="6"/>
      <c r="D268" s="1"/>
    </row>
    <row r="269" spans="2:4" ht="14.25" customHeight="1">
      <c r="B269" s="1"/>
      <c r="C269" s="6"/>
      <c r="D269" s="1"/>
    </row>
    <row r="270" spans="2:4" ht="14.25" customHeight="1">
      <c r="B270" s="1"/>
      <c r="C270" s="6"/>
      <c r="D270" s="1"/>
    </row>
    <row r="271" spans="2:4" ht="14.25" customHeight="1">
      <c r="B271" s="1"/>
      <c r="C271" s="6"/>
      <c r="D271" s="1"/>
    </row>
    <row r="272" spans="2:4" ht="14.25" customHeight="1">
      <c r="B272" s="1"/>
      <c r="C272" s="6"/>
      <c r="D272" s="1"/>
    </row>
    <row r="273" spans="2:4" ht="14.25" customHeight="1">
      <c r="B273" s="1"/>
      <c r="C273" s="6"/>
      <c r="D273" s="1"/>
    </row>
    <row r="274" spans="2:4" ht="14.25" customHeight="1">
      <c r="B274" s="1"/>
      <c r="C274" s="6"/>
      <c r="D274" s="1"/>
    </row>
    <row r="275" spans="2:4" ht="14.25" customHeight="1">
      <c r="B275" s="1"/>
      <c r="C275" s="6"/>
      <c r="D275" s="1"/>
    </row>
    <row r="276" spans="2:4" ht="14.25" customHeight="1">
      <c r="B276" s="1"/>
      <c r="C276" s="6"/>
      <c r="D276" s="1"/>
    </row>
    <row r="277" spans="2:4" ht="14.25" customHeight="1">
      <c r="B277" s="1"/>
      <c r="C277" s="6"/>
      <c r="D277" s="1"/>
    </row>
    <row r="278" spans="2:4" ht="14.25" customHeight="1">
      <c r="B278" s="1"/>
      <c r="C278" s="6"/>
      <c r="D278" s="1"/>
    </row>
    <row r="279" spans="2:4" ht="15.75" customHeight="1"/>
    <row r="280" spans="2:4" ht="15.75" customHeight="1"/>
    <row r="281" spans="2:4" ht="15.75" customHeight="1"/>
    <row r="282" spans="2:4" ht="15.75" customHeight="1"/>
    <row r="283" spans="2:4" ht="15.75" customHeight="1"/>
    <row r="284" spans="2:4" ht="15.75" customHeight="1"/>
    <row r="285" spans="2:4" ht="15.75" customHeight="1"/>
    <row r="286" spans="2:4" ht="15.75" customHeight="1"/>
    <row r="287" spans="2:4" ht="15.75" customHeight="1"/>
    <row r="288" spans="2:4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heetProtection algorithmName="SHA-512" hashValue="vMFtwKaS7q9rJc3d7veEwgeoshihHhkjqW/hqyirmbxywtnrrHqMtnXV8+nAgcEnXKDnpC64TjiTwDkEzQsurg==" saltValue="v74Iy+wYEAUnprBY6J1PwQ==" spinCount="100000" sheet="1" objects="1" scenarios="1" selectLockedCells="1" selectUnlockedCells="1"/>
  <mergeCells count="74">
    <mergeCell ref="L75:M75"/>
    <mergeCell ref="L76:M76"/>
    <mergeCell ref="L61:M61"/>
    <mergeCell ref="L63:M63"/>
    <mergeCell ref="L64:M64"/>
    <mergeCell ref="L70:M70"/>
    <mergeCell ref="L65:M65"/>
    <mergeCell ref="L66:M66"/>
    <mergeCell ref="L69:M69"/>
    <mergeCell ref="C67:M67"/>
    <mergeCell ref="C62:M62"/>
    <mergeCell ref="L68:M68"/>
    <mergeCell ref="L73:M73"/>
    <mergeCell ref="L71:M71"/>
    <mergeCell ref="L72:M72"/>
    <mergeCell ref="L74:M74"/>
    <mergeCell ref="L55:M55"/>
    <mergeCell ref="L56:M56"/>
    <mergeCell ref="L57:M57"/>
    <mergeCell ref="L59:M59"/>
    <mergeCell ref="L60:M60"/>
    <mergeCell ref="L58:M58"/>
    <mergeCell ref="L22:M22"/>
    <mergeCell ref="L23:M23"/>
    <mergeCell ref="L25:M25"/>
    <mergeCell ref="L26:M26"/>
    <mergeCell ref="L17:M17"/>
    <mergeCell ref="L18:M18"/>
    <mergeCell ref="L19:M19"/>
    <mergeCell ref="L20:M20"/>
    <mergeCell ref="L21:M21"/>
    <mergeCell ref="L42:M42"/>
    <mergeCell ref="L43:M43"/>
    <mergeCell ref="L44:M44"/>
    <mergeCell ref="L35:M35"/>
    <mergeCell ref="L38:M38"/>
    <mergeCell ref="L39:M39"/>
    <mergeCell ref="C41:M41"/>
    <mergeCell ref="C37:M37"/>
    <mergeCell ref="L40:M40"/>
    <mergeCell ref="C27:M27"/>
    <mergeCell ref="C24:M24"/>
    <mergeCell ref="L31:M31"/>
    <mergeCell ref="L32:M32"/>
    <mergeCell ref="L33:M33"/>
    <mergeCell ref="L34:M34"/>
    <mergeCell ref="L28:M28"/>
    <mergeCell ref="L29:M29"/>
    <mergeCell ref="L30:M30"/>
    <mergeCell ref="L36:M36"/>
    <mergeCell ref="B3:M3"/>
    <mergeCell ref="B4:M4"/>
    <mergeCell ref="C6:M6"/>
    <mergeCell ref="C12:M12"/>
    <mergeCell ref="C16:M16"/>
    <mergeCell ref="L15:M15"/>
    <mergeCell ref="L7:M7"/>
    <mergeCell ref="L8:M8"/>
    <mergeCell ref="L9:M9"/>
    <mergeCell ref="L10:M10"/>
    <mergeCell ref="L11:M11"/>
    <mergeCell ref="L5:M5"/>
    <mergeCell ref="L13:M13"/>
    <mergeCell ref="L14:M14"/>
    <mergeCell ref="L45:M45"/>
    <mergeCell ref="L46:M46"/>
    <mergeCell ref="L47:M47"/>
    <mergeCell ref="L48:M48"/>
    <mergeCell ref="L49:M49"/>
    <mergeCell ref="L50:M50"/>
    <mergeCell ref="L52:M52"/>
    <mergeCell ref="L53:M53"/>
    <mergeCell ref="C51:M51"/>
    <mergeCell ref="L54:M54"/>
  </mergeCells>
  <phoneticPr fontId="41" type="noConversion"/>
  <pageMargins left="0.7" right="0.7" top="0.75" bottom="0.75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4"/>
  <sheetViews>
    <sheetView showGridLines="0" topLeftCell="A17" zoomScale="88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5.15" customHeight="1">
      <c r="A1" s="843" t="str">
        <f>'5.5'!A1:H1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J2" s="2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Presupuesto!B37</f>
        <v>5.6</v>
      </c>
      <c r="B5" s="780" t="str">
        <f>Presupuesto!C37</f>
        <v>Concreto para viga de entrepiso</v>
      </c>
      <c r="C5" s="686"/>
      <c r="D5" s="686"/>
      <c r="E5" s="686"/>
      <c r="F5" s="687"/>
      <c r="G5" s="780" t="str">
        <f>Presupuesto!D37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350</v>
      </c>
      <c r="H8" s="79">
        <f>F8*G8</f>
        <v>196000</v>
      </c>
      <c r="K8" s="40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61000</v>
      </c>
      <c r="G9" s="7">
        <v>0.56000000000000005</v>
      </c>
      <c r="H9" s="79">
        <f>F9*G9</f>
        <v>34160</v>
      </c>
      <c r="K9" s="40"/>
    </row>
    <row r="10" spans="1:26" ht="14.25" customHeight="1">
      <c r="A10" s="814" t="s">
        <v>141</v>
      </c>
      <c r="B10" s="666"/>
      <c r="C10" s="666"/>
      <c r="D10" s="667"/>
      <c r="E10" s="7" t="s">
        <v>26</v>
      </c>
      <c r="F10" s="80">
        <v>65500</v>
      </c>
      <c r="G10" s="7">
        <v>0.84</v>
      </c>
      <c r="H10" s="79">
        <f>F10*G10</f>
        <v>55020</v>
      </c>
      <c r="K10" s="40"/>
    </row>
    <row r="11" spans="1:26" ht="14.25" customHeight="1">
      <c r="A11" s="846" t="s">
        <v>184</v>
      </c>
      <c r="B11" s="666"/>
      <c r="C11" s="666"/>
      <c r="D11" s="667"/>
      <c r="E11" s="7" t="s">
        <v>185</v>
      </c>
      <c r="F11" s="80">
        <v>100</v>
      </c>
      <c r="G11" s="7">
        <v>180</v>
      </c>
      <c r="H11" s="79">
        <f>F11*G11</f>
        <v>18000</v>
      </c>
      <c r="K11" s="40"/>
    </row>
    <row r="12" spans="1:26" ht="14.25" customHeight="1">
      <c r="A12" s="814"/>
      <c r="B12" s="666"/>
      <c r="C12" s="666"/>
      <c r="D12" s="667"/>
      <c r="E12" s="7"/>
      <c r="F12" s="80"/>
      <c r="G12" s="150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/>
      <c r="B13" s="666"/>
      <c r="C13" s="666"/>
      <c r="D13" s="667"/>
      <c r="E13" s="7"/>
      <c r="F13" s="80"/>
      <c r="G13" s="7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59"/>
      <c r="B14" s="700"/>
      <c r="C14" s="700"/>
      <c r="D14" s="776"/>
      <c r="E14" s="56"/>
      <c r="F14" s="85"/>
      <c r="G14" s="56"/>
      <c r="H14" s="85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17" t="s">
        <v>110</v>
      </c>
      <c r="B15" s="672"/>
      <c r="C15" s="672"/>
      <c r="D15" s="672"/>
      <c r="E15" s="672"/>
      <c r="F15" s="672"/>
      <c r="G15" s="673"/>
      <c r="H15" s="86">
        <f>ROUND(SUM(H8:H14),0)</f>
        <v>303180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60" t="s">
        <v>112</v>
      </c>
      <c r="B16" s="861"/>
      <c r="C16" s="861"/>
      <c r="D16" s="861"/>
      <c r="E16" s="861"/>
      <c r="F16" s="861"/>
      <c r="G16" s="861"/>
      <c r="H16" s="862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65" t="s">
        <v>103</v>
      </c>
      <c r="B17" s="679"/>
      <c r="C17" s="679"/>
      <c r="D17" s="680"/>
      <c r="E17" s="155" t="s">
        <v>104</v>
      </c>
      <c r="F17" s="155" t="s">
        <v>113</v>
      </c>
      <c r="G17" s="156" t="s">
        <v>106</v>
      </c>
      <c r="H17" s="157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148</v>
      </c>
      <c r="B18" s="666"/>
      <c r="C18" s="666"/>
      <c r="D18" s="667"/>
      <c r="E18" s="7" t="s">
        <v>61</v>
      </c>
      <c r="F18" s="80">
        <v>350</v>
      </c>
      <c r="G18" s="158">
        <f>$G$28</f>
        <v>0.14000000000000001</v>
      </c>
      <c r="H18" s="79">
        <f>F18/G18</f>
        <v>2499.9999999999995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149</v>
      </c>
      <c r="B19" s="666"/>
      <c r="C19" s="666"/>
      <c r="D19" s="667"/>
      <c r="E19" s="7" t="s">
        <v>61</v>
      </c>
      <c r="F19" s="80">
        <v>350</v>
      </c>
      <c r="G19" s="158">
        <f>$G$28</f>
        <v>0.14000000000000001</v>
      </c>
      <c r="H19" s="79">
        <f>F19/G19</f>
        <v>2499.9999999999995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188</v>
      </c>
      <c r="B20" s="666"/>
      <c r="C20" s="666"/>
      <c r="D20" s="667"/>
      <c r="E20" s="7" t="s">
        <v>30</v>
      </c>
      <c r="F20" s="80">
        <v>5625</v>
      </c>
      <c r="G20" s="474">
        <v>1</v>
      </c>
      <c r="H20" s="79">
        <f>F20/G20</f>
        <v>5625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190</v>
      </c>
      <c r="B21" s="666"/>
      <c r="C21" s="666"/>
      <c r="D21" s="667"/>
      <c r="E21" s="7" t="s">
        <v>30</v>
      </c>
      <c r="F21" s="80">
        <v>3500</v>
      </c>
      <c r="G21" s="474">
        <v>1</v>
      </c>
      <c r="H21" s="79">
        <f>F21/G21</f>
        <v>3500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131</v>
      </c>
      <c r="B22" s="666"/>
      <c r="C22" s="666"/>
      <c r="D22" s="667"/>
      <c r="E22" s="7" t="s">
        <v>132</v>
      </c>
      <c r="F22" s="80">
        <v>750</v>
      </c>
      <c r="G22" s="7">
        <v>64</v>
      </c>
      <c r="H22" s="79">
        <f>F22*G22</f>
        <v>48000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4" t="s">
        <v>194</v>
      </c>
      <c r="B23" s="666"/>
      <c r="C23" s="666"/>
      <c r="D23" s="667"/>
      <c r="E23" s="7" t="s">
        <v>8</v>
      </c>
      <c r="F23" s="80">
        <v>250</v>
      </c>
      <c r="G23" s="7">
        <v>8</v>
      </c>
      <c r="H23" s="79">
        <f>F23*G23</f>
        <v>2000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63"/>
      <c r="B24" s="686"/>
      <c r="C24" s="686"/>
      <c r="D24" s="687"/>
      <c r="E24" s="159"/>
      <c r="F24" s="160"/>
      <c r="G24" s="159"/>
      <c r="H24" s="161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64" t="s">
        <v>195</v>
      </c>
      <c r="B25" s="672"/>
      <c r="C25" s="672"/>
      <c r="D25" s="672"/>
      <c r="E25" s="672"/>
      <c r="F25" s="672"/>
      <c r="G25" s="673"/>
      <c r="H25" s="86">
        <f>ROUNDUP(SUM(H18:H24),0)</f>
        <v>64125</v>
      </c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1" t="s">
        <v>118</v>
      </c>
      <c r="B26" s="676"/>
      <c r="C26" s="676"/>
      <c r="D26" s="676"/>
      <c r="E26" s="676"/>
      <c r="F26" s="676"/>
      <c r="G26" s="676"/>
      <c r="H26" s="812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3" t="s">
        <v>119</v>
      </c>
      <c r="B27" s="679"/>
      <c r="C27" s="679"/>
      <c r="D27" s="680"/>
      <c r="E27" s="65" t="s">
        <v>120</v>
      </c>
      <c r="F27" s="66" t="s">
        <v>121</v>
      </c>
      <c r="G27" s="67" t="s">
        <v>106</v>
      </c>
      <c r="H27" s="68" t="s">
        <v>107</v>
      </c>
      <c r="J27" s="40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8" t="str">
        <f>'Analisis de cuadrillas'!C9</f>
        <v>Cuadrilla Estructural</v>
      </c>
      <c r="B28" s="666"/>
      <c r="C28" s="666"/>
      <c r="D28" s="667"/>
      <c r="E28" s="7">
        <v>1</v>
      </c>
      <c r="F28" s="88">
        <f>'Analisis de cuadrillas'!G9</f>
        <v>56186.910333333333</v>
      </c>
      <c r="G28" s="158">
        <v>0.14000000000000001</v>
      </c>
      <c r="H28" s="79">
        <f>(E28*F28)/G28</f>
        <v>401335.07380952378</v>
      </c>
      <c r="I28" s="58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8"/>
      <c r="B29" s="666"/>
      <c r="C29" s="666"/>
      <c r="D29" s="667"/>
      <c r="E29" s="5"/>
      <c r="F29" s="88"/>
      <c r="G29" s="5"/>
      <c r="H29" s="79"/>
      <c r="I29" s="40"/>
      <c r="J29" s="73"/>
      <c r="K29" s="40"/>
      <c r="L29" s="107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5"/>
      <c r="B30" s="666"/>
      <c r="C30" s="666"/>
      <c r="D30" s="667"/>
      <c r="E30" s="5"/>
      <c r="F30" s="88"/>
      <c r="G30" s="5"/>
      <c r="H30" s="79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6"/>
      <c r="B31" s="686"/>
      <c r="C31" s="686"/>
      <c r="D31" s="687"/>
      <c r="E31" s="89"/>
      <c r="F31" s="90"/>
      <c r="G31" s="56"/>
      <c r="H31" s="91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817" t="s">
        <v>122</v>
      </c>
      <c r="B32" s="672"/>
      <c r="C32" s="672"/>
      <c r="D32" s="672"/>
      <c r="E32" s="672"/>
      <c r="F32" s="672"/>
      <c r="G32" s="673"/>
      <c r="H32" s="86">
        <f>ROUNDUP(SUM(H28:H31),0)</f>
        <v>401336</v>
      </c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770" t="s">
        <v>123</v>
      </c>
      <c r="B34" s="672"/>
      <c r="C34" s="672"/>
      <c r="D34" s="672"/>
      <c r="E34" s="672"/>
      <c r="F34" s="672"/>
      <c r="G34" s="714"/>
      <c r="H34" s="92">
        <f>+H32+H15+H25</f>
        <v>768641</v>
      </c>
      <c r="J34" s="40"/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>
      <c r="A36" s="291" t="s">
        <v>1</v>
      </c>
      <c r="B36" s="761" t="str">
        <f>'1.1'!B32</f>
        <v>Johan Sebastian Alvarez, Daniel Eduardo Ochoa Mora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247</v>
      </c>
      <c r="B37" s="761" t="str">
        <f>'1.1'!B33</f>
        <v>ing. Alexander Solarte Benavides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248</v>
      </c>
      <c r="B38" s="761" t="str">
        <f>'1.1'!B34</f>
        <v>ing.Alexander Solarte Benavides</v>
      </c>
      <c r="C38" s="762"/>
      <c r="D38" s="762"/>
      <c r="E38" s="762"/>
      <c r="F38" s="762"/>
      <c r="G38" s="762"/>
      <c r="H38" s="762"/>
      <c r="K38" s="40"/>
    </row>
    <row r="39" spans="1:26" ht="14.25" customHeight="1">
      <c r="A39" s="291" t="s">
        <v>4</v>
      </c>
      <c r="B39" s="761" t="str">
        <f>'1.1'!B35</f>
        <v>12 de Noviembre del 2020</v>
      </c>
      <c r="C39" s="810"/>
      <c r="D39" s="810"/>
      <c r="E39" s="810"/>
      <c r="F39" s="810"/>
      <c r="G39" s="810"/>
      <c r="H39" s="810"/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4.25" customHeight="1">
      <c r="K239" s="40"/>
    </row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sheetProtection algorithmName="SHA-512" hashValue="isBfc1u13BeRBhcBj+IqMd8JsDd/BeZ+qvn4gJg0FqUOgX1LXz8az2p51y3R2q85z44pFcSNTSd+Xxu7yRZhmQ==" saltValue="AbwB61+lXbKPTaHvzlD2zQ==" spinCount="100000" sheet="1" objects="1" scenarios="1" selectLockedCells="1" selectUnlockedCells="1"/>
  <mergeCells count="40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G15"/>
    <mergeCell ref="A16:H16"/>
    <mergeCell ref="A17:D17"/>
    <mergeCell ref="A18:D18"/>
    <mergeCell ref="A19:D19"/>
    <mergeCell ref="A20:D20"/>
    <mergeCell ref="A21:D21"/>
    <mergeCell ref="A22:D22"/>
    <mergeCell ref="A23:D23"/>
    <mergeCell ref="A30:D30"/>
    <mergeCell ref="A31:D31"/>
    <mergeCell ref="A32:G32"/>
    <mergeCell ref="A24:D24"/>
    <mergeCell ref="A25:G25"/>
    <mergeCell ref="A26:H26"/>
    <mergeCell ref="A27:D27"/>
    <mergeCell ref="A28:D28"/>
    <mergeCell ref="A29:D29"/>
    <mergeCell ref="A34:G34"/>
    <mergeCell ref="B36:H36"/>
    <mergeCell ref="B37:H37"/>
    <mergeCell ref="B38:H38"/>
    <mergeCell ref="B39:H39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5"/>
  <sheetViews>
    <sheetView showGridLines="0" topLeftCell="A21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5.15" customHeight="1">
      <c r="A1" s="843" t="str">
        <f>'5.6'!A1:H1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Presupuesto!B38</f>
        <v>5.7</v>
      </c>
      <c r="B5" s="780" t="str">
        <f>Presupuesto!C38</f>
        <v>Concreto para viga a nivel de culata</v>
      </c>
      <c r="C5" s="686"/>
      <c r="D5" s="686"/>
      <c r="E5" s="686"/>
      <c r="F5" s="687"/>
      <c r="G5" s="866" t="str">
        <f>Presupuesto!D38</f>
        <v>M3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350</v>
      </c>
      <c r="H8" s="79">
        <f>F8*G8</f>
        <v>196000</v>
      </c>
      <c r="K8" s="40"/>
    </row>
    <row r="9" spans="1:26" ht="14.25" customHeight="1">
      <c r="A9" s="814" t="s">
        <v>249</v>
      </c>
      <c r="B9" s="666"/>
      <c r="C9" s="666"/>
      <c r="D9" s="667"/>
      <c r="E9" s="7" t="s">
        <v>26</v>
      </c>
      <c r="F9" s="80">
        <v>61000</v>
      </c>
      <c r="G9" s="7">
        <v>0.56000000000000005</v>
      </c>
      <c r="H9" s="79">
        <f>F9*G9</f>
        <v>34160</v>
      </c>
      <c r="K9" s="40"/>
    </row>
    <row r="10" spans="1:26" ht="14.25" customHeight="1">
      <c r="A10" s="814" t="s">
        <v>141</v>
      </c>
      <c r="B10" s="666"/>
      <c r="C10" s="666"/>
      <c r="D10" s="667"/>
      <c r="E10" s="7" t="s">
        <v>26</v>
      </c>
      <c r="F10" s="80">
        <v>65500</v>
      </c>
      <c r="G10" s="7">
        <v>0.84</v>
      </c>
      <c r="H10" s="79">
        <f>F10*G10</f>
        <v>55020</v>
      </c>
      <c r="K10" s="40"/>
    </row>
    <row r="11" spans="1:26" ht="14.25" customHeight="1">
      <c r="A11" s="846" t="s">
        <v>184</v>
      </c>
      <c r="B11" s="666"/>
      <c r="C11" s="666"/>
      <c r="D11" s="667"/>
      <c r="E11" s="7" t="s">
        <v>185</v>
      </c>
      <c r="F11" s="80">
        <v>100</v>
      </c>
      <c r="G11" s="7">
        <v>180</v>
      </c>
      <c r="H11" s="79">
        <f>F11*G11</f>
        <v>18000</v>
      </c>
      <c r="K11" s="40"/>
    </row>
    <row r="12" spans="1:26" ht="14.25" customHeight="1">
      <c r="A12" s="814"/>
      <c r="B12" s="666"/>
      <c r="C12" s="666"/>
      <c r="D12" s="667"/>
      <c r="E12" s="7"/>
      <c r="F12" s="80"/>
      <c r="G12" s="150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/>
      <c r="B13" s="666"/>
      <c r="C13" s="666"/>
      <c r="D13" s="667"/>
      <c r="E13" s="7"/>
      <c r="F13" s="80"/>
      <c r="G13" s="7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9"/>
      <c r="B14" s="700"/>
      <c r="C14" s="700"/>
      <c r="D14" s="776"/>
      <c r="E14" s="56"/>
      <c r="F14" s="85"/>
      <c r="G14" s="56"/>
      <c r="H14" s="79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17" t="s">
        <v>110</v>
      </c>
      <c r="B15" s="672"/>
      <c r="C15" s="672"/>
      <c r="D15" s="672"/>
      <c r="E15" s="672"/>
      <c r="F15" s="672"/>
      <c r="G15" s="714"/>
      <c r="H15" s="81">
        <f>ROUND(SUM(H8:H14),0)</f>
        <v>303180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0" t="s">
        <v>112</v>
      </c>
      <c r="B16" s="672"/>
      <c r="C16" s="672"/>
      <c r="D16" s="672"/>
      <c r="E16" s="672"/>
      <c r="F16" s="672"/>
      <c r="G16" s="672"/>
      <c r="H16" s="673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1" t="s">
        <v>103</v>
      </c>
      <c r="B17" s="703"/>
      <c r="C17" s="703"/>
      <c r="D17" s="715"/>
      <c r="E17" s="59" t="s">
        <v>104</v>
      </c>
      <c r="F17" s="59" t="s">
        <v>113</v>
      </c>
      <c r="G17" s="60" t="s">
        <v>106</v>
      </c>
      <c r="H17" s="62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148</v>
      </c>
      <c r="B18" s="666"/>
      <c r="C18" s="666"/>
      <c r="D18" s="667"/>
      <c r="E18" s="7" t="s">
        <v>61</v>
      </c>
      <c r="F18" s="80">
        <v>350</v>
      </c>
      <c r="G18" s="5">
        <f>$G$29</f>
        <v>0.5</v>
      </c>
      <c r="H18" s="79">
        <f t="shared" ref="H18:H23" si="0">F18/G18</f>
        <v>700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149</v>
      </c>
      <c r="B19" s="666"/>
      <c r="C19" s="666"/>
      <c r="D19" s="667"/>
      <c r="E19" s="7" t="s">
        <v>61</v>
      </c>
      <c r="F19" s="80">
        <v>350</v>
      </c>
      <c r="G19" s="141">
        <f t="shared" ref="G19:G21" si="1">$G$29</f>
        <v>0.5</v>
      </c>
      <c r="H19" s="79">
        <f t="shared" si="0"/>
        <v>700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188</v>
      </c>
      <c r="B20" s="666"/>
      <c r="C20" s="666"/>
      <c r="D20" s="667"/>
      <c r="E20" s="7" t="s">
        <v>30</v>
      </c>
      <c r="F20" s="80">
        <v>5625</v>
      </c>
      <c r="G20" s="141">
        <f t="shared" si="1"/>
        <v>0.5</v>
      </c>
      <c r="H20" s="79">
        <f t="shared" si="0"/>
        <v>11250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190</v>
      </c>
      <c r="B21" s="666"/>
      <c r="C21" s="666"/>
      <c r="D21" s="667"/>
      <c r="E21" s="7" t="s">
        <v>30</v>
      </c>
      <c r="F21" s="80">
        <v>3500</v>
      </c>
      <c r="G21" s="141">
        <f t="shared" si="1"/>
        <v>0.5</v>
      </c>
      <c r="H21" s="79">
        <f t="shared" si="0"/>
        <v>7000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131</v>
      </c>
      <c r="B22" s="666"/>
      <c r="C22" s="666"/>
      <c r="D22" s="667"/>
      <c r="E22" s="7" t="s">
        <v>132</v>
      </c>
      <c r="F22" s="80">
        <v>750</v>
      </c>
      <c r="G22" s="7">
        <v>64</v>
      </c>
      <c r="H22" s="79">
        <f t="shared" si="0"/>
        <v>11.71875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46" t="s">
        <v>194</v>
      </c>
      <c r="B23" s="666"/>
      <c r="C23" s="666"/>
      <c r="D23" s="667"/>
      <c r="E23" s="7" t="s">
        <v>8</v>
      </c>
      <c r="F23" s="80">
        <v>250</v>
      </c>
      <c r="G23" s="7">
        <v>128</v>
      </c>
      <c r="H23" s="79">
        <f t="shared" si="0"/>
        <v>1.953125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4"/>
      <c r="B24" s="666"/>
      <c r="C24" s="666"/>
      <c r="D24" s="667"/>
      <c r="E24" s="7"/>
      <c r="F24" s="80"/>
      <c r="G24" s="7"/>
      <c r="H24" s="79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9"/>
      <c r="B25" s="700"/>
      <c r="C25" s="700"/>
      <c r="D25" s="776"/>
      <c r="E25" s="56"/>
      <c r="F25" s="85"/>
      <c r="G25" s="5"/>
      <c r="H25" s="79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7" t="s">
        <v>116</v>
      </c>
      <c r="B26" s="672"/>
      <c r="C26" s="672"/>
      <c r="D26" s="672"/>
      <c r="E26" s="672"/>
      <c r="F26" s="672"/>
      <c r="G26" s="714"/>
      <c r="H26" s="86">
        <f>ROUNDUP(SUM(H18:H25),0)</f>
        <v>19664</v>
      </c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1" t="s">
        <v>118</v>
      </c>
      <c r="B27" s="676"/>
      <c r="C27" s="676"/>
      <c r="D27" s="676"/>
      <c r="E27" s="676"/>
      <c r="F27" s="676"/>
      <c r="G27" s="676"/>
      <c r="H27" s="812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3" t="s">
        <v>119</v>
      </c>
      <c r="B28" s="679"/>
      <c r="C28" s="679"/>
      <c r="D28" s="680"/>
      <c r="E28" s="65" t="s">
        <v>120</v>
      </c>
      <c r="F28" s="66" t="s">
        <v>121</v>
      </c>
      <c r="G28" s="67" t="s">
        <v>106</v>
      </c>
      <c r="H28" s="68" t="s">
        <v>107</v>
      </c>
      <c r="J28" s="40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8" t="str">
        <f>'Analisis de cuadrillas'!C9</f>
        <v>Cuadrilla Estructural</v>
      </c>
      <c r="B29" s="666"/>
      <c r="C29" s="666"/>
      <c r="D29" s="667"/>
      <c r="E29" s="7">
        <v>1</v>
      </c>
      <c r="F29" s="88">
        <f>'Analisis de cuadrillas'!G9</f>
        <v>56186.910333333333</v>
      </c>
      <c r="G29" s="7">
        <f>0.5/1</f>
        <v>0.5</v>
      </c>
      <c r="H29" s="79">
        <f>(E29*F29)/G29</f>
        <v>112373.82066666667</v>
      </c>
      <c r="I29" s="40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8"/>
      <c r="B30" s="666"/>
      <c r="C30" s="666"/>
      <c r="D30" s="667"/>
      <c r="E30" s="5"/>
      <c r="F30" s="88"/>
      <c r="G30" s="5"/>
      <c r="H30" s="79"/>
      <c r="I30" s="40"/>
      <c r="J30" s="73"/>
      <c r="K30" s="40"/>
      <c r="L30" s="107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5"/>
      <c r="B31" s="666"/>
      <c r="C31" s="666"/>
      <c r="D31" s="667"/>
      <c r="E31" s="5"/>
      <c r="F31" s="88"/>
      <c r="G31" s="5"/>
      <c r="H31" s="79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816"/>
      <c r="B32" s="686"/>
      <c r="C32" s="686"/>
      <c r="D32" s="687"/>
      <c r="E32" s="89"/>
      <c r="F32" s="90"/>
      <c r="G32" s="56"/>
      <c r="H32" s="91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A33" s="817" t="s">
        <v>122</v>
      </c>
      <c r="B33" s="672"/>
      <c r="C33" s="672"/>
      <c r="D33" s="672"/>
      <c r="E33" s="672"/>
      <c r="F33" s="672"/>
      <c r="G33" s="673"/>
      <c r="H33" s="86">
        <f>ROUNDUP(SUM(H29:H32),0)</f>
        <v>112374</v>
      </c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A35" s="770" t="s">
        <v>123</v>
      </c>
      <c r="B35" s="672"/>
      <c r="C35" s="672"/>
      <c r="D35" s="672"/>
      <c r="E35" s="672"/>
      <c r="F35" s="672"/>
      <c r="G35" s="714"/>
      <c r="H35" s="92">
        <f>+H33+H15+H26</f>
        <v>435218</v>
      </c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>
      <c r="J36" s="40"/>
      <c r="K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4.25" customHeight="1">
      <c r="A37" s="291" t="s">
        <v>1</v>
      </c>
      <c r="B37" s="761" t="str">
        <f>'1.1'!B32</f>
        <v>Johan Sebastian Alvarez, Daniel Eduardo Ochoa Mora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247</v>
      </c>
      <c r="B38" s="761" t="str">
        <f>'1.1'!B33</f>
        <v>ing. Alexander Solarte Benavides</v>
      </c>
      <c r="C38" s="762"/>
      <c r="D38" s="762"/>
      <c r="E38" s="762"/>
      <c r="F38" s="762"/>
      <c r="G38" s="762"/>
      <c r="H38" s="762"/>
      <c r="K38" s="40"/>
    </row>
    <row r="39" spans="1:26" ht="14.25" customHeight="1">
      <c r="A39" s="291" t="s">
        <v>248</v>
      </c>
      <c r="B39" s="761" t="str">
        <f>'1.1'!B34</f>
        <v>ing.Alexander Solarte Benavides</v>
      </c>
      <c r="C39" s="762"/>
      <c r="D39" s="762"/>
      <c r="E39" s="762"/>
      <c r="F39" s="762"/>
      <c r="G39" s="762"/>
      <c r="H39" s="762"/>
      <c r="K39" s="40"/>
    </row>
    <row r="40" spans="1:26" ht="14.25" customHeight="1">
      <c r="A40" s="291" t="s">
        <v>4</v>
      </c>
      <c r="B40" s="761" t="str">
        <f>'1.1'!B35</f>
        <v>12 de Noviembre del 2020</v>
      </c>
      <c r="C40" s="810"/>
      <c r="D40" s="810"/>
      <c r="E40" s="810"/>
      <c r="F40" s="810"/>
      <c r="G40" s="810"/>
      <c r="H40" s="810"/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4.25" customHeight="1">
      <c r="K239" s="40"/>
    </row>
    <row r="240" spans="11:11" ht="14.25" customHeight="1">
      <c r="K240" s="4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sheetProtection algorithmName="SHA-512" hashValue="KZvOt7Y1lhX7JPGjYceNbDiLaqkxxRWUNseKu+rbwJNeaY/7hUvb8MAx4k+gJ5qvIj+nbpZD88fQHDphSeeKBw==" saltValue="8x0D+zTUVoQ5qQbBlGS3Xw==" spinCount="100000" sheet="1" objects="1" scenarios="1" selectLockedCells="1" selectUnlockedCells="1"/>
  <mergeCells count="41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G15"/>
    <mergeCell ref="A16:H16"/>
    <mergeCell ref="A17:D17"/>
    <mergeCell ref="A18:D18"/>
    <mergeCell ref="A19:D19"/>
    <mergeCell ref="A20:D20"/>
    <mergeCell ref="A21:D21"/>
    <mergeCell ref="A22:D22"/>
    <mergeCell ref="A23:D23"/>
    <mergeCell ref="A31:D31"/>
    <mergeCell ref="A32:D32"/>
    <mergeCell ref="A33:G33"/>
    <mergeCell ref="A24:D24"/>
    <mergeCell ref="A25:D25"/>
    <mergeCell ref="A26:G26"/>
    <mergeCell ref="A27:H27"/>
    <mergeCell ref="A28:D28"/>
    <mergeCell ref="A29:D29"/>
    <mergeCell ref="A30:D30"/>
    <mergeCell ref="A35:G35"/>
    <mergeCell ref="B37:H37"/>
    <mergeCell ref="B38:H38"/>
    <mergeCell ref="B39:H39"/>
    <mergeCell ref="B40:H40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5"/>
  <sheetViews>
    <sheetView showGridLines="0" topLeftCell="A17" zoomScale="95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14" width="10" customWidth="1"/>
    <col min="15" max="15" width="11.75" customWidth="1"/>
    <col min="16" max="17" width="10" customWidth="1"/>
    <col min="18" max="18" width="11.375" customWidth="1"/>
    <col min="19" max="26" width="10" customWidth="1"/>
  </cols>
  <sheetData>
    <row r="1" spans="1:26" ht="27.6" customHeight="1">
      <c r="A1" s="843" t="str">
        <f>'5.7'!A1:H1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I1" s="2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I2" s="2"/>
      <c r="K2" s="40"/>
      <c r="N2" s="145"/>
      <c r="O2" s="145"/>
      <c r="P2" s="2"/>
      <c r="R2" s="145"/>
      <c r="S2" s="145"/>
      <c r="T2" s="2"/>
    </row>
    <row r="3" spans="1:26" ht="15.75" customHeigh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  <c r="M3" s="2"/>
      <c r="N3" s="2"/>
      <c r="O3" s="2"/>
      <c r="P3" s="109"/>
      <c r="R3" s="2"/>
      <c r="S3" s="2"/>
      <c r="T3" s="109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I4" s="2"/>
      <c r="K4" s="40"/>
      <c r="N4" s="2"/>
      <c r="O4" s="2"/>
      <c r="P4" s="109"/>
      <c r="R4" s="2"/>
      <c r="S4" s="2"/>
      <c r="T4" s="109"/>
    </row>
    <row r="5" spans="1:26" ht="14.25" customHeight="1">
      <c r="A5" s="49">
        <f>Presupuesto!B39</f>
        <v>5.8</v>
      </c>
      <c r="B5" s="780" t="str">
        <f>Presupuesto!C39</f>
        <v xml:space="preserve">Meson de concreto, e=10 cms, Ancho 60 cm </v>
      </c>
      <c r="C5" s="686"/>
      <c r="D5" s="686"/>
      <c r="E5" s="686"/>
      <c r="F5" s="687"/>
      <c r="G5" s="866" t="str">
        <f>Presupuesto!D39</f>
        <v>M2</v>
      </c>
      <c r="H5" s="822"/>
      <c r="I5" s="2"/>
      <c r="K5" s="40"/>
      <c r="N5" s="2"/>
      <c r="O5" s="2"/>
      <c r="P5" s="109"/>
      <c r="R5" s="2"/>
      <c r="S5" s="2"/>
      <c r="T5" s="109"/>
    </row>
    <row r="6" spans="1:26" ht="14.25" customHeight="1">
      <c r="A6" s="868" t="s">
        <v>102</v>
      </c>
      <c r="B6" s="675"/>
      <c r="C6" s="675"/>
      <c r="D6" s="675"/>
      <c r="E6" s="675"/>
      <c r="F6" s="675"/>
      <c r="G6" s="675"/>
      <c r="H6" s="869"/>
      <c r="K6" s="40"/>
      <c r="N6" s="145"/>
      <c r="O6" s="145"/>
      <c r="P6" s="2"/>
    </row>
    <row r="7" spans="1:26" ht="14.25" customHeight="1">
      <c r="A7" s="813" t="s">
        <v>103</v>
      </c>
      <c r="B7" s="679"/>
      <c r="C7" s="679"/>
      <c r="D7" s="680"/>
      <c r="E7" s="66" t="s">
        <v>104</v>
      </c>
      <c r="F7" s="66" t="s">
        <v>105</v>
      </c>
      <c r="G7" s="66" t="s">
        <v>106</v>
      </c>
      <c r="H7" s="162" t="s">
        <v>107</v>
      </c>
      <c r="K7" s="40"/>
      <c r="N7" s="2"/>
      <c r="O7" s="2"/>
      <c r="P7" s="109"/>
    </row>
    <row r="8" spans="1:26" ht="14.25" customHeight="1">
      <c r="A8" s="814" t="s">
        <v>163</v>
      </c>
      <c r="B8" s="666"/>
      <c r="C8" s="666"/>
      <c r="D8" s="667"/>
      <c r="E8" s="7" t="s">
        <v>30</v>
      </c>
      <c r="F8" s="80">
        <v>1150</v>
      </c>
      <c r="G8" s="7">
        <v>73</v>
      </c>
      <c r="H8" s="79">
        <f t="shared" ref="H8:H14" si="0">F8*G8</f>
        <v>83950</v>
      </c>
      <c r="K8" s="40"/>
      <c r="N8" s="2"/>
      <c r="O8" s="2"/>
      <c r="P8" s="109"/>
      <c r="R8" s="145"/>
      <c r="S8" s="109"/>
    </row>
    <row r="9" spans="1:26" ht="14.25" customHeight="1">
      <c r="A9" s="814" t="s">
        <v>164</v>
      </c>
      <c r="B9" s="666"/>
      <c r="C9" s="666"/>
      <c r="D9" s="667"/>
      <c r="E9" s="7" t="s">
        <v>42</v>
      </c>
      <c r="F9" s="80">
        <v>560</v>
      </c>
      <c r="G9" s="7">
        <v>94</v>
      </c>
      <c r="H9" s="79">
        <f t="shared" si="0"/>
        <v>52640</v>
      </c>
      <c r="K9" s="40"/>
      <c r="N9" s="2"/>
      <c r="O9" s="2"/>
      <c r="P9" s="109"/>
      <c r="R9" s="145"/>
      <c r="S9" s="109"/>
    </row>
    <row r="10" spans="1:26" ht="14.25" customHeight="1">
      <c r="A10" s="814" t="s">
        <v>249</v>
      </c>
      <c r="B10" s="666"/>
      <c r="C10" s="666"/>
      <c r="D10" s="667"/>
      <c r="E10" s="7" t="s">
        <v>26</v>
      </c>
      <c r="F10" s="80">
        <v>61000</v>
      </c>
      <c r="G10" s="7">
        <v>0.13</v>
      </c>
      <c r="H10" s="79">
        <f t="shared" si="0"/>
        <v>7930</v>
      </c>
      <c r="J10" s="2"/>
      <c r="K10" s="58"/>
      <c r="L10" s="2"/>
      <c r="N10" s="2"/>
      <c r="O10" s="2"/>
      <c r="P10" s="109"/>
      <c r="R10" s="145"/>
      <c r="S10" s="109"/>
    </row>
    <row r="11" spans="1:26" ht="14.25" customHeight="1">
      <c r="A11" s="814" t="s">
        <v>141</v>
      </c>
      <c r="B11" s="666"/>
      <c r="C11" s="666"/>
      <c r="D11" s="667"/>
      <c r="E11" s="7" t="s">
        <v>26</v>
      </c>
      <c r="F11" s="80">
        <v>65500</v>
      </c>
      <c r="G11" s="7">
        <v>0.13</v>
      </c>
      <c r="H11" s="79">
        <f t="shared" si="0"/>
        <v>8515</v>
      </c>
      <c r="J11" s="2"/>
      <c r="K11" s="58"/>
      <c r="L11" s="2"/>
      <c r="O11" s="2"/>
      <c r="P11" s="2"/>
      <c r="Q11" s="2"/>
      <c r="R11" s="145"/>
      <c r="S11" s="109"/>
    </row>
    <row r="12" spans="1:26" ht="14.25" customHeight="1">
      <c r="A12" s="814" t="s">
        <v>184</v>
      </c>
      <c r="B12" s="666"/>
      <c r="C12" s="666"/>
      <c r="D12" s="667"/>
      <c r="E12" s="7" t="s">
        <v>185</v>
      </c>
      <c r="F12" s="80">
        <v>100</v>
      </c>
      <c r="G12" s="7">
        <v>21</v>
      </c>
      <c r="H12" s="79">
        <f t="shared" si="0"/>
        <v>2100</v>
      </c>
      <c r="J12" s="2"/>
      <c r="K12" s="58"/>
      <c r="L12" s="2"/>
      <c r="O12" s="2"/>
      <c r="P12" s="2"/>
      <c r="Q12" s="2"/>
      <c r="R12" s="145"/>
      <c r="S12" s="109"/>
    </row>
    <row r="13" spans="1:26" ht="14.25" customHeight="1">
      <c r="A13" s="814" t="s">
        <v>186</v>
      </c>
      <c r="B13" s="666"/>
      <c r="C13" s="666"/>
      <c r="D13" s="667"/>
      <c r="E13" s="7" t="s">
        <v>42</v>
      </c>
      <c r="F13" s="80">
        <v>4000</v>
      </c>
      <c r="G13" s="7">
        <v>10.8</v>
      </c>
      <c r="H13" s="79">
        <f t="shared" si="0"/>
        <v>43200</v>
      </c>
      <c r="J13" s="2"/>
      <c r="K13" s="58"/>
      <c r="P13" s="109"/>
      <c r="Q13" s="109"/>
    </row>
    <row r="14" spans="1:26" ht="14.25" customHeight="1">
      <c r="A14" s="814" t="s">
        <v>187</v>
      </c>
      <c r="B14" s="666"/>
      <c r="C14" s="666"/>
      <c r="D14" s="667"/>
      <c r="E14" s="7" t="s">
        <v>42</v>
      </c>
      <c r="F14" s="80">
        <v>4500</v>
      </c>
      <c r="G14" s="7">
        <v>1.08</v>
      </c>
      <c r="H14" s="79">
        <f t="shared" si="0"/>
        <v>4860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63"/>
      <c r="B15" s="686"/>
      <c r="C15" s="686"/>
      <c r="D15" s="687"/>
      <c r="E15" s="159"/>
      <c r="F15" s="160"/>
      <c r="G15" s="159"/>
      <c r="H15" s="161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67" t="s">
        <v>110</v>
      </c>
      <c r="B16" s="861"/>
      <c r="C16" s="861"/>
      <c r="D16" s="861"/>
      <c r="E16" s="861"/>
      <c r="F16" s="861"/>
      <c r="G16" s="862"/>
      <c r="H16" s="163">
        <f>ROUND(SUM(H8:H15),0)</f>
        <v>203195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60" t="s">
        <v>112</v>
      </c>
      <c r="B17" s="861"/>
      <c r="C17" s="861"/>
      <c r="D17" s="861"/>
      <c r="E17" s="861"/>
      <c r="F17" s="861"/>
      <c r="G17" s="861"/>
      <c r="H17" s="862"/>
      <c r="K17" s="40"/>
      <c r="M17" s="40"/>
      <c r="N17" s="40"/>
      <c r="O17" s="58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21" t="s">
        <v>103</v>
      </c>
      <c r="B18" s="703"/>
      <c r="C18" s="703"/>
      <c r="D18" s="715"/>
      <c r="E18" s="59" t="s">
        <v>104</v>
      </c>
      <c r="F18" s="59" t="s">
        <v>113</v>
      </c>
      <c r="G18" s="60" t="s">
        <v>106</v>
      </c>
      <c r="H18" s="62" t="s">
        <v>107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148</v>
      </c>
      <c r="B19" s="666"/>
      <c r="C19" s="666"/>
      <c r="D19" s="667"/>
      <c r="E19" s="7" t="s">
        <v>61</v>
      </c>
      <c r="F19" s="80">
        <v>350</v>
      </c>
      <c r="G19" s="5">
        <f>$G$29</f>
        <v>0.5</v>
      </c>
      <c r="H19" s="79">
        <f>F19/G19</f>
        <v>700</v>
      </c>
      <c r="J19" s="11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149</v>
      </c>
      <c r="B20" s="666"/>
      <c r="C20" s="666"/>
      <c r="D20" s="667"/>
      <c r="E20" s="7" t="s">
        <v>61</v>
      </c>
      <c r="F20" s="80">
        <v>350</v>
      </c>
      <c r="G20" s="5">
        <f>$G$29</f>
        <v>0.5</v>
      </c>
      <c r="H20" s="79">
        <f>F20/G20</f>
        <v>700</v>
      </c>
      <c r="J20" s="40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188</v>
      </c>
      <c r="B21" s="666"/>
      <c r="C21" s="666"/>
      <c r="D21" s="667"/>
      <c r="E21" s="7" t="s">
        <v>30</v>
      </c>
      <c r="F21" s="80">
        <v>4487</v>
      </c>
      <c r="G21" s="141">
        <f t="shared" ref="G21:G22" si="1">$G$29</f>
        <v>0.5</v>
      </c>
      <c r="H21" s="79">
        <f>F21/G21</f>
        <v>8974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190</v>
      </c>
      <c r="B22" s="666"/>
      <c r="C22" s="666"/>
      <c r="D22" s="667"/>
      <c r="E22" s="7" t="s">
        <v>30</v>
      </c>
      <c r="F22" s="80">
        <v>3500</v>
      </c>
      <c r="G22" s="141">
        <f t="shared" si="1"/>
        <v>0.5</v>
      </c>
      <c r="H22" s="79">
        <f>F22/G22</f>
        <v>7000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46" t="s">
        <v>194</v>
      </c>
      <c r="B23" s="666"/>
      <c r="C23" s="666"/>
      <c r="D23" s="667"/>
      <c r="E23" s="7" t="s">
        <v>8</v>
      </c>
      <c r="F23" s="80">
        <v>250</v>
      </c>
      <c r="G23" s="7">
        <v>16</v>
      </c>
      <c r="H23" s="79">
        <f>F23/G23</f>
        <v>15.625</v>
      </c>
      <c r="K23" s="40"/>
      <c r="M23" s="58"/>
      <c r="N23" s="40"/>
      <c r="O23" s="58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/>
      <c r="B24" s="666"/>
      <c r="C24" s="666"/>
      <c r="D24" s="667"/>
      <c r="E24" s="5"/>
      <c r="F24" s="84"/>
      <c r="G24" s="5"/>
      <c r="H24" s="79"/>
      <c r="K24" s="40"/>
      <c r="M24" s="58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9"/>
      <c r="B25" s="700"/>
      <c r="C25" s="700"/>
      <c r="D25" s="776"/>
      <c r="E25" s="56"/>
      <c r="F25" s="85"/>
      <c r="G25" s="56"/>
      <c r="H25" s="79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7" t="s">
        <v>116</v>
      </c>
      <c r="B26" s="672"/>
      <c r="C26" s="672"/>
      <c r="D26" s="672"/>
      <c r="E26" s="672"/>
      <c r="F26" s="672"/>
      <c r="G26" s="714"/>
      <c r="H26" s="86">
        <f>ROUNDUP(SUM(H19:H25),0)</f>
        <v>17390</v>
      </c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1" t="s">
        <v>118</v>
      </c>
      <c r="B27" s="676"/>
      <c r="C27" s="676"/>
      <c r="D27" s="676"/>
      <c r="E27" s="676"/>
      <c r="F27" s="676"/>
      <c r="G27" s="676"/>
      <c r="H27" s="812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3" t="s">
        <v>119</v>
      </c>
      <c r="B28" s="679"/>
      <c r="C28" s="679"/>
      <c r="D28" s="680"/>
      <c r="E28" s="65" t="s">
        <v>120</v>
      </c>
      <c r="F28" s="66" t="s">
        <v>121</v>
      </c>
      <c r="G28" s="67" t="s">
        <v>106</v>
      </c>
      <c r="H28" s="68" t="s">
        <v>107</v>
      </c>
      <c r="J28" s="40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8" t="str">
        <f>'Analisis de cuadrillas'!C9</f>
        <v>Cuadrilla Estructural</v>
      </c>
      <c r="B29" s="666"/>
      <c r="C29" s="666"/>
      <c r="D29" s="667"/>
      <c r="E29" s="7">
        <v>1</v>
      </c>
      <c r="F29" s="88">
        <f>'Analisis de cuadrillas'!G9</f>
        <v>56186.910333333333</v>
      </c>
      <c r="G29" s="7">
        <v>0.5</v>
      </c>
      <c r="H29" s="79">
        <f>(E29*F29)/G29</f>
        <v>112373.82066666667</v>
      </c>
      <c r="I29" s="40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8"/>
      <c r="B30" s="666"/>
      <c r="C30" s="666"/>
      <c r="D30" s="667"/>
      <c r="E30" s="5"/>
      <c r="F30" s="88"/>
      <c r="G30" s="5"/>
      <c r="H30" s="79"/>
      <c r="I30" s="40"/>
      <c r="J30" s="73"/>
      <c r="K30" s="40"/>
      <c r="L30" s="107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5"/>
      <c r="B31" s="666"/>
      <c r="C31" s="666"/>
      <c r="D31" s="667"/>
      <c r="E31" s="5"/>
      <c r="F31" s="88"/>
      <c r="G31" s="5"/>
      <c r="H31" s="79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816"/>
      <c r="B32" s="686"/>
      <c r="C32" s="686"/>
      <c r="D32" s="687"/>
      <c r="E32" s="89"/>
      <c r="F32" s="90"/>
      <c r="G32" s="56"/>
      <c r="H32" s="91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A33" s="817" t="s">
        <v>122</v>
      </c>
      <c r="B33" s="672"/>
      <c r="C33" s="672"/>
      <c r="D33" s="672"/>
      <c r="E33" s="672"/>
      <c r="F33" s="672"/>
      <c r="G33" s="673"/>
      <c r="H33" s="86">
        <f>ROUNDUP(SUM(H29:H32),0)</f>
        <v>112374</v>
      </c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A35" s="770" t="s">
        <v>123</v>
      </c>
      <c r="B35" s="672"/>
      <c r="C35" s="672"/>
      <c r="D35" s="672"/>
      <c r="E35" s="672"/>
      <c r="F35" s="672"/>
      <c r="G35" s="714"/>
      <c r="H35" s="92">
        <f>+H33+H16+H26</f>
        <v>332959</v>
      </c>
      <c r="J35" s="40"/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>
      <c r="J36" s="40"/>
      <c r="K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4.25" customHeight="1">
      <c r="A37" s="291" t="s">
        <v>1</v>
      </c>
      <c r="B37" s="761" t="str">
        <f>'1.1'!B32</f>
        <v>Johan Sebastian Alvarez, Daniel Eduardo Ochoa Mora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247</v>
      </c>
      <c r="B38" s="761" t="str">
        <f>'1.1'!B33</f>
        <v>ing. Alexander Solarte Benavides</v>
      </c>
      <c r="C38" s="762"/>
      <c r="D38" s="762"/>
      <c r="E38" s="762"/>
      <c r="F38" s="762"/>
      <c r="G38" s="762"/>
      <c r="H38" s="762"/>
      <c r="K38" s="40"/>
    </row>
    <row r="39" spans="1:26" ht="14.25" customHeight="1">
      <c r="A39" s="291" t="s">
        <v>248</v>
      </c>
      <c r="B39" s="761" t="str">
        <f>'1.1'!B34</f>
        <v>ing.Alexander Solarte Benavides</v>
      </c>
      <c r="C39" s="762"/>
      <c r="D39" s="762"/>
      <c r="E39" s="762"/>
      <c r="F39" s="762"/>
      <c r="G39" s="762"/>
      <c r="H39" s="762"/>
      <c r="K39" s="40"/>
    </row>
    <row r="40" spans="1:26" ht="14.25" customHeight="1">
      <c r="A40" s="291" t="s">
        <v>4</v>
      </c>
      <c r="B40" s="761" t="str">
        <f>'1.1'!B35</f>
        <v>12 de Noviembre del 2020</v>
      </c>
      <c r="C40" s="810"/>
      <c r="D40" s="810"/>
      <c r="E40" s="810"/>
      <c r="F40" s="810"/>
      <c r="G40" s="810"/>
      <c r="H40" s="810"/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4.25" customHeight="1">
      <c r="K239" s="40"/>
    </row>
    <row r="240" spans="11:11" ht="14.25" customHeight="1">
      <c r="K240" s="40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sheetProtection algorithmName="SHA-512" hashValue="yCsEIW5HBHR46tSr30R7vkEdm6a55W+Dn4scTDNeRkjjnoDu8S05JAizjeIb6ewnJAtzI0nv8WO6yomk/u/FTw==" saltValue="WSktb859Svtix/B7GXm6dg==" spinCount="100000" sheet="1" objects="1" scenarios="1" selectLockedCells="1" selectUnlockedCells="1"/>
  <mergeCells count="41">
    <mergeCell ref="G5:H5"/>
    <mergeCell ref="A6:H6"/>
    <mergeCell ref="A7:D7"/>
    <mergeCell ref="A8:D8"/>
    <mergeCell ref="A1:H1"/>
    <mergeCell ref="B2:F2"/>
    <mergeCell ref="G2:H3"/>
    <mergeCell ref="B3:F3"/>
    <mergeCell ref="G4:H4"/>
    <mergeCell ref="B4:F4"/>
    <mergeCell ref="A9:D9"/>
    <mergeCell ref="A10:D10"/>
    <mergeCell ref="A11:D11"/>
    <mergeCell ref="A12:D12"/>
    <mergeCell ref="B5:F5"/>
    <mergeCell ref="A13:D13"/>
    <mergeCell ref="A14:D14"/>
    <mergeCell ref="A15:D15"/>
    <mergeCell ref="A16:G16"/>
    <mergeCell ref="A17:H17"/>
    <mergeCell ref="A18:D18"/>
    <mergeCell ref="A19:D19"/>
    <mergeCell ref="A20:D20"/>
    <mergeCell ref="A21:D21"/>
    <mergeCell ref="A22:D22"/>
    <mergeCell ref="A23:D23"/>
    <mergeCell ref="A24:D24"/>
    <mergeCell ref="A25:D25"/>
    <mergeCell ref="A26:G26"/>
    <mergeCell ref="A27:H27"/>
    <mergeCell ref="A28:D28"/>
    <mergeCell ref="A29:D29"/>
    <mergeCell ref="B39:H39"/>
    <mergeCell ref="B40:H40"/>
    <mergeCell ref="A30:D30"/>
    <mergeCell ref="A31:D31"/>
    <mergeCell ref="A32:D32"/>
    <mergeCell ref="A33:G33"/>
    <mergeCell ref="A35:G35"/>
    <mergeCell ref="B37:H37"/>
    <mergeCell ref="B38:H38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Z1002"/>
  <sheetViews>
    <sheetView showGridLines="0" topLeftCell="A21" zoomScale="120" zoomScaleNormal="120" workbookViewId="0">
      <selection activeCell="J18" sqref="J18"/>
    </sheetView>
  </sheetViews>
  <sheetFormatPr baseColWidth="10" defaultColWidth="12.625" defaultRowHeight="14.25"/>
  <cols>
    <col min="1" max="3" width="10" style="442" customWidth="1"/>
    <col min="4" max="4" width="11.125" style="442" customWidth="1"/>
    <col min="5" max="5" width="8.75" style="442" customWidth="1"/>
    <col min="6" max="6" width="11.75" style="442" customWidth="1"/>
    <col min="7" max="7" width="12.375" style="442" customWidth="1"/>
    <col min="8" max="8" width="16.875" style="442" customWidth="1"/>
    <col min="9" max="10" width="11.375" style="442" customWidth="1"/>
    <col min="11" max="11" width="12.75" style="442" customWidth="1"/>
    <col min="12" max="12" width="10.5" style="442" customWidth="1"/>
    <col min="13" max="26" width="10" style="442" customWidth="1"/>
    <col min="27" max="16384" width="12.625" style="442"/>
  </cols>
  <sheetData>
    <row r="1" spans="1:26" ht="15" customHeight="1" thickBo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 thickBot="1">
      <c r="A3" s="44">
        <f>Presupuesto!B31</f>
        <v>5</v>
      </c>
      <c r="B3" s="790" t="str">
        <f>Presupuesto!C31</f>
        <v>ESTRUCTURA EN CONCRETO REFORZADO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I4" s="444"/>
      <c r="K4" s="40"/>
    </row>
    <row r="5" spans="1:26" ht="14.25" customHeight="1" thickBot="1">
      <c r="A5" s="49">
        <f>Presupuesto!B40</f>
        <v>5.9</v>
      </c>
      <c r="B5" s="780" t="str">
        <f>Presupuesto!C40</f>
        <v>Estructura placa facil para entrepiso</v>
      </c>
      <c r="C5" s="686"/>
      <c r="D5" s="686"/>
      <c r="E5" s="686"/>
      <c r="F5" s="687"/>
      <c r="G5" s="780" t="str">
        <f>Presupuesto!D40</f>
        <v>M2</v>
      </c>
      <c r="H5" s="822"/>
      <c r="K5" s="40"/>
    </row>
    <row r="6" spans="1:26" ht="14.25" customHeight="1" thickBot="1">
      <c r="A6" s="811" t="s">
        <v>102</v>
      </c>
      <c r="B6" s="676"/>
      <c r="C6" s="676"/>
      <c r="D6" s="676"/>
      <c r="E6" s="676"/>
      <c r="F6" s="676"/>
      <c r="G6" s="676"/>
      <c r="H6" s="812"/>
      <c r="K6" s="40"/>
    </row>
    <row r="7" spans="1:26" ht="14.25" customHeight="1">
      <c r="A7" s="876" t="s">
        <v>103</v>
      </c>
      <c r="B7" s="877"/>
      <c r="C7" s="877"/>
      <c r="D7" s="878"/>
      <c r="E7" s="453" t="s">
        <v>104</v>
      </c>
      <c r="F7" s="453" t="s">
        <v>105</v>
      </c>
      <c r="G7" s="453" t="s">
        <v>106</v>
      </c>
      <c r="H7" s="454" t="s">
        <v>107</v>
      </c>
      <c r="K7" s="40"/>
    </row>
    <row r="8" spans="1:26" ht="14.25" customHeight="1">
      <c r="A8" s="764" t="s">
        <v>164</v>
      </c>
      <c r="B8" s="666"/>
      <c r="C8" s="666"/>
      <c r="D8" s="667"/>
      <c r="E8" s="7" t="s">
        <v>42</v>
      </c>
      <c r="F8" s="80">
        <v>560</v>
      </c>
      <c r="G8" s="7">
        <v>16.45</v>
      </c>
      <c r="H8" s="282">
        <f t="shared" ref="H8:H14" si="0">F8*G8</f>
        <v>9212</v>
      </c>
      <c r="K8" s="40"/>
    </row>
    <row r="9" spans="1:26" ht="14.25" customHeight="1">
      <c r="A9" s="764" t="s">
        <v>249</v>
      </c>
      <c r="B9" s="666"/>
      <c r="C9" s="666"/>
      <c r="D9" s="667"/>
      <c r="E9" s="7" t="s">
        <v>26</v>
      </c>
      <c r="F9" s="80">
        <v>61000</v>
      </c>
      <c r="G9" s="7">
        <v>2.63E-2</v>
      </c>
      <c r="H9" s="282">
        <f t="shared" si="0"/>
        <v>1604.3</v>
      </c>
      <c r="K9" s="40"/>
    </row>
    <row r="10" spans="1:26" ht="15">
      <c r="A10" s="764" t="s">
        <v>141</v>
      </c>
      <c r="B10" s="666"/>
      <c r="C10" s="666"/>
      <c r="D10" s="667"/>
      <c r="E10" s="7" t="s">
        <v>26</v>
      </c>
      <c r="F10" s="80">
        <v>65500</v>
      </c>
      <c r="G10" s="7">
        <v>3.9E-2</v>
      </c>
      <c r="H10" s="282">
        <f t="shared" si="0"/>
        <v>2554.5</v>
      </c>
      <c r="K10" s="40"/>
    </row>
    <row r="11" spans="1:26" ht="14.25" customHeight="1">
      <c r="A11" s="764" t="s">
        <v>184</v>
      </c>
      <c r="B11" s="666"/>
      <c r="C11" s="666"/>
      <c r="D11" s="667"/>
      <c r="E11" s="7" t="s">
        <v>185</v>
      </c>
      <c r="F11" s="80">
        <v>100</v>
      </c>
      <c r="G11" s="7">
        <v>9</v>
      </c>
      <c r="H11" s="282">
        <f t="shared" si="0"/>
        <v>900</v>
      </c>
      <c r="K11" s="40"/>
    </row>
    <row r="12" spans="1:26" ht="14.25" customHeight="1">
      <c r="A12" s="873" t="s">
        <v>367</v>
      </c>
      <c r="B12" s="700"/>
      <c r="C12" s="700"/>
      <c r="D12" s="776"/>
      <c r="E12" s="447" t="s">
        <v>8</v>
      </c>
      <c r="F12" s="448">
        <v>5386</v>
      </c>
      <c r="G12" s="447">
        <v>1</v>
      </c>
      <c r="H12" s="282">
        <f t="shared" si="0"/>
        <v>5386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74" t="s">
        <v>368</v>
      </c>
      <c r="B13" s="802"/>
      <c r="C13" s="802"/>
      <c r="D13" s="802"/>
      <c r="E13" s="449" t="s">
        <v>30</v>
      </c>
      <c r="F13" s="450">
        <v>3700</v>
      </c>
      <c r="G13" s="449">
        <v>5</v>
      </c>
      <c r="H13" s="282">
        <f t="shared" si="0"/>
        <v>18500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70" t="s">
        <v>371</v>
      </c>
      <c r="B14" s="871"/>
      <c r="C14" s="871"/>
      <c r="D14" s="872"/>
      <c r="E14" s="455" t="s">
        <v>15</v>
      </c>
      <c r="F14" s="456">
        <v>20448</v>
      </c>
      <c r="G14" s="457">
        <v>1.1000000000000001</v>
      </c>
      <c r="H14" s="282">
        <f t="shared" si="0"/>
        <v>22492.800000000003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 thickBot="1">
      <c r="A15" s="875" t="s">
        <v>110</v>
      </c>
      <c r="B15" s="705"/>
      <c r="C15" s="705"/>
      <c r="D15" s="705"/>
      <c r="E15" s="705"/>
      <c r="F15" s="705"/>
      <c r="G15" s="706"/>
      <c r="H15" s="451">
        <f>ROUND(SUM(H8:H14),0)</f>
        <v>60650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 thickBot="1">
      <c r="A16" s="860" t="s">
        <v>112</v>
      </c>
      <c r="B16" s="717"/>
      <c r="C16" s="717"/>
      <c r="D16" s="717"/>
      <c r="E16" s="717"/>
      <c r="F16" s="717"/>
      <c r="G16" s="717"/>
      <c r="H16" s="654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1" t="s">
        <v>103</v>
      </c>
      <c r="B17" s="703"/>
      <c r="C17" s="703"/>
      <c r="D17" s="715"/>
      <c r="E17" s="59" t="s">
        <v>104</v>
      </c>
      <c r="F17" s="59" t="s">
        <v>113</v>
      </c>
      <c r="G17" s="60" t="s">
        <v>106</v>
      </c>
      <c r="H17" s="62" t="s">
        <v>107</v>
      </c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148</v>
      </c>
      <c r="B18" s="666"/>
      <c r="C18" s="666"/>
      <c r="D18" s="667"/>
      <c r="E18" s="7" t="s">
        <v>61</v>
      </c>
      <c r="F18" s="80">
        <v>350</v>
      </c>
      <c r="G18" s="7">
        <f>$G$26</f>
        <v>1</v>
      </c>
      <c r="H18" s="79">
        <f>F18/G18</f>
        <v>350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149</v>
      </c>
      <c r="B19" s="666"/>
      <c r="C19" s="666"/>
      <c r="D19" s="667"/>
      <c r="E19" s="7" t="s">
        <v>61</v>
      </c>
      <c r="F19" s="80">
        <v>350</v>
      </c>
      <c r="G19" s="7">
        <f>$G$26</f>
        <v>1</v>
      </c>
      <c r="H19" s="79">
        <f>F19/G19</f>
        <v>350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188</v>
      </c>
      <c r="B20" s="666"/>
      <c r="C20" s="666"/>
      <c r="D20" s="667"/>
      <c r="E20" s="7" t="s">
        <v>30</v>
      </c>
      <c r="F20" s="80">
        <v>5625</v>
      </c>
      <c r="G20" s="141">
        <f>$G$26</f>
        <v>1</v>
      </c>
      <c r="H20" s="79">
        <f>F20/G20</f>
        <v>5625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131</v>
      </c>
      <c r="B21" s="666"/>
      <c r="C21" s="666"/>
      <c r="D21" s="667"/>
      <c r="E21" s="7" t="s">
        <v>132</v>
      </c>
      <c r="F21" s="452">
        <v>750</v>
      </c>
      <c r="G21" s="141">
        <f>$G$26</f>
        <v>1</v>
      </c>
      <c r="H21" s="79">
        <f>F21/G21</f>
        <v>750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4"/>
      <c r="B22" s="666"/>
      <c r="C22" s="666"/>
      <c r="D22" s="667"/>
      <c r="E22" s="7"/>
      <c r="F22" s="452"/>
      <c r="G22" s="56"/>
      <c r="H22" s="79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 thickBot="1">
      <c r="A23" s="817" t="s">
        <v>116</v>
      </c>
      <c r="B23" s="672"/>
      <c r="C23" s="672"/>
      <c r="D23" s="672"/>
      <c r="E23" s="672"/>
      <c r="F23" s="672"/>
      <c r="G23" s="714"/>
      <c r="H23" s="86">
        <f>ROUNDUP(SUM(H18:H22),0)</f>
        <v>7075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 thickBot="1">
      <c r="A24" s="811" t="s">
        <v>118</v>
      </c>
      <c r="B24" s="676"/>
      <c r="C24" s="676"/>
      <c r="D24" s="676"/>
      <c r="E24" s="676"/>
      <c r="F24" s="676"/>
      <c r="G24" s="676"/>
      <c r="H24" s="81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3" t="s">
        <v>119</v>
      </c>
      <c r="B25" s="679"/>
      <c r="C25" s="679"/>
      <c r="D25" s="680"/>
      <c r="E25" s="65" t="s">
        <v>120</v>
      </c>
      <c r="F25" s="66" t="s">
        <v>121</v>
      </c>
      <c r="G25" s="67" t="s">
        <v>106</v>
      </c>
      <c r="H25" s="68" t="s">
        <v>107</v>
      </c>
      <c r="J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 t="str">
        <f>'Analisis de cuadrillas'!C9</f>
        <v>Cuadrilla Estructural</v>
      </c>
      <c r="B26" s="666"/>
      <c r="C26" s="666"/>
      <c r="D26" s="667"/>
      <c r="E26" s="7">
        <v>1</v>
      </c>
      <c r="F26" s="88">
        <f>'Analisis de cuadrillas'!G9</f>
        <v>56186.910333333333</v>
      </c>
      <c r="G26" s="7">
        <v>1</v>
      </c>
      <c r="H26" s="79">
        <f>(E26*F26)/G26</f>
        <v>56186.910333333333</v>
      </c>
      <c r="I26" s="58"/>
      <c r="K26" s="58"/>
      <c r="M26" s="58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8"/>
      <c r="B27" s="666"/>
      <c r="C27" s="666"/>
      <c r="D27" s="667"/>
      <c r="E27" s="141"/>
      <c r="F27" s="88"/>
      <c r="G27" s="141"/>
      <c r="H27" s="79"/>
      <c r="I27" s="40"/>
      <c r="J27" s="73"/>
      <c r="K27" s="40"/>
      <c r="L27" s="443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5"/>
      <c r="B28" s="666"/>
      <c r="C28" s="666"/>
      <c r="D28" s="667"/>
      <c r="E28" s="141"/>
      <c r="F28" s="88"/>
      <c r="G28" s="141"/>
      <c r="H28" s="79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A29" s="816"/>
      <c r="B29" s="686"/>
      <c r="C29" s="686"/>
      <c r="D29" s="687"/>
      <c r="E29" s="89"/>
      <c r="F29" s="90"/>
      <c r="G29" s="56"/>
      <c r="H29" s="91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817" t="s">
        <v>122</v>
      </c>
      <c r="B30" s="672"/>
      <c r="C30" s="672"/>
      <c r="D30" s="672"/>
      <c r="E30" s="672"/>
      <c r="F30" s="672"/>
      <c r="G30" s="673"/>
      <c r="H30" s="86">
        <f>ROUNDUP(SUM(H26:H29),0)</f>
        <v>56187</v>
      </c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 thickBot="1"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 thickBot="1">
      <c r="A32" s="770" t="s">
        <v>123</v>
      </c>
      <c r="B32" s="672"/>
      <c r="C32" s="672"/>
      <c r="D32" s="672"/>
      <c r="E32" s="672"/>
      <c r="F32" s="672"/>
      <c r="G32" s="714"/>
      <c r="H32" s="92">
        <f>+H30+H15+H23</f>
        <v>123912</v>
      </c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A34" s="291" t="s">
        <v>1</v>
      </c>
      <c r="B34" s="761" t="str">
        <f>'1.1'!B32</f>
        <v>Johan Sebastian Alvarez, Daniel Eduardo Ochoa Mora</v>
      </c>
      <c r="C34" s="762"/>
      <c r="D34" s="762"/>
      <c r="E34" s="762"/>
      <c r="F34" s="762"/>
      <c r="G34" s="762"/>
      <c r="H34" s="762"/>
      <c r="K34" s="40"/>
    </row>
    <row r="35" spans="1:26" ht="14.25" customHeight="1">
      <c r="A35" s="291" t="s">
        <v>247</v>
      </c>
      <c r="B35" s="761" t="str">
        <f>'1.1'!B33</f>
        <v>ing. Alexander Solarte Benavides</v>
      </c>
      <c r="C35" s="762"/>
      <c r="D35" s="762"/>
      <c r="E35" s="762"/>
      <c r="F35" s="762"/>
      <c r="G35" s="762"/>
      <c r="H35" s="762"/>
      <c r="K35" s="40"/>
    </row>
    <row r="36" spans="1:26" ht="14.25" customHeight="1">
      <c r="A36" s="291" t="s">
        <v>248</v>
      </c>
      <c r="B36" s="761" t="str">
        <f>'1.1'!B34</f>
        <v>ing.Alexander Solarte Benavides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4</v>
      </c>
      <c r="B37" s="761" t="str">
        <f>'1.1'!B35</f>
        <v>12 de Noviembre del 2020</v>
      </c>
      <c r="C37" s="810"/>
      <c r="D37" s="810"/>
      <c r="E37" s="810"/>
      <c r="F37" s="810"/>
      <c r="G37" s="810"/>
      <c r="H37" s="810"/>
      <c r="K37" s="40"/>
    </row>
    <row r="38" spans="1:26" ht="14.25" customHeight="1">
      <c r="K38" s="40"/>
    </row>
    <row r="39" spans="1:26" ht="14.25" customHeight="1"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sheetProtection algorithmName="SHA-512" hashValue="Mjl/9u/m/UjtqP7wcvX1ZDthZoL39qIrtttHSW2IWpzO7nxd9za4i8hALLgfcX+YbsT8vO+EJnB44dhD5XUwWg==" saltValue="gHhQgy5OBpbT9J8xhLvIAg==" spinCount="100000" sheet="1" objects="1" scenarios="1" selectLockedCells="1" selectUnlockedCells="1"/>
  <mergeCells count="38">
    <mergeCell ref="A9:D9"/>
    <mergeCell ref="A1:H1"/>
    <mergeCell ref="B2:F2"/>
    <mergeCell ref="G2:H3"/>
    <mergeCell ref="B3:F3"/>
    <mergeCell ref="B4:F4"/>
    <mergeCell ref="G4:H4"/>
    <mergeCell ref="B5:F5"/>
    <mergeCell ref="G5:H5"/>
    <mergeCell ref="A6:H6"/>
    <mergeCell ref="A7:D7"/>
    <mergeCell ref="A8:D8"/>
    <mergeCell ref="A10:D10"/>
    <mergeCell ref="A11:D11"/>
    <mergeCell ref="A13:D13"/>
    <mergeCell ref="A15:G15"/>
    <mergeCell ref="A16:H16"/>
    <mergeCell ref="A19:D19"/>
    <mergeCell ref="A20:D20"/>
    <mergeCell ref="A21:D21"/>
    <mergeCell ref="A22:D22"/>
    <mergeCell ref="A12:D12"/>
    <mergeCell ref="B37:H37"/>
    <mergeCell ref="A14:D14"/>
    <mergeCell ref="A29:D29"/>
    <mergeCell ref="A30:G30"/>
    <mergeCell ref="A32:G32"/>
    <mergeCell ref="B34:H34"/>
    <mergeCell ref="B35:H35"/>
    <mergeCell ref="B36:H36"/>
    <mergeCell ref="A23:G23"/>
    <mergeCell ref="A24:H24"/>
    <mergeCell ref="A25:D25"/>
    <mergeCell ref="A26:D26"/>
    <mergeCell ref="A27:D27"/>
    <mergeCell ref="A28:D28"/>
    <mergeCell ref="A17:D17"/>
    <mergeCell ref="A18:D18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1"/>
  <sheetViews>
    <sheetView showGridLines="0" topLeftCell="A17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8" width="13.62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 thickBo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J2" s="2"/>
      <c r="K2" s="58"/>
    </row>
    <row r="3" spans="1:26" ht="15.75" customHeight="1" thickBot="1">
      <c r="A3" s="44">
        <f>Presupuesto!B42</f>
        <v>6</v>
      </c>
      <c r="B3" s="790" t="str">
        <f>Presupuesto!C42</f>
        <v>MAMPOSTERIA EN BLOQUE DE LADRILLO</v>
      </c>
      <c r="C3" s="686"/>
      <c r="D3" s="686"/>
      <c r="E3" s="686"/>
      <c r="F3" s="686"/>
      <c r="G3" s="788"/>
      <c r="H3" s="828"/>
      <c r="J3" s="2"/>
      <c r="K3" s="58"/>
      <c r="M3" s="2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J4" s="109"/>
      <c r="K4" s="40"/>
      <c r="M4" s="2"/>
      <c r="N4" s="2"/>
    </row>
    <row r="5" spans="1:26" ht="14.25" customHeight="1" thickBot="1">
      <c r="A5" s="49">
        <f>Presupuesto!B43</f>
        <v>6.1</v>
      </c>
      <c r="B5" s="780" t="str">
        <f>Presupuesto!C43</f>
        <v xml:space="preserve">Muro en bloque de arcilla, espesor 12 centimetros </v>
      </c>
      <c r="C5" s="686"/>
      <c r="D5" s="686"/>
      <c r="E5" s="686"/>
      <c r="F5" s="687"/>
      <c r="G5" s="866" t="str">
        <f>Presupuesto!D43</f>
        <v>M2</v>
      </c>
      <c r="H5" s="822"/>
      <c r="K5" s="40"/>
      <c r="M5" s="109"/>
    </row>
    <row r="6" spans="1:26" ht="14.25" customHeight="1" thickBot="1">
      <c r="A6" s="820" t="s">
        <v>102</v>
      </c>
      <c r="B6" s="672"/>
      <c r="C6" s="672"/>
      <c r="D6" s="672"/>
      <c r="E6" s="672"/>
      <c r="F6" s="672"/>
      <c r="G6" s="672"/>
      <c r="H6" s="673"/>
      <c r="J6" s="2"/>
      <c r="K6" s="40"/>
      <c r="M6" s="109"/>
    </row>
    <row r="7" spans="1:26" ht="14.25" customHeight="1" thickBo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J7" s="145"/>
      <c r="K7" s="145"/>
      <c r="L7" s="2"/>
    </row>
    <row r="8" spans="1:26" ht="14.45" customHeight="1" thickBot="1">
      <c r="A8" s="879" t="s">
        <v>315</v>
      </c>
      <c r="B8" s="880"/>
      <c r="C8" s="880"/>
      <c r="D8" s="881"/>
      <c r="E8" s="7" t="s">
        <v>30</v>
      </c>
      <c r="F8" s="80">
        <v>1350</v>
      </c>
      <c r="G8" s="7">
        <v>16</v>
      </c>
      <c r="H8" s="79">
        <f>F8*G8</f>
        <v>21600</v>
      </c>
      <c r="J8" s="2"/>
      <c r="K8" s="2"/>
      <c r="L8" s="109"/>
    </row>
    <row r="9" spans="1:26" ht="14.25" customHeight="1">
      <c r="A9" s="814" t="s">
        <v>164</v>
      </c>
      <c r="B9" s="666"/>
      <c r="C9" s="666"/>
      <c r="D9" s="667"/>
      <c r="E9" s="7" t="s">
        <v>42</v>
      </c>
      <c r="F9" s="80">
        <v>560</v>
      </c>
      <c r="G9" s="7">
        <v>16</v>
      </c>
      <c r="H9" s="79">
        <f>F9*G9</f>
        <v>8960</v>
      </c>
      <c r="J9" s="2"/>
      <c r="K9" s="2"/>
      <c r="L9" s="109"/>
    </row>
    <row r="10" spans="1:26" ht="14.25" customHeight="1">
      <c r="A10" s="814" t="s">
        <v>249</v>
      </c>
      <c r="B10" s="666"/>
      <c r="C10" s="666"/>
      <c r="D10" s="667"/>
      <c r="E10" s="7" t="s">
        <v>26</v>
      </c>
      <c r="F10" s="80">
        <v>61000</v>
      </c>
      <c r="G10" s="7">
        <v>3.7999999999999999E-2</v>
      </c>
      <c r="H10" s="79">
        <f>F10*G10</f>
        <v>2318</v>
      </c>
      <c r="J10" s="2"/>
      <c r="K10" s="2"/>
      <c r="L10" s="109"/>
    </row>
    <row r="11" spans="1:26" ht="14.25" customHeight="1">
      <c r="A11" s="846" t="s">
        <v>184</v>
      </c>
      <c r="B11" s="666"/>
      <c r="C11" s="666"/>
      <c r="D11" s="667"/>
      <c r="E11" s="7" t="s">
        <v>185</v>
      </c>
      <c r="F11" s="80">
        <v>100</v>
      </c>
      <c r="G11" s="7">
        <v>8</v>
      </c>
      <c r="H11" s="79">
        <f>F11*G11</f>
        <v>800</v>
      </c>
      <c r="K11" s="40"/>
    </row>
    <row r="12" spans="1:26" ht="14.25" customHeight="1">
      <c r="A12" s="818"/>
      <c r="B12" s="666"/>
      <c r="C12" s="666"/>
      <c r="D12" s="667"/>
      <c r="E12" s="5"/>
      <c r="F12" s="84"/>
      <c r="G12" s="5"/>
      <c r="H12" s="79"/>
      <c r="K12" s="40"/>
    </row>
    <row r="13" spans="1:26" ht="14.25" customHeight="1" thickBot="1">
      <c r="A13" s="819"/>
      <c r="B13" s="700"/>
      <c r="C13" s="700"/>
      <c r="D13" s="776"/>
      <c r="E13" s="56"/>
      <c r="F13" s="85"/>
      <c r="G13" s="56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33678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 thickBo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148</v>
      </c>
      <c r="B17" s="666"/>
      <c r="C17" s="666"/>
      <c r="D17" s="667"/>
      <c r="E17" s="7" t="s">
        <v>61</v>
      </c>
      <c r="F17" s="80">
        <f>350*2</f>
        <v>700</v>
      </c>
      <c r="G17" s="7">
        <f>G25</f>
        <v>1</v>
      </c>
      <c r="H17" s="79">
        <f>F17/G17</f>
        <v>700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149</v>
      </c>
      <c r="B18" s="666"/>
      <c r="C18" s="666"/>
      <c r="D18" s="667"/>
      <c r="E18" s="7" t="s">
        <v>61</v>
      </c>
      <c r="F18" s="80">
        <f>350*2</f>
        <v>700</v>
      </c>
      <c r="G18" s="5">
        <f>$G$25</f>
        <v>1</v>
      </c>
      <c r="H18" s="79">
        <f t="shared" ref="H18:H20" si="0">F18/G18</f>
        <v>700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188</v>
      </c>
      <c r="B19" s="666"/>
      <c r="C19" s="666"/>
      <c r="D19" s="667"/>
      <c r="E19" s="7" t="s">
        <v>30</v>
      </c>
      <c r="F19" s="80">
        <f>5625</f>
        <v>5625</v>
      </c>
      <c r="G19" s="7">
        <f>G25</f>
        <v>1</v>
      </c>
      <c r="H19" s="79">
        <f>F19/G19</f>
        <v>5625</v>
      </c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131</v>
      </c>
      <c r="B20" s="666"/>
      <c r="C20" s="666"/>
      <c r="D20" s="667"/>
      <c r="E20" s="7" t="s">
        <v>132</v>
      </c>
      <c r="F20" s="80">
        <v>750</v>
      </c>
      <c r="G20" s="7">
        <f>G25</f>
        <v>1</v>
      </c>
      <c r="H20" s="79">
        <f t="shared" si="0"/>
        <v>750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7775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 thickBo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cuadrillas'!C10</f>
        <v>Cuadrilla Mamposteria</v>
      </c>
      <c r="B25" s="666"/>
      <c r="C25" s="666"/>
      <c r="D25" s="667"/>
      <c r="E25" s="7">
        <v>1</v>
      </c>
      <c r="F25" s="88">
        <f>'Analisis de cuadrillas'!G10</f>
        <v>56186.910333333333</v>
      </c>
      <c r="G25" s="7">
        <v>1</v>
      </c>
      <c r="H25" s="79">
        <f>(E25*F25)/G25</f>
        <v>56186.910333333333</v>
      </c>
      <c r="I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6"/>
      <c r="B28" s="686"/>
      <c r="C28" s="686"/>
      <c r="D28" s="687"/>
      <c r="E28" s="89"/>
      <c r="F28" s="90"/>
      <c r="G28" s="56"/>
      <c r="H28" s="91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A29" s="817" t="s">
        <v>122</v>
      </c>
      <c r="B29" s="672"/>
      <c r="C29" s="672"/>
      <c r="D29" s="672"/>
      <c r="E29" s="672"/>
      <c r="F29" s="672"/>
      <c r="G29" s="714"/>
      <c r="H29" s="86">
        <f>ROUNDUP(SUM(H25:H28),0)</f>
        <v>56187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 thickBo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97640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fyYYu015/cjKT+pxLTtyml9MUVQPWjjvrCM19sNmR87K/Qbda3jwmX4KKsjtv5ptQgxEcPZ6QI3YZ48s1Sf01w==" saltValue="vCS76QwidPtNXq10bjhZpw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17:D17"/>
    <mergeCell ref="A18:D18"/>
    <mergeCell ref="A19:D19"/>
    <mergeCell ref="A20:D20"/>
    <mergeCell ref="A21:D21"/>
    <mergeCell ref="A22:G22"/>
    <mergeCell ref="A23:H23"/>
    <mergeCell ref="B33:H33"/>
    <mergeCell ref="B34:H34"/>
    <mergeCell ref="B35:H35"/>
    <mergeCell ref="B36:H36"/>
    <mergeCell ref="A24:D24"/>
    <mergeCell ref="A25:D25"/>
    <mergeCell ref="A26:D26"/>
    <mergeCell ref="A27:D27"/>
    <mergeCell ref="A28:D28"/>
    <mergeCell ref="A29:G29"/>
    <mergeCell ref="A31:G31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1"/>
  <sheetViews>
    <sheetView showGridLines="0" topLeftCell="A25" zoomScale="115" zoomScaleNormal="115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6.25" customWidth="1"/>
    <col min="12" max="12" width="10.5" customWidth="1"/>
    <col min="13" max="26" width="10" customWidth="1"/>
  </cols>
  <sheetData>
    <row r="1" spans="1:26" ht="36.6" customHeight="1">
      <c r="A1" s="843" t="str">
        <f>'6.1'!A1:H1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</row>
    <row r="3" spans="1:26" ht="15.75" customHeight="1">
      <c r="A3" s="44">
        <f>Presupuesto!B42</f>
        <v>6</v>
      </c>
      <c r="B3" s="790" t="str">
        <f>Presupuesto!C42</f>
        <v>MAMPOSTERIA EN BLOQUE DE LADRILLO</v>
      </c>
      <c r="C3" s="686"/>
      <c r="D3" s="686"/>
      <c r="E3" s="686"/>
      <c r="F3" s="686"/>
      <c r="G3" s="788"/>
      <c r="H3" s="828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</row>
    <row r="5" spans="1:26" ht="14.25" customHeight="1">
      <c r="A5" s="49">
        <f>Presupuesto!B44</f>
        <v>6.2</v>
      </c>
      <c r="B5" s="780" t="str">
        <f>Presupuesto!C44</f>
        <v xml:space="preserve">Pañetes de muros en mortero 1:4 impermeabilizado </v>
      </c>
      <c r="C5" s="686"/>
      <c r="D5" s="686"/>
      <c r="E5" s="686"/>
      <c r="F5" s="687"/>
      <c r="G5" s="866" t="str">
        <f>Presupuesto!D44</f>
        <v>M2</v>
      </c>
      <c r="H5" s="822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J7" s="145"/>
      <c r="K7" s="145"/>
      <c r="L7" s="2"/>
    </row>
    <row r="8" spans="1:26" ht="14.25" customHeight="1">
      <c r="A8" s="814" t="s">
        <v>164</v>
      </c>
      <c r="B8" s="666"/>
      <c r="C8" s="666"/>
      <c r="D8" s="667"/>
      <c r="E8" s="7" t="s">
        <v>42</v>
      </c>
      <c r="F8" s="80">
        <v>560</v>
      </c>
      <c r="G8" s="7">
        <v>8</v>
      </c>
      <c r="H8" s="79">
        <f>F8*G8</f>
        <v>4480</v>
      </c>
      <c r="J8" s="2"/>
      <c r="K8" s="2"/>
      <c r="L8" s="109"/>
    </row>
    <row r="9" spans="1:26" ht="14.25" customHeight="1">
      <c r="A9" s="814" t="s">
        <v>251</v>
      </c>
      <c r="B9" s="666"/>
      <c r="C9" s="666"/>
      <c r="D9" s="667"/>
      <c r="E9" s="7" t="s">
        <v>26</v>
      </c>
      <c r="F9" s="80">
        <v>45699</v>
      </c>
      <c r="G9" s="7">
        <v>2.5000000000000001E-2</v>
      </c>
      <c r="H9" s="79">
        <f>F9*G9</f>
        <v>1142.4750000000001</v>
      </c>
      <c r="J9" s="2"/>
      <c r="K9" s="2"/>
      <c r="L9" s="109"/>
    </row>
    <row r="10" spans="1:26" ht="14.25" customHeight="1">
      <c r="A10" s="846" t="s">
        <v>184</v>
      </c>
      <c r="B10" s="666"/>
      <c r="C10" s="666"/>
      <c r="D10" s="667"/>
      <c r="E10" s="7" t="s">
        <v>185</v>
      </c>
      <c r="F10" s="80">
        <v>100</v>
      </c>
      <c r="G10" s="7">
        <v>4</v>
      </c>
      <c r="H10" s="79">
        <f>F10*G10</f>
        <v>400</v>
      </c>
      <c r="J10" s="2"/>
      <c r="K10" s="2"/>
      <c r="L10" s="109"/>
    </row>
    <row r="11" spans="1:26" ht="14.25" customHeight="1">
      <c r="A11" s="846" t="s">
        <v>191</v>
      </c>
      <c r="B11" s="666"/>
      <c r="C11" s="666"/>
      <c r="D11" s="667"/>
      <c r="E11" s="7" t="s">
        <v>192</v>
      </c>
      <c r="F11" s="80">
        <v>1400</v>
      </c>
      <c r="G11" s="7">
        <v>2.3E-2</v>
      </c>
      <c r="H11" s="79">
        <f>F11*G11</f>
        <v>32.200000000000003</v>
      </c>
      <c r="J11" s="2"/>
      <c r="K11" s="2"/>
      <c r="L11" s="109"/>
    </row>
    <row r="12" spans="1:26" ht="14.25" customHeight="1">
      <c r="A12" s="818"/>
      <c r="B12" s="666"/>
      <c r="C12" s="666"/>
      <c r="D12" s="667"/>
      <c r="E12" s="5"/>
      <c r="F12" s="84"/>
      <c r="G12" s="5"/>
      <c r="H12" s="79"/>
      <c r="K12" s="40"/>
    </row>
    <row r="13" spans="1:26" ht="14.25" customHeight="1">
      <c r="A13" s="819"/>
      <c r="B13" s="700"/>
      <c r="C13" s="700"/>
      <c r="D13" s="776"/>
      <c r="E13" s="56"/>
      <c r="F13" s="85"/>
      <c r="G13" s="56"/>
      <c r="H13" s="79"/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17" t="s">
        <v>110</v>
      </c>
      <c r="B14" s="672"/>
      <c r="C14" s="672"/>
      <c r="D14" s="672"/>
      <c r="E14" s="672"/>
      <c r="F14" s="672"/>
      <c r="G14" s="714"/>
      <c r="H14" s="81">
        <f>ROUND(SUM(H8:H13),0)</f>
        <v>6055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0" t="s">
        <v>112</v>
      </c>
      <c r="B15" s="672"/>
      <c r="C15" s="672"/>
      <c r="D15" s="672"/>
      <c r="E15" s="672"/>
      <c r="F15" s="672"/>
      <c r="G15" s="672"/>
      <c r="H15" s="673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21" t="s">
        <v>103</v>
      </c>
      <c r="B16" s="703"/>
      <c r="C16" s="703"/>
      <c r="D16" s="715"/>
      <c r="E16" s="59" t="s">
        <v>104</v>
      </c>
      <c r="F16" s="59" t="s">
        <v>113</v>
      </c>
      <c r="G16" s="60" t="s">
        <v>106</v>
      </c>
      <c r="H16" s="62" t="s">
        <v>107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148</v>
      </c>
      <c r="B17" s="666"/>
      <c r="C17" s="666"/>
      <c r="D17" s="667"/>
      <c r="E17" s="7" t="s">
        <v>61</v>
      </c>
      <c r="F17" s="80">
        <v>350</v>
      </c>
      <c r="G17" s="5">
        <f>$G$25</f>
        <v>1.3</v>
      </c>
      <c r="H17" s="79">
        <f>F17/G17</f>
        <v>269.23076923076923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149</v>
      </c>
      <c r="B18" s="666"/>
      <c r="C18" s="666"/>
      <c r="D18" s="667"/>
      <c r="E18" s="7" t="s">
        <v>61</v>
      </c>
      <c r="F18" s="80">
        <v>350</v>
      </c>
      <c r="G18" s="5">
        <f>$G$25</f>
        <v>1.3</v>
      </c>
      <c r="H18" s="79">
        <f>F18/G18</f>
        <v>269.23076923076923</v>
      </c>
      <c r="J18" s="40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188</v>
      </c>
      <c r="B19" s="666"/>
      <c r="C19" s="666"/>
      <c r="D19" s="667"/>
      <c r="E19" s="7" t="s">
        <v>30</v>
      </c>
      <c r="F19" s="80">
        <v>5625</v>
      </c>
      <c r="G19" s="5">
        <f>$G$25</f>
        <v>1.3</v>
      </c>
      <c r="H19" s="79">
        <f>F19/G19</f>
        <v>4326.9230769230771</v>
      </c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131</v>
      </c>
      <c r="B20" s="666"/>
      <c r="C20" s="666"/>
      <c r="D20" s="667"/>
      <c r="E20" s="7" t="s">
        <v>132</v>
      </c>
      <c r="F20" s="80">
        <v>750</v>
      </c>
      <c r="G20" s="5">
        <f>$G$25</f>
        <v>1.3</v>
      </c>
      <c r="H20" s="79">
        <f>F20/G20</f>
        <v>576.92307692307691</v>
      </c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9"/>
      <c r="B21" s="700"/>
      <c r="C21" s="700"/>
      <c r="D21" s="776"/>
      <c r="E21" s="56"/>
      <c r="F21" s="85"/>
      <c r="G21" s="56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7" t="s">
        <v>116</v>
      </c>
      <c r="B22" s="672"/>
      <c r="C22" s="672"/>
      <c r="D22" s="672"/>
      <c r="E22" s="672"/>
      <c r="F22" s="672"/>
      <c r="G22" s="714"/>
      <c r="H22" s="86">
        <f>ROUNDUP(SUM(H17:H21),0)</f>
        <v>5443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1" t="s">
        <v>118</v>
      </c>
      <c r="B23" s="676"/>
      <c r="C23" s="676"/>
      <c r="D23" s="676"/>
      <c r="E23" s="676"/>
      <c r="F23" s="676"/>
      <c r="G23" s="676"/>
      <c r="H23" s="812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3" t="s">
        <v>119</v>
      </c>
      <c r="B24" s="679"/>
      <c r="C24" s="679"/>
      <c r="D24" s="680"/>
      <c r="E24" s="65" t="s">
        <v>120</v>
      </c>
      <c r="F24" s="66" t="s">
        <v>121</v>
      </c>
      <c r="G24" s="67" t="s">
        <v>106</v>
      </c>
      <c r="H24" s="68" t="s">
        <v>107</v>
      </c>
      <c r="J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 t="str">
        <f>'Analisis de cuadrillas'!C10</f>
        <v>Cuadrilla Mamposteria</v>
      </c>
      <c r="B25" s="666"/>
      <c r="C25" s="666"/>
      <c r="D25" s="667"/>
      <c r="E25" s="7">
        <v>1</v>
      </c>
      <c r="F25" s="88">
        <f>'Analisis de cuadrillas'!G10</f>
        <v>56186.910333333333</v>
      </c>
      <c r="G25" s="7">
        <v>1.3</v>
      </c>
      <c r="H25" s="79">
        <f>(E25*F25)/G25</f>
        <v>43220.700256410251</v>
      </c>
      <c r="I25" s="40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8"/>
      <c r="B26" s="666"/>
      <c r="C26" s="666"/>
      <c r="D26" s="667"/>
      <c r="E26" s="5"/>
      <c r="F26" s="88"/>
      <c r="G26" s="5"/>
      <c r="H26" s="79"/>
      <c r="I26" s="40"/>
      <c r="J26" s="73"/>
      <c r="K26" s="40"/>
      <c r="L26" s="107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5"/>
      <c r="B27" s="666"/>
      <c r="C27" s="666"/>
      <c r="D27" s="667"/>
      <c r="E27" s="5"/>
      <c r="F27" s="88"/>
      <c r="G27" s="5"/>
      <c r="H27" s="79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6"/>
      <c r="B28" s="686"/>
      <c r="C28" s="686"/>
      <c r="D28" s="687"/>
      <c r="E28" s="89"/>
      <c r="F28" s="90"/>
      <c r="G28" s="56"/>
      <c r="H28" s="91"/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7" t="s">
        <v>122</v>
      </c>
      <c r="B29" s="672"/>
      <c r="C29" s="672"/>
      <c r="D29" s="672"/>
      <c r="E29" s="672"/>
      <c r="F29" s="672"/>
      <c r="G29" s="714"/>
      <c r="H29" s="86">
        <f>ROUNDUP(SUM(H25:H28),0)</f>
        <v>43221</v>
      </c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770" t="s">
        <v>123</v>
      </c>
      <c r="B31" s="672"/>
      <c r="C31" s="672"/>
      <c r="D31" s="672"/>
      <c r="E31" s="672"/>
      <c r="F31" s="672"/>
      <c r="G31" s="714"/>
      <c r="H31" s="92">
        <f>+H29+H14+H22</f>
        <v>54719</v>
      </c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J32" s="40"/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11" ht="14.25" customHeight="1">
      <c r="A33" s="291" t="s">
        <v>1</v>
      </c>
      <c r="B33" s="761" t="str">
        <f>'1.1'!B32</f>
        <v>Johan Sebastian Alvarez, Daniel Eduardo Ochoa Mora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247</v>
      </c>
      <c r="B34" s="761" t="str">
        <f>'1.1'!B33</f>
        <v>ing. 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248</v>
      </c>
      <c r="B35" s="761" t="str">
        <f>'1.1'!B34</f>
        <v>ing.Alexander Solarte Benavides</v>
      </c>
      <c r="C35" s="762"/>
      <c r="D35" s="762"/>
      <c r="E35" s="762"/>
      <c r="F35" s="762"/>
      <c r="G35" s="762"/>
      <c r="H35" s="762"/>
      <c r="K35" s="40"/>
    </row>
    <row r="36" spans="1:11" ht="14.25" customHeight="1">
      <c r="A36" s="291" t="s">
        <v>4</v>
      </c>
      <c r="B36" s="761" t="str">
        <f>'1.1'!B35</f>
        <v>12 de Noviembre del 2020</v>
      </c>
      <c r="C36" s="810"/>
      <c r="D36" s="810"/>
      <c r="E36" s="810"/>
      <c r="F36" s="810"/>
      <c r="G36" s="810"/>
      <c r="H36" s="810"/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sheetProtection algorithmName="SHA-512" hashValue="jx1sMXxglRqFRS8dU+Y9MVnByyrS963xk4TlFooKdjPzJuFncUOvSZGD1C4x32zJsZvmROEyBm3Huw8jrWsBXA==" saltValue="4S92WFrbcTFxqCxVjyjc1A==" spinCount="100000" sheet="1" objects="1" scenarios="1" selectLockedCells="1" selectUnlockedCells="1"/>
  <mergeCells count="37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G14"/>
    <mergeCell ref="A15:H15"/>
    <mergeCell ref="A16:D16"/>
    <mergeCell ref="A17:D17"/>
    <mergeCell ref="A18:D18"/>
    <mergeCell ref="A19:D19"/>
    <mergeCell ref="A20:D20"/>
    <mergeCell ref="A21:D21"/>
    <mergeCell ref="A22:G22"/>
    <mergeCell ref="A23:H23"/>
    <mergeCell ref="B33:H33"/>
    <mergeCell ref="B34:H34"/>
    <mergeCell ref="B35:H35"/>
    <mergeCell ref="B36:H36"/>
    <mergeCell ref="A24:D24"/>
    <mergeCell ref="A25:D25"/>
    <mergeCell ref="A26:D26"/>
    <mergeCell ref="A27:D27"/>
    <mergeCell ref="A28:D28"/>
    <mergeCell ref="A29:G29"/>
    <mergeCell ref="A31:G31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="84" zoomScaleNormal="85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2.125" customWidth="1"/>
    <col min="5" max="5" width="8.75" customWidth="1"/>
    <col min="6" max="6" width="13.62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5.15" customHeight="1">
      <c r="A1" s="843" t="str">
        <f>'6.2'!A1:H1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Presupuesto!B42</f>
        <v>6</v>
      </c>
      <c r="B3" s="790" t="str">
        <f>Presupuesto!C42</f>
        <v>MAMPOSTERIA EN BLOQUE DE LADRILLO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46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Presupuesto!B45</f>
        <v>6.3</v>
      </c>
      <c r="B5" s="780" t="str">
        <f>Presupuesto!C45</f>
        <v>Enchape ceramico para piso y pared</v>
      </c>
      <c r="C5" s="686"/>
      <c r="D5" s="686"/>
      <c r="E5" s="686"/>
      <c r="F5" s="687"/>
      <c r="G5" s="866" t="str">
        <f>Presupuesto!D45</f>
        <v>M2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5.75" customHeight="1">
      <c r="A8" s="837" t="s">
        <v>196</v>
      </c>
      <c r="B8" s="666"/>
      <c r="C8" s="666"/>
      <c r="D8" s="667"/>
      <c r="E8" s="94" t="s">
        <v>8</v>
      </c>
      <c r="F8" s="96">
        <v>21100</v>
      </c>
      <c r="G8" s="94">
        <v>1</v>
      </c>
      <c r="H8" s="106">
        <f>F8*G8</f>
        <v>21100</v>
      </c>
      <c r="K8" s="40"/>
    </row>
    <row r="9" spans="1:26" ht="14.25" customHeight="1">
      <c r="A9" s="814" t="s">
        <v>197</v>
      </c>
      <c r="B9" s="666"/>
      <c r="C9" s="666"/>
      <c r="D9" s="667"/>
      <c r="E9" s="7" t="s">
        <v>42</v>
      </c>
      <c r="F9" s="80">
        <v>1980</v>
      </c>
      <c r="G9" s="7">
        <v>5</v>
      </c>
      <c r="H9" s="106">
        <f>F9*G9</f>
        <v>9900</v>
      </c>
      <c r="K9" s="40"/>
    </row>
    <row r="10" spans="1:26" ht="14.25" customHeight="1">
      <c r="A10" s="814" t="s">
        <v>198</v>
      </c>
      <c r="B10" s="666"/>
      <c r="C10" s="666"/>
      <c r="D10" s="667"/>
      <c r="E10" s="7" t="s">
        <v>30</v>
      </c>
      <c r="F10" s="80">
        <v>8</v>
      </c>
      <c r="G10" s="7">
        <v>8</v>
      </c>
      <c r="H10" s="106">
        <f>F10*G10</f>
        <v>64</v>
      </c>
      <c r="K10" s="40"/>
    </row>
    <row r="11" spans="1:26" ht="15.75" customHeight="1">
      <c r="A11" s="882" t="s">
        <v>199</v>
      </c>
      <c r="B11" s="666"/>
      <c r="C11" s="666"/>
      <c r="D11" s="667"/>
      <c r="E11" s="94" t="s">
        <v>42</v>
      </c>
      <c r="F11" s="96">
        <v>5300</v>
      </c>
      <c r="G11" s="94">
        <v>1.6</v>
      </c>
      <c r="H11" s="106">
        <f>F11*G11</f>
        <v>8480</v>
      </c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39544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148</v>
      </c>
      <c r="B16" s="666"/>
      <c r="C16" s="666"/>
      <c r="D16" s="667"/>
      <c r="E16" s="7" t="s">
        <v>61</v>
      </c>
      <c r="F16" s="80">
        <v>350</v>
      </c>
      <c r="G16" s="5">
        <f>$G$24</f>
        <v>1.5</v>
      </c>
      <c r="H16" s="79">
        <f>F16/G16</f>
        <v>233.33333333333334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149</v>
      </c>
      <c r="B17" s="666"/>
      <c r="C17" s="666"/>
      <c r="D17" s="667"/>
      <c r="E17" s="7" t="s">
        <v>61</v>
      </c>
      <c r="F17" s="80">
        <v>350</v>
      </c>
      <c r="G17" s="5">
        <f>$G$24</f>
        <v>1.5</v>
      </c>
      <c r="H17" s="79">
        <f>F17/G17</f>
        <v>233.33333333333334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/>
      <c r="B18" s="666"/>
      <c r="C18" s="666"/>
      <c r="D18" s="667"/>
      <c r="E18" s="7"/>
      <c r="F18" s="80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467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cuadrillas'!C13</f>
        <v>Cuadrilla Pinturas y Acabados</v>
      </c>
      <c r="B24" s="666"/>
      <c r="C24" s="666"/>
      <c r="D24" s="667"/>
      <c r="E24" s="7">
        <v>1</v>
      </c>
      <c r="F24" s="88">
        <f>'Analisis de cuadrillas'!G13</f>
        <v>45858.88223333333</v>
      </c>
      <c r="G24" s="7">
        <v>1.5</v>
      </c>
      <c r="H24" s="79">
        <f>(E24*F24)/G24</f>
        <v>30572.588155555553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30573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70584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wJELCHrl44dthCVpNsRKKxq29Z67O4U0Z94KsFjQOHsG479Ku97nHKf0iU/euu7bLDWNbCagnqi6srnx6SXixg==" saltValue="HdkQoK3Kksf3M5lyyUD6U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3"/>
  <sheetViews>
    <sheetView showGridLines="0" topLeftCell="A17" zoomScale="115" zoomScaleNormal="8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3.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>
      <c r="A1" s="843" t="str">
        <f>'6.3'!A1:H1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Presupuesto!B48</f>
        <v>7.1</v>
      </c>
      <c r="B5" s="780" t="str">
        <f>Presupuesto!C48</f>
        <v>Acometida al contador, incluye contador y accesorios</v>
      </c>
      <c r="C5" s="686"/>
      <c r="D5" s="686"/>
      <c r="E5" s="686"/>
      <c r="F5" s="687"/>
      <c r="G5" s="866" t="str">
        <f>Presupuesto!D48</f>
        <v>GB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87" t="s">
        <v>103</v>
      </c>
      <c r="B7" s="839"/>
      <c r="C7" s="839"/>
      <c r="D7" s="848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85" t="s">
        <v>134</v>
      </c>
      <c r="B8" s="666"/>
      <c r="C8" s="666"/>
      <c r="D8" s="667"/>
      <c r="E8" s="166" t="s">
        <v>30</v>
      </c>
      <c r="F8" s="167">
        <v>320500</v>
      </c>
      <c r="G8" s="166">
        <v>1</v>
      </c>
      <c r="H8" s="79">
        <f t="shared" ref="H8:H14" si="0">F8*G8</f>
        <v>320500</v>
      </c>
      <c r="K8" s="40"/>
    </row>
    <row r="9" spans="1:26" ht="14.25" customHeight="1">
      <c r="A9" s="885" t="s">
        <v>200</v>
      </c>
      <c r="B9" s="666"/>
      <c r="C9" s="666"/>
      <c r="D9" s="667"/>
      <c r="E9" s="168" t="s">
        <v>135</v>
      </c>
      <c r="F9" s="169">
        <f>2890+500</f>
        <v>3390</v>
      </c>
      <c r="G9" s="168">
        <v>100</v>
      </c>
      <c r="H9" s="79">
        <f t="shared" si="0"/>
        <v>339000</v>
      </c>
      <c r="K9" s="40"/>
    </row>
    <row r="10" spans="1:26" ht="14.25" customHeight="1">
      <c r="A10" s="885" t="s">
        <v>136</v>
      </c>
      <c r="B10" s="666"/>
      <c r="C10" s="666"/>
      <c r="D10" s="667"/>
      <c r="E10" s="168" t="s">
        <v>137</v>
      </c>
      <c r="F10" s="169">
        <f>65000+500</f>
        <v>65500</v>
      </c>
      <c r="G10" s="168">
        <v>3</v>
      </c>
      <c r="H10" s="79">
        <f t="shared" si="0"/>
        <v>196500</v>
      </c>
      <c r="K10" s="40"/>
    </row>
    <row r="11" spans="1:26" ht="14.25" customHeight="1">
      <c r="A11" s="886" t="s">
        <v>138</v>
      </c>
      <c r="B11" s="703"/>
      <c r="C11" s="703"/>
      <c r="D11" s="715"/>
      <c r="E11" s="168" t="s">
        <v>137</v>
      </c>
      <c r="F11" s="169">
        <f>180000+500</f>
        <v>180500</v>
      </c>
      <c r="G11" s="168">
        <v>3</v>
      </c>
      <c r="H11" s="79">
        <f t="shared" si="0"/>
        <v>541500</v>
      </c>
      <c r="K11" s="40"/>
    </row>
    <row r="12" spans="1:26" ht="14.25" customHeight="1">
      <c r="A12" s="883" t="s">
        <v>139</v>
      </c>
      <c r="B12" s="703"/>
      <c r="C12" s="703"/>
      <c r="D12" s="715"/>
      <c r="E12" s="168" t="s">
        <v>42</v>
      </c>
      <c r="F12" s="169">
        <v>560</v>
      </c>
      <c r="G12" s="168">
        <v>20</v>
      </c>
      <c r="H12" s="79">
        <f t="shared" si="0"/>
        <v>11200</v>
      </c>
      <c r="K12" s="40"/>
    </row>
    <row r="13" spans="1:26" ht="14.25" customHeight="1">
      <c r="A13" s="883" t="s">
        <v>249</v>
      </c>
      <c r="B13" s="703"/>
      <c r="C13" s="703"/>
      <c r="D13" s="715"/>
      <c r="E13" s="168" t="s">
        <v>26</v>
      </c>
      <c r="F13" s="169">
        <v>61000</v>
      </c>
      <c r="G13" s="168">
        <v>0.2</v>
      </c>
      <c r="H13" s="79">
        <f t="shared" si="0"/>
        <v>12200</v>
      </c>
      <c r="K13" s="40"/>
    </row>
    <row r="14" spans="1:26" ht="14.25" customHeight="1">
      <c r="A14" s="883" t="s">
        <v>141</v>
      </c>
      <c r="B14" s="703"/>
      <c r="C14" s="703"/>
      <c r="D14" s="715"/>
      <c r="E14" s="168" t="s">
        <v>26</v>
      </c>
      <c r="F14" s="169">
        <v>65500</v>
      </c>
      <c r="G14" s="168">
        <v>0.2</v>
      </c>
      <c r="H14" s="79">
        <f t="shared" si="0"/>
        <v>13100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84"/>
      <c r="B15" s="839"/>
      <c r="C15" s="839"/>
      <c r="D15" s="848"/>
      <c r="E15" s="170"/>
      <c r="F15" s="171"/>
      <c r="G15" s="170"/>
      <c r="H15" s="131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7" t="s">
        <v>110</v>
      </c>
      <c r="B16" s="672"/>
      <c r="C16" s="672"/>
      <c r="D16" s="672"/>
      <c r="E16" s="672"/>
      <c r="F16" s="672"/>
      <c r="G16" s="714"/>
      <c r="H16" s="81">
        <f>ROUND(SUM(H8:H14),0)</f>
        <v>1434000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20" t="s">
        <v>112</v>
      </c>
      <c r="B17" s="672"/>
      <c r="C17" s="672"/>
      <c r="D17" s="672"/>
      <c r="E17" s="672"/>
      <c r="F17" s="672"/>
      <c r="G17" s="672"/>
      <c r="H17" s="673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21" t="s">
        <v>103</v>
      </c>
      <c r="B18" s="703"/>
      <c r="C18" s="703"/>
      <c r="D18" s="715"/>
      <c r="E18" s="59" t="s">
        <v>104</v>
      </c>
      <c r="F18" s="59" t="s">
        <v>113</v>
      </c>
      <c r="G18" s="60" t="s">
        <v>106</v>
      </c>
      <c r="H18" s="62" t="s">
        <v>107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148</v>
      </c>
      <c r="B19" s="666"/>
      <c r="C19" s="666"/>
      <c r="D19" s="667"/>
      <c r="E19" s="7" t="s">
        <v>61</v>
      </c>
      <c r="F19" s="80">
        <v>700</v>
      </c>
      <c r="G19" s="7">
        <f>G27</f>
        <v>0.1</v>
      </c>
      <c r="H19" s="79">
        <f>F19/G19</f>
        <v>7000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149</v>
      </c>
      <c r="B20" s="666"/>
      <c r="C20" s="666"/>
      <c r="D20" s="667"/>
      <c r="E20" s="7" t="s">
        <v>61</v>
      </c>
      <c r="F20" s="80">
        <v>700</v>
      </c>
      <c r="G20" s="7">
        <f>G27</f>
        <v>0.1</v>
      </c>
      <c r="H20" s="79">
        <f>F20/G20</f>
        <v>7000</v>
      </c>
      <c r="J20" s="40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4" t="s">
        <v>131</v>
      </c>
      <c r="B21" s="666"/>
      <c r="C21" s="666"/>
      <c r="D21" s="667"/>
      <c r="E21" s="7" t="s">
        <v>132</v>
      </c>
      <c r="F21" s="80">
        <v>250</v>
      </c>
      <c r="G21" s="5">
        <f>G27</f>
        <v>0.1</v>
      </c>
      <c r="H21" s="79">
        <f>F21/G21</f>
        <v>2500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4" t="s">
        <v>150</v>
      </c>
      <c r="B22" s="666"/>
      <c r="C22" s="666"/>
      <c r="D22" s="667"/>
      <c r="E22" s="7" t="s">
        <v>30</v>
      </c>
      <c r="F22" s="80">
        <v>150</v>
      </c>
      <c r="G22" s="5">
        <f>G27</f>
        <v>0.1</v>
      </c>
      <c r="H22" s="79">
        <f>F22/G22</f>
        <v>1500</v>
      </c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9" t="s">
        <v>383</v>
      </c>
      <c r="B23" s="700"/>
      <c r="C23" s="700"/>
      <c r="D23" s="776"/>
      <c r="E23" s="56" t="s">
        <v>30</v>
      </c>
      <c r="F23" s="85">
        <v>5625</v>
      </c>
      <c r="G23" s="56">
        <f>G27</f>
        <v>0.1</v>
      </c>
      <c r="H23" s="79">
        <f>F23/G23</f>
        <v>56250</v>
      </c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7" t="s">
        <v>116</v>
      </c>
      <c r="B24" s="672"/>
      <c r="C24" s="672"/>
      <c r="D24" s="672"/>
      <c r="E24" s="672"/>
      <c r="F24" s="672"/>
      <c r="G24" s="714"/>
      <c r="H24" s="86">
        <f>ROUNDUP(SUM(H19:H23),0)</f>
        <v>74250</v>
      </c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1" t="s">
        <v>118</v>
      </c>
      <c r="B25" s="676"/>
      <c r="C25" s="676"/>
      <c r="D25" s="676"/>
      <c r="E25" s="676"/>
      <c r="F25" s="676"/>
      <c r="G25" s="676"/>
      <c r="H25" s="812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3" t="s">
        <v>119</v>
      </c>
      <c r="B26" s="679"/>
      <c r="C26" s="679"/>
      <c r="D26" s="680"/>
      <c r="E26" s="65" t="s">
        <v>120</v>
      </c>
      <c r="F26" s="66" t="s">
        <v>121</v>
      </c>
      <c r="G26" s="67" t="s">
        <v>106</v>
      </c>
      <c r="H26" s="68" t="s">
        <v>107</v>
      </c>
      <c r="J26" s="40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8" t="str">
        <f>'Analisis de cuadrillas'!C12</f>
        <v>Cuadrilla de Electricidad</v>
      </c>
      <c r="B27" s="666"/>
      <c r="C27" s="666"/>
      <c r="D27" s="667"/>
      <c r="E27" s="7">
        <v>1</v>
      </c>
      <c r="F27" s="88">
        <f>'Analisis de cuadrillas'!G12</f>
        <v>52109.719133333332</v>
      </c>
      <c r="G27" s="7">
        <v>0.1</v>
      </c>
      <c r="H27" s="79">
        <f>(E27*F27)/G27</f>
        <v>521097.19133333332</v>
      </c>
      <c r="I27" s="40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8"/>
      <c r="B28" s="666"/>
      <c r="C28" s="666"/>
      <c r="D28" s="667"/>
      <c r="E28" s="5"/>
      <c r="F28" s="88"/>
      <c r="G28" s="5"/>
      <c r="H28" s="79"/>
      <c r="I28" s="40"/>
      <c r="J28" s="73"/>
      <c r="K28" s="40"/>
      <c r="L28" s="107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5"/>
      <c r="B29" s="666"/>
      <c r="C29" s="666"/>
      <c r="D29" s="667"/>
      <c r="E29" s="5"/>
      <c r="F29" s="88"/>
      <c r="G29" s="5"/>
      <c r="H29" s="79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6"/>
      <c r="B30" s="686"/>
      <c r="C30" s="686"/>
      <c r="D30" s="687"/>
      <c r="E30" s="89"/>
      <c r="F30" s="90"/>
      <c r="G30" s="56"/>
      <c r="H30" s="91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7" t="s">
        <v>122</v>
      </c>
      <c r="B31" s="672"/>
      <c r="C31" s="672"/>
      <c r="D31" s="672"/>
      <c r="E31" s="672"/>
      <c r="F31" s="672"/>
      <c r="G31" s="714"/>
      <c r="H31" s="86">
        <f>ROUNDUP(SUM(H27:H30),0)</f>
        <v>521098</v>
      </c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A33" s="770" t="s">
        <v>123</v>
      </c>
      <c r="B33" s="672"/>
      <c r="C33" s="672"/>
      <c r="D33" s="672"/>
      <c r="E33" s="672"/>
      <c r="F33" s="672"/>
      <c r="G33" s="714"/>
      <c r="H33" s="92">
        <f>+H31+H16+H24</f>
        <v>2029348</v>
      </c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J34" s="40"/>
      <c r="K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A35" s="291" t="s">
        <v>1</v>
      </c>
      <c r="B35" s="761" t="str">
        <f>'1.1'!B32</f>
        <v>Johan Sebastian Alvarez, Daniel Eduardo Ochoa Mora</v>
      </c>
      <c r="C35" s="762"/>
      <c r="D35" s="762"/>
      <c r="E35" s="762"/>
      <c r="F35" s="762"/>
      <c r="G35" s="762"/>
      <c r="H35" s="762"/>
      <c r="K35" s="40"/>
    </row>
    <row r="36" spans="1:26" ht="14.25" customHeight="1">
      <c r="A36" s="291" t="s">
        <v>247</v>
      </c>
      <c r="B36" s="761" t="str">
        <f>'1.1'!B33</f>
        <v>ing. Alexander Solarte Benavides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248</v>
      </c>
      <c r="B37" s="761" t="str">
        <f>'1.1'!B34</f>
        <v>ing.Alexander Solarte Benavides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4</v>
      </c>
      <c r="B38" s="761" t="str">
        <f>'1.1'!B35</f>
        <v>12 de Noviembre del 2020</v>
      </c>
      <c r="C38" s="810"/>
      <c r="D38" s="810"/>
      <c r="E38" s="810"/>
      <c r="F38" s="810"/>
      <c r="G38" s="810"/>
      <c r="H38" s="810"/>
      <c r="K38" s="40"/>
    </row>
    <row r="39" spans="1:26" ht="14.25" customHeight="1"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4" ht="14.25" customHeight="1">
      <c r="K49" s="40"/>
    </row>
    <row r="50" spans="11:14" ht="14.25" customHeight="1">
      <c r="K50" s="40"/>
    </row>
    <row r="51" spans="11:14" ht="14.25" customHeight="1">
      <c r="K51" s="40"/>
    </row>
    <row r="52" spans="11:14" ht="14.25" customHeight="1">
      <c r="K52" s="40"/>
    </row>
    <row r="53" spans="11:14" ht="14.25" customHeight="1">
      <c r="K53" s="40"/>
    </row>
    <row r="54" spans="11:14" ht="14.25" customHeight="1">
      <c r="K54" s="40"/>
    </row>
    <row r="55" spans="11:14" ht="14.25" customHeight="1">
      <c r="K55" s="40"/>
    </row>
    <row r="56" spans="11:14" ht="14.25" customHeight="1">
      <c r="K56" s="40"/>
      <c r="L56" s="2"/>
      <c r="M56" s="2"/>
      <c r="N56" s="2"/>
    </row>
    <row r="57" spans="11:14" ht="14.25" customHeight="1">
      <c r="K57" s="40"/>
    </row>
    <row r="58" spans="11:14" ht="14.25" customHeight="1">
      <c r="K58" s="40"/>
    </row>
    <row r="59" spans="11:14" ht="14.25" customHeight="1">
      <c r="K59" s="40"/>
    </row>
    <row r="60" spans="11:14" ht="14.25" customHeight="1">
      <c r="K60" s="40"/>
    </row>
    <row r="61" spans="11:14" ht="14.25" customHeight="1">
      <c r="K61" s="40"/>
    </row>
    <row r="62" spans="11:14" ht="14.25" customHeight="1">
      <c r="K62" s="40"/>
    </row>
    <row r="63" spans="11:14" ht="14.25" customHeight="1">
      <c r="K63" s="40"/>
    </row>
    <row r="64" spans="11:14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sheetProtection algorithmName="SHA-512" hashValue="vRJUhwn87AlSyRgFenYY945zIeqEbb/bGHHt6krHcq4KBAkoKjWJneaBGQf9DXiT9jp5SzQp9K3/3qFgIOROYA==" saltValue="kKM/9af80rPsuWLsbK62Gg==" spinCount="100000" sheet="1" objects="1" scenarios="1" selectLockedCells="1" selectUnlockedCells="1"/>
  <mergeCells count="39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G16"/>
    <mergeCell ref="A17:H17"/>
    <mergeCell ref="A18:D18"/>
    <mergeCell ref="A19:D19"/>
    <mergeCell ref="A20:D20"/>
    <mergeCell ref="A21:D21"/>
    <mergeCell ref="A22:D22"/>
    <mergeCell ref="A23:D23"/>
    <mergeCell ref="B38:H38"/>
    <mergeCell ref="A24:G24"/>
    <mergeCell ref="A25:H25"/>
    <mergeCell ref="A26:D26"/>
    <mergeCell ref="A27:D27"/>
    <mergeCell ref="A28:D28"/>
    <mergeCell ref="A29:D29"/>
    <mergeCell ref="A30:D30"/>
    <mergeCell ref="A31:G31"/>
    <mergeCell ref="A33:G33"/>
    <mergeCell ref="B35:H35"/>
    <mergeCell ref="B36:H36"/>
    <mergeCell ref="B37:H37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98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8.9" customHeight="1">
      <c r="A1" s="843" t="str">
        <f>'7.1'!A1:H1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Presupuesto!B49</f>
        <v>7.2</v>
      </c>
      <c r="B5" s="780" t="str">
        <f>Presupuesto!C49</f>
        <v>Acometida del contador al tablero general</v>
      </c>
      <c r="C5" s="686"/>
      <c r="D5" s="686"/>
      <c r="E5" s="686"/>
      <c r="F5" s="687"/>
      <c r="G5" s="866" t="str">
        <f>Presupuesto!D49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201</v>
      </c>
      <c r="B8" s="666"/>
      <c r="C8" s="666"/>
      <c r="D8" s="667"/>
      <c r="E8" s="7" t="s">
        <v>15</v>
      </c>
      <c r="F8" s="80">
        <f>1099+500</f>
        <v>1599</v>
      </c>
      <c r="G8" s="7">
        <v>1.1000000000000001</v>
      </c>
      <c r="H8" s="79">
        <f>F8*G8</f>
        <v>1758.9</v>
      </c>
      <c r="K8" s="40"/>
    </row>
    <row r="9" spans="1:26" ht="14.25" customHeight="1">
      <c r="A9" s="814" t="s">
        <v>202</v>
      </c>
      <c r="B9" s="666"/>
      <c r="C9" s="666"/>
      <c r="D9" s="667"/>
      <c r="E9" s="7" t="s">
        <v>15</v>
      </c>
      <c r="F9" s="80">
        <f>2650/3</f>
        <v>883.33333333333337</v>
      </c>
      <c r="G9" s="7">
        <v>1.1000000000000001</v>
      </c>
      <c r="H9" s="79">
        <f>F9*G9</f>
        <v>971.66666666666674</v>
      </c>
      <c r="K9" s="40"/>
    </row>
    <row r="10" spans="1:26" ht="14.25" customHeight="1">
      <c r="A10" s="814" t="s">
        <v>203</v>
      </c>
      <c r="B10" s="666"/>
      <c r="C10" s="666"/>
      <c r="D10" s="667"/>
      <c r="E10" s="7" t="s">
        <v>30</v>
      </c>
      <c r="F10" s="80">
        <f>1000+500</f>
        <v>1500</v>
      </c>
      <c r="G10" s="7">
        <v>0.5</v>
      </c>
      <c r="H10" s="79">
        <f>F10*G10</f>
        <v>750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3481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7">
        <f>G24</f>
        <v>1</v>
      </c>
      <c r="H16" s="79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1</v>
      </c>
      <c r="H24" s="79">
        <f>(E24*F24)/G24</f>
        <v>52109.719133333332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52110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56291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KskGqOXRNse+3Q/LUhsKOrfYyyv1v/P+o1CMuS8iPaYTMafiQNXa9KWZqoqSZUwInT9dgbvu65vrYWPk28iQWQ==" saltValue="gouP/7u09mFjMYolcyikC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="90" zoomScaleNormal="9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7.15" customHeight="1">
      <c r="A1" s="843" t="str">
        <f>'7.2'!A1:H1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Presupuesto!B50</f>
        <v>7.3</v>
      </c>
      <c r="B5" s="780" t="str">
        <f>Presupuesto!C50</f>
        <v>Puesta a tierra del tablero</v>
      </c>
      <c r="C5" s="686"/>
      <c r="D5" s="686"/>
      <c r="E5" s="686"/>
      <c r="F5" s="687"/>
      <c r="G5" s="866" t="str">
        <f>Presupuesto!D50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88" t="s">
        <v>354</v>
      </c>
      <c r="B8" s="703"/>
      <c r="C8" s="703"/>
      <c r="D8" s="715"/>
      <c r="E8" s="7" t="s">
        <v>137</v>
      </c>
      <c r="F8" s="80">
        <f>180000+500</f>
        <v>180500</v>
      </c>
      <c r="G8" s="7">
        <v>1</v>
      </c>
      <c r="H8" s="79">
        <f>F8*G8</f>
        <v>180500</v>
      </c>
      <c r="K8" s="40"/>
    </row>
    <row r="9" spans="1:26" ht="14.25" customHeight="1">
      <c r="A9" s="814" t="s">
        <v>201</v>
      </c>
      <c r="B9" s="666"/>
      <c r="C9" s="666"/>
      <c r="D9" s="667"/>
      <c r="E9" s="7" t="s">
        <v>15</v>
      </c>
      <c r="F9" s="80">
        <f>1099+500</f>
        <v>1599</v>
      </c>
      <c r="G9" s="7">
        <v>2.1</v>
      </c>
      <c r="H9" s="79">
        <f>F9*G9</f>
        <v>3357.9</v>
      </c>
      <c r="K9" s="40"/>
    </row>
    <row r="10" spans="1:26" ht="14.25" customHeight="1">
      <c r="A10" s="814" t="s">
        <v>204</v>
      </c>
      <c r="B10" s="666"/>
      <c r="C10" s="666"/>
      <c r="D10" s="667"/>
      <c r="E10" s="7" t="s">
        <v>15</v>
      </c>
      <c r="F10" s="80">
        <f>2650/3</f>
        <v>883.33333333333337</v>
      </c>
      <c r="G10" s="7">
        <v>2.1</v>
      </c>
      <c r="H10" s="79">
        <f>F10*G10</f>
        <v>1855.0000000000002</v>
      </c>
      <c r="K10" s="40"/>
    </row>
    <row r="11" spans="1:26" ht="14.25" customHeight="1">
      <c r="A11" s="814" t="s">
        <v>203</v>
      </c>
      <c r="B11" s="666"/>
      <c r="C11" s="666"/>
      <c r="D11" s="667"/>
      <c r="E11" s="7" t="s">
        <v>30</v>
      </c>
      <c r="F11" s="80">
        <f>1000+500</f>
        <v>1500</v>
      </c>
      <c r="G11" s="7">
        <v>0.5</v>
      </c>
      <c r="H11" s="79">
        <f>F11*G11</f>
        <v>750</v>
      </c>
      <c r="K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</row>
    <row r="12" spans="1:26" ht="14.25" customHeight="1">
      <c r="A12" s="847" t="s">
        <v>231</v>
      </c>
      <c r="B12" s="839"/>
      <c r="C12" s="839"/>
      <c r="D12" s="848"/>
      <c r="E12" s="128" t="s">
        <v>355</v>
      </c>
      <c r="F12" s="133">
        <f>30000+500</f>
        <v>30500</v>
      </c>
      <c r="G12" s="128">
        <v>1</v>
      </c>
      <c r="H12" s="131">
        <f>F12*G12</f>
        <v>30500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216963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7">
        <f>G24</f>
        <v>0.5</v>
      </c>
      <c r="H16" s="79">
        <f>F16/G16</f>
        <v>1400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1400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0.5</v>
      </c>
      <c r="H24" s="79">
        <f>(E24*F24)/G24</f>
        <v>104219.43826666666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154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104220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322583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5MgECv+CMC7bv/W5EyiXERejN0gsOJqF39/D+Hzns4BWuGynMuHtFImH7PIxmucv4aEyJjZYcfzFGjXHmPGPjw==" saltValue="/u0nwf/SwOUlcTs0xaCAu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outlinePr summaryBelow="0" summaryRight="0"/>
  </sheetPr>
  <dimension ref="B1:R999"/>
  <sheetViews>
    <sheetView showGridLines="0" topLeftCell="A49" zoomScale="88" zoomScaleNormal="88" workbookViewId="0">
      <selection activeCell="B3" sqref="B3:E3"/>
    </sheetView>
  </sheetViews>
  <sheetFormatPr baseColWidth="10" defaultColWidth="12.625" defaultRowHeight="15" customHeight="1"/>
  <cols>
    <col min="1" max="2" width="12.625" customWidth="1"/>
    <col min="3" max="3" width="64.5" bestFit="1" customWidth="1"/>
    <col min="4" max="4" width="9.75" customWidth="1"/>
    <col min="5" max="7" width="12.625" customWidth="1"/>
  </cols>
  <sheetData>
    <row r="1" spans="2:18" ht="15" customHeight="1" thickBot="1">
      <c r="E1" s="178"/>
      <c r="F1" s="178"/>
    </row>
    <row r="2" spans="2:18" ht="19.899999999999999" customHeight="1" thickBot="1">
      <c r="B2" s="637" t="str">
        <f>Portada!C6</f>
        <v>PRESUPUESTO PARA LA CONSTRUCCION DE SALON SOCIAL EN LA COMUNIDAD DE NUEVA JERUSALEN</v>
      </c>
      <c r="C2" s="638"/>
      <c r="D2" s="638"/>
      <c r="E2" s="639"/>
      <c r="F2" s="191"/>
      <c r="L2" s="191"/>
      <c r="M2" s="191"/>
      <c r="N2" s="191"/>
      <c r="O2" s="191"/>
      <c r="P2" s="191"/>
      <c r="Q2" s="191"/>
      <c r="R2" s="191"/>
    </row>
    <row r="3" spans="2:18" ht="18.600000000000001" customHeight="1" thickBot="1">
      <c r="B3" s="640" t="s">
        <v>68</v>
      </c>
      <c r="C3" s="641"/>
      <c r="D3" s="641"/>
      <c r="E3" s="642"/>
      <c r="F3" s="178"/>
      <c r="L3" s="179"/>
      <c r="M3" s="179"/>
      <c r="N3" s="179"/>
      <c r="O3" s="179"/>
      <c r="P3" s="179"/>
      <c r="Q3" s="179"/>
      <c r="R3" s="179"/>
    </row>
    <row r="4" spans="2:18" thickBot="1">
      <c r="B4" s="211" t="str">
        <f>'Actividades de construcción'!B4</f>
        <v>ITEM</v>
      </c>
      <c r="C4" s="212" t="str">
        <f>'Actividades de construcción'!C4</f>
        <v>ACTIVIDAD</v>
      </c>
      <c r="D4" s="213" t="str">
        <f>'Actividades de construcción'!D4</f>
        <v>UNIDAD</v>
      </c>
      <c r="E4" s="214" t="s">
        <v>69</v>
      </c>
    </row>
    <row r="5" spans="2:18" ht="15.75" thickBot="1">
      <c r="B5" s="215">
        <f>'Actividades de construcción'!B5</f>
        <v>1</v>
      </c>
      <c r="C5" s="643" t="str">
        <f>'Actividades de construcción'!C5</f>
        <v>PRELIMINARES</v>
      </c>
      <c r="D5" s="644"/>
      <c r="E5" s="645"/>
    </row>
    <row r="6" spans="2:18" ht="14.25">
      <c r="B6" s="220">
        <f>'Actividades de construcción'!B6</f>
        <v>1.1000000000000001</v>
      </c>
      <c r="C6" s="351" t="str">
        <f>'Actividades de construcción'!C6</f>
        <v>Campamento en lámina de zinc</v>
      </c>
      <c r="D6" s="222" t="str">
        <f>'Actividades de construcción'!D6</f>
        <v>M2</v>
      </c>
      <c r="E6" s="223">
        <f>'Cantidades de Obra'!K7</f>
        <v>136</v>
      </c>
    </row>
    <row r="7" spans="2:18" ht="14.25">
      <c r="B7" s="220">
        <f>'Actividades de construcción'!B7</f>
        <v>1.2</v>
      </c>
      <c r="C7" s="351" t="str">
        <f>'Actividades de construcción'!C7</f>
        <v>Servicios Provisionales hidrosanitarios y de energia</v>
      </c>
      <c r="D7" s="222" t="str">
        <f>'Actividades de construcción'!D7</f>
        <v>GB</v>
      </c>
      <c r="E7" s="223">
        <f>'Cantidades de Obra'!K8</f>
        <v>1</v>
      </c>
    </row>
    <row r="8" spans="2:18" ht="14.25">
      <c r="B8" s="220">
        <f>'Actividades de construcción'!B8</f>
        <v>1.3</v>
      </c>
      <c r="C8" s="351" t="str">
        <f>'Actividades de construcción'!C8</f>
        <v>Descapote de terreno de 220 m2 de área a 30 cm de profundidad</v>
      </c>
      <c r="D8" s="222" t="str">
        <f>'Actividades de construcción'!D8</f>
        <v>M2</v>
      </c>
      <c r="E8" s="223">
        <f>'Cantidades de Obra'!K9</f>
        <v>220</v>
      </c>
    </row>
    <row r="9" spans="2:18" ht="14.25">
      <c r="B9" s="220">
        <f>'Actividades de construcción'!B9</f>
        <v>1.4</v>
      </c>
      <c r="C9" s="351" t="str">
        <f>'Actividades de construcción'!C9</f>
        <v>Replanteo, alineación y nivelación del terreno</v>
      </c>
      <c r="D9" s="222" t="str">
        <f>'Actividades de construcción'!D9</f>
        <v>M2</v>
      </c>
      <c r="E9" s="223">
        <f>'Cantidades de Obra'!K10</f>
        <v>220</v>
      </c>
    </row>
    <row r="10" spans="2:18" thickBot="1">
      <c r="B10" s="224">
        <f>'Actividades de construcción'!B10</f>
        <v>1.5</v>
      </c>
      <c r="C10" s="352" t="str">
        <f>'Actividades de construcción'!C10</f>
        <v>Cerramiento con postes de madera y lona verde, altura de 2 mts</v>
      </c>
      <c r="D10" s="226" t="str">
        <f>'Actividades de construcción'!D10</f>
        <v>ML</v>
      </c>
      <c r="E10" s="227">
        <f>'Cantidades de Obra'!K11</f>
        <v>132</v>
      </c>
    </row>
    <row r="11" spans="2:18" ht="15.75" thickBot="1">
      <c r="B11" s="215">
        <f>'Actividades de construcción'!B11</f>
        <v>2</v>
      </c>
      <c r="C11" s="643" t="str">
        <f>'Actividades de construcción'!C11</f>
        <v>MOVIMIENTO DE TIERRAS</v>
      </c>
      <c r="D11" s="644"/>
      <c r="E11" s="645"/>
    </row>
    <row r="12" spans="2:18" ht="14.25">
      <c r="B12" s="216">
        <f>'Actividades de construcción'!B12</f>
        <v>2.1</v>
      </c>
      <c r="C12" s="217" t="str">
        <f>'Actividades de construcción'!C12</f>
        <v>Excavación manual, profundidad inferior a un metro</v>
      </c>
      <c r="D12" s="218" t="str">
        <f>'Actividades de construcción'!D12</f>
        <v>M3</v>
      </c>
      <c r="E12" s="219">
        <f>'Cantidades de Obra'!K13</f>
        <v>73.614000000000004</v>
      </c>
    </row>
    <row r="13" spans="2:18" ht="14.25">
      <c r="B13" s="220">
        <f>'Actividades de construcción'!B13</f>
        <v>2.2000000000000002</v>
      </c>
      <c r="C13" s="221" t="str">
        <f>'Actividades de construcción'!C13</f>
        <v>Cargue manual y retiro de escombro</v>
      </c>
      <c r="D13" s="222" t="str">
        <f>'Actividades de construcción'!D13</f>
        <v>M3</v>
      </c>
      <c r="E13" s="223">
        <f>'Cantidades de Obra'!K14</f>
        <v>73.614000000000004</v>
      </c>
    </row>
    <row r="14" spans="2:18" thickBot="1">
      <c r="B14" s="224">
        <f>'Actividades de construcción'!B14</f>
        <v>2.2999999999999998</v>
      </c>
      <c r="C14" s="225" t="str">
        <f>'Actividades de construcción'!C14</f>
        <v>Rellenos con material de río, compactación manual</v>
      </c>
      <c r="D14" s="226" t="str">
        <f>'Actividades de construcción'!D14</f>
        <v>M3</v>
      </c>
      <c r="E14" s="227">
        <f>'Cantidades de Obra'!K15</f>
        <v>17.158999999999999</v>
      </c>
    </row>
    <row r="15" spans="2:18" ht="15.75" thickBot="1">
      <c r="B15" s="215">
        <f>'Actividades de construcción'!B15</f>
        <v>3</v>
      </c>
      <c r="C15" s="643" t="str">
        <f>'Actividades de construcción'!C15</f>
        <v>RED SANITARIA</v>
      </c>
      <c r="D15" s="644"/>
      <c r="E15" s="645"/>
    </row>
    <row r="16" spans="2:18" ht="14.25">
      <c r="B16" s="216">
        <f>'Actividades de construcción'!B16</f>
        <v>3.1</v>
      </c>
      <c r="C16" s="217" t="str">
        <f>'Actividades de construcción'!C16</f>
        <v>Caja de inspección en concreto 100X100X100</v>
      </c>
      <c r="D16" s="218" t="str">
        <f>'Actividades de construcción'!D16</f>
        <v>UND</v>
      </c>
      <c r="E16" s="219">
        <f>'Cantidades de Obra'!K17</f>
        <v>2</v>
      </c>
    </row>
    <row r="17" spans="2:5" ht="14.25">
      <c r="B17" s="220">
        <f>'Actividades de construcción'!B17</f>
        <v>3.2</v>
      </c>
      <c r="C17" s="221" t="str">
        <f>'Actividades de construcción'!C17</f>
        <v>Red sanitaria tuberia PVC 4"</v>
      </c>
      <c r="D17" s="222" t="str">
        <f>'Actividades de construcción'!D17</f>
        <v>ML</v>
      </c>
      <c r="E17" s="223">
        <f>'Cantidades de Obra'!K18</f>
        <v>36.410000000000004</v>
      </c>
    </row>
    <row r="18" spans="2:5" ht="14.25">
      <c r="B18" s="220">
        <f>'Actividades de construcción'!B18</f>
        <v>3.3</v>
      </c>
      <c r="C18" s="221" t="str">
        <f>'Actividades de construcción'!C18</f>
        <v>Red sanitaria tuberia PVC 2"</v>
      </c>
      <c r="D18" s="222" t="str">
        <f>'Actividades de construcción'!D18</f>
        <v>ML</v>
      </c>
      <c r="E18" s="223">
        <f>'Cantidades de Obra'!K19</f>
        <v>34.33</v>
      </c>
    </row>
    <row r="19" spans="2:5" ht="14.25">
      <c r="B19" s="220">
        <f>'Actividades de construcción'!B19</f>
        <v>3.4</v>
      </c>
      <c r="C19" s="221" t="str">
        <f>'Actividades de construcción'!C19</f>
        <v>Salida sanitaria en PVC de 4"</v>
      </c>
      <c r="D19" s="222" t="str">
        <f>'Actividades de construcción'!D19</f>
        <v>UND</v>
      </c>
      <c r="E19" s="223">
        <f>'Cantidades de Obra'!K20</f>
        <v>9</v>
      </c>
    </row>
    <row r="20" spans="2:5" ht="14.25">
      <c r="B20" s="220">
        <f>'Actividades de construcción'!B20</f>
        <v>3.5</v>
      </c>
      <c r="C20" s="221" t="str">
        <f>'Actividades de construcción'!C20</f>
        <v>Salida sanitaria en PVC de 2"</v>
      </c>
      <c r="D20" s="222" t="str">
        <f>'Actividades de construcción'!D20</f>
        <v>UND</v>
      </c>
      <c r="E20" s="223">
        <f>'Cantidades de Obra'!K21</f>
        <v>16</v>
      </c>
    </row>
    <row r="21" spans="2:5" ht="14.25">
      <c r="B21" s="220">
        <f>'Actividades de construcción'!B21</f>
        <v>3.6</v>
      </c>
      <c r="C21" s="221" t="str">
        <f>'Actividades de construcción'!C21</f>
        <v>Red de aguas lluvias en tuberia PVC de 3"</v>
      </c>
      <c r="D21" s="222" t="str">
        <f>'Actividades de construcción'!D21</f>
        <v>ML</v>
      </c>
      <c r="E21" s="223">
        <f>'Cantidades de Obra'!K22</f>
        <v>7.82</v>
      </c>
    </row>
    <row r="22" spans="2:5" ht="15.75" customHeight="1" thickBot="1">
      <c r="B22" s="224">
        <f>'Actividades de construcción'!B22</f>
        <v>3.7</v>
      </c>
      <c r="C22" s="225" t="str">
        <f>'Actividades de construcción'!C22</f>
        <v>Salida de aguas lluvias en tuberia PVC de 3"</v>
      </c>
      <c r="D22" s="226" t="str">
        <f>'Actividades de construcción'!D22</f>
        <v>UND</v>
      </c>
      <c r="E22" s="227">
        <f>'Cantidades de Obra'!K23</f>
        <v>6</v>
      </c>
    </row>
    <row r="23" spans="2:5" ht="15.75" customHeight="1" thickBot="1">
      <c r="B23" s="215">
        <f>'Actividades de construcción'!B23</f>
        <v>4</v>
      </c>
      <c r="C23" s="643" t="str">
        <f>'Actividades de construcción'!C23</f>
        <v>RED HIDRAULICA</v>
      </c>
      <c r="D23" s="644"/>
      <c r="E23" s="645"/>
    </row>
    <row r="24" spans="2:5" ht="15.75" customHeight="1">
      <c r="B24" s="216">
        <f>'Actividades de construcción'!B24</f>
        <v>4.0999999999999996</v>
      </c>
      <c r="C24" s="402" t="str">
        <f>'Actividades de construcción'!C24</f>
        <v>Red hidraulica en tuberia PVC presión de 1/2 "</v>
      </c>
      <c r="D24" s="218" t="str">
        <f>'Actividades de construcción'!D24</f>
        <v>ML</v>
      </c>
      <c r="E24" s="219">
        <f>'Cantidades de Obra'!K25</f>
        <v>37.72999999999999</v>
      </c>
    </row>
    <row r="25" spans="2:5" ht="15.75" customHeight="1" thickBot="1">
      <c r="B25" s="220">
        <f>'Actividades de construcción'!B25</f>
        <v>4.2</v>
      </c>
      <c r="C25" s="351" t="str">
        <f>'Actividades de construcción'!C25</f>
        <v>Punto de agua fria en tuberia PVC de 1/2 "</v>
      </c>
      <c r="D25" s="222" t="str">
        <f>'Actividades de construcción'!D25</f>
        <v>UND</v>
      </c>
      <c r="E25" s="223">
        <f>'Cantidades de Obra'!K26</f>
        <v>19</v>
      </c>
    </row>
    <row r="26" spans="2:5" ht="15.75" customHeight="1" thickBot="1">
      <c r="B26" s="215">
        <f>'Actividades de construcción'!B26</f>
        <v>5</v>
      </c>
      <c r="C26" s="643" t="str">
        <f>'Actividades de construcción'!C26</f>
        <v>ESTRUCTURA EN CONCRETO REFORZADO</v>
      </c>
      <c r="D26" s="644"/>
      <c r="E26" s="645"/>
    </row>
    <row r="27" spans="2:5" ht="15.75" customHeight="1">
      <c r="B27" s="216">
        <f>'Actividades de construcción'!B27</f>
        <v>5.0999999999999996</v>
      </c>
      <c r="C27" s="217" t="str">
        <f>'Actividades de construcción'!C27</f>
        <v>Concreto ciclopeo 60/40</v>
      </c>
      <c r="D27" s="218" t="str">
        <f>'Actividades de construcción'!D27</f>
        <v>M3</v>
      </c>
      <c r="E27" s="219">
        <f>'Cantidades de Obra'!K28</f>
        <v>39.86</v>
      </c>
    </row>
    <row r="28" spans="2:5" ht="15.75" customHeight="1">
      <c r="B28" s="220">
        <f>'Actividades de construcción'!B28</f>
        <v>5.2</v>
      </c>
      <c r="C28" s="351" t="str">
        <f>'Actividades de construcción'!C28</f>
        <v>Acero de refuerzo, incluye alambre de amarre</v>
      </c>
      <c r="D28" s="222" t="str">
        <f>'Actividades de construcción'!D28</f>
        <v>KG</v>
      </c>
      <c r="E28" s="223">
        <f>'Cantidades de Obra'!K29</f>
        <v>6142.3339999999998</v>
      </c>
    </row>
    <row r="29" spans="2:5" ht="15.75" customHeight="1">
      <c r="B29" s="220">
        <f>'Actividades de construcción'!B29</f>
        <v>5.3</v>
      </c>
      <c r="C29" s="221" t="str">
        <f>'Actividades de construcción'!C29</f>
        <v xml:space="preserve">Concreto para vigas de cimentación </v>
      </c>
      <c r="D29" s="222" t="str">
        <f>'Actividades de construcción'!D29</f>
        <v>M3</v>
      </c>
      <c r="E29" s="223">
        <f>'Cantidades de Obra'!K30</f>
        <v>15</v>
      </c>
    </row>
    <row r="30" spans="2:5" ht="15.75" customHeight="1">
      <c r="B30" s="220">
        <f>'Actividades de construcción'!B30</f>
        <v>5.4</v>
      </c>
      <c r="C30" s="221" t="str">
        <f>'Actividades de construcción'!C30</f>
        <v>Concreto para placa de piso, incluye malla electrosol</v>
      </c>
      <c r="D30" s="222" t="str">
        <f>'Actividades de construcción'!D30</f>
        <v>M2</v>
      </c>
      <c r="E30" s="223">
        <f>'Cantidades de Obra'!K31</f>
        <v>220</v>
      </c>
    </row>
    <row r="31" spans="2:5" ht="15.75" customHeight="1">
      <c r="B31" s="220">
        <f>'Actividades de construcción'!B31</f>
        <v>5.5</v>
      </c>
      <c r="C31" s="221" t="str">
        <f>'Actividades de construcción'!C31</f>
        <v>Concreto para columnas</v>
      </c>
      <c r="D31" s="222" t="str">
        <f>'Actividades de construcción'!D31</f>
        <v>M3</v>
      </c>
      <c r="E31" s="223">
        <f>'Cantidades de Obra'!K32</f>
        <v>4.25</v>
      </c>
    </row>
    <row r="32" spans="2:5" ht="15.75" customHeight="1">
      <c r="B32" s="220">
        <f>'Actividades de construcción'!B32</f>
        <v>5.6</v>
      </c>
      <c r="C32" s="221" t="str">
        <f>'Actividades de construcción'!C32</f>
        <v>Concreto para viga de entrepiso</v>
      </c>
      <c r="D32" s="222" t="str">
        <f>'Actividades de construcción'!D32</f>
        <v>M3</v>
      </c>
      <c r="E32" s="223">
        <f>'Cantidades de Obra'!K33</f>
        <v>6.77</v>
      </c>
    </row>
    <row r="33" spans="2:5" ht="15.75" customHeight="1">
      <c r="B33" s="220">
        <f>'Actividades de construcción'!B33</f>
        <v>5.7</v>
      </c>
      <c r="C33" s="221" t="str">
        <f>'Actividades de construcción'!C33</f>
        <v>Concreto para viga a nivel de culata</v>
      </c>
      <c r="D33" s="222" t="str">
        <f>'Actividades de construcción'!D33</f>
        <v>M3</v>
      </c>
      <c r="E33" s="223">
        <f>'Cantidades de Obra'!K34</f>
        <v>2.3260000000000001</v>
      </c>
    </row>
    <row r="34" spans="2:5" ht="15.75" customHeight="1">
      <c r="B34" s="220">
        <f>'Actividades de construcción'!B34</f>
        <v>5.8</v>
      </c>
      <c r="C34" s="221" t="str">
        <f>'Actividades de construcción'!C34</f>
        <v xml:space="preserve">Meson de concreto, e=10 cms, Ancho 60 cm </v>
      </c>
      <c r="D34" s="222" t="str">
        <f>'Actividades de construcción'!D34</f>
        <v>M2</v>
      </c>
      <c r="E34" s="223">
        <f>'Cantidades de Obra'!K35</f>
        <v>2.2799999999999998</v>
      </c>
    </row>
    <row r="35" spans="2:5" s="442" customFormat="1" ht="15.75" customHeight="1" thickBot="1">
      <c r="B35" s="220">
        <f>'Actividades de construcción'!B35</f>
        <v>5.9</v>
      </c>
      <c r="C35" s="221" t="str">
        <f>'Actividades de construcción'!C35</f>
        <v>Estructura placa facil para entrepiso</v>
      </c>
      <c r="D35" s="222" t="str">
        <f>'Actividades de construcción'!D35</f>
        <v>M2</v>
      </c>
      <c r="E35" s="223">
        <f>'Cantidades de Obra'!K36</f>
        <v>220</v>
      </c>
    </row>
    <row r="36" spans="2:5" ht="15.75" customHeight="1" thickBot="1">
      <c r="B36" s="215">
        <f>'Actividades de construcción'!B36</f>
        <v>6</v>
      </c>
      <c r="C36" s="643" t="str">
        <f>'Actividades de construcción'!C36</f>
        <v>MAMPOSTERIA EN BLOQUE DE LADRILLO</v>
      </c>
      <c r="D36" s="644"/>
      <c r="E36" s="645"/>
    </row>
    <row r="37" spans="2:5" ht="15.75" customHeight="1">
      <c r="B37" s="216">
        <f>'Actividades de construcción'!B37</f>
        <v>6.1</v>
      </c>
      <c r="C37" s="217" t="str">
        <f>'Actividades de construcción'!C37</f>
        <v xml:space="preserve">Muro en bloque de arcilla, espesor 12 centimetros </v>
      </c>
      <c r="D37" s="218" t="str">
        <f>'Actividades de construcción'!D37</f>
        <v>M2</v>
      </c>
      <c r="E37" s="219">
        <f>'Cantidades de Obra'!K38</f>
        <v>371.63499999999999</v>
      </c>
    </row>
    <row r="38" spans="2:5" ht="15.75" customHeight="1">
      <c r="B38" s="220">
        <f>'Actividades de construcción'!B38</f>
        <v>6.2</v>
      </c>
      <c r="C38" s="221" t="str">
        <f>'Actividades de construcción'!C38</f>
        <v xml:space="preserve">Pañetes de muros en mortero 1:4 impermeabilizado </v>
      </c>
      <c r="D38" s="222" t="str">
        <f>'Actividades de construcción'!D38</f>
        <v>M2</v>
      </c>
      <c r="E38" s="223">
        <f>'Cantidades de Obra'!K39</f>
        <v>743.27</v>
      </c>
    </row>
    <row r="39" spans="2:5" ht="15.75" customHeight="1" thickBot="1">
      <c r="B39" s="224">
        <f>'Actividades de construcción'!B39</f>
        <v>6.3</v>
      </c>
      <c r="C39" s="225" t="str">
        <f>'Actividades de construcción'!C39</f>
        <v>Enchape ceramico para piso y pared</v>
      </c>
      <c r="D39" s="226" t="str">
        <f>'Actividades de construcción'!D39</f>
        <v>M2</v>
      </c>
      <c r="E39" s="227">
        <f>'Cantidades de Obra'!K40</f>
        <v>739.19599999999991</v>
      </c>
    </row>
    <row r="40" spans="2:5" ht="15.75" customHeight="1" thickBot="1">
      <c r="B40" s="215">
        <f>'Actividades de construcción'!B40</f>
        <v>7</v>
      </c>
      <c r="C40" s="643" t="str">
        <f>'Actividades de construcción'!C40</f>
        <v>INSTALACIÓN ELECTRICA</v>
      </c>
      <c r="D40" s="644"/>
      <c r="E40" s="645"/>
    </row>
    <row r="41" spans="2:5" ht="15.75" customHeight="1">
      <c r="B41" s="216">
        <f>'Actividades de construcción'!B41</f>
        <v>7.1</v>
      </c>
      <c r="C41" s="402" t="str">
        <f>'Actividades de construcción'!C41</f>
        <v>Acometida al contador, incluye contador y accesorios</v>
      </c>
      <c r="D41" s="218" t="str">
        <f>'Actividades de construcción'!D41</f>
        <v>GB</v>
      </c>
      <c r="E41" s="219">
        <f>'Cantidades de Obra'!K42</f>
        <v>1</v>
      </c>
    </row>
    <row r="42" spans="2:5" ht="15.75" customHeight="1">
      <c r="B42" s="220">
        <f>'Actividades de construcción'!B42</f>
        <v>7.2</v>
      </c>
      <c r="C42" s="351" t="str">
        <f>'Actividades de construcción'!C42</f>
        <v>Acometida del contador al tablero general</v>
      </c>
      <c r="D42" s="222" t="str">
        <f>'Actividades de construcción'!D42</f>
        <v>ML</v>
      </c>
      <c r="E42" s="223">
        <f>'Cantidades de Obra'!K43</f>
        <v>10</v>
      </c>
    </row>
    <row r="43" spans="2:5" ht="15.75" customHeight="1">
      <c r="B43" s="220">
        <f>'Actividades de construcción'!B43</f>
        <v>7.3</v>
      </c>
      <c r="C43" s="351" t="str">
        <f>'Actividades de construcción'!C43</f>
        <v>Puesta a tierra del tablero</v>
      </c>
      <c r="D43" s="222" t="str">
        <f>'Actividades de construcción'!D43</f>
        <v>UND</v>
      </c>
      <c r="E43" s="223">
        <f>'Cantidades de Obra'!K44</f>
        <v>5</v>
      </c>
    </row>
    <row r="44" spans="2:5" ht="15.75" customHeight="1">
      <c r="B44" s="220">
        <f>'Actividades de construcción'!B44</f>
        <v>7.4</v>
      </c>
      <c r="C44" s="351" t="str">
        <f>'Actividades de construcción'!C44</f>
        <v xml:space="preserve">Tablero general de distribución de 3 circuitos </v>
      </c>
      <c r="D44" s="222" t="str">
        <f>'Actividades de construcción'!D44</f>
        <v>GB</v>
      </c>
      <c r="E44" s="223">
        <f>'Cantidades de Obra'!K45</f>
        <v>1</v>
      </c>
    </row>
    <row r="45" spans="2:5" ht="15.75" customHeight="1">
      <c r="B45" s="220">
        <f>'Actividades de construcción'!B45</f>
        <v>7.5</v>
      </c>
      <c r="C45" s="351" t="str">
        <f>'Actividades de construcción'!C45</f>
        <v xml:space="preserve">Red electrica de distribución, incluye accesorios </v>
      </c>
      <c r="D45" s="222" t="str">
        <f>'Actividades de construcción'!D45</f>
        <v>ML</v>
      </c>
      <c r="E45" s="223">
        <f>'Cantidades de Obra'!K46</f>
        <v>220.09200000000001</v>
      </c>
    </row>
    <row r="46" spans="2:5" ht="15.75" customHeight="1">
      <c r="B46" s="220">
        <f>'Actividades de construcción'!B46</f>
        <v>7.6</v>
      </c>
      <c r="C46" s="351" t="str">
        <f>'Actividades de construcción'!C46</f>
        <v>Salida toma trifilar para la estufa, incluye aparato</v>
      </c>
      <c r="D46" s="222" t="str">
        <f>'Actividades de construcción'!D46</f>
        <v>UND</v>
      </c>
      <c r="E46" s="223">
        <f>'Cantidades de Obra'!K47</f>
        <v>1</v>
      </c>
    </row>
    <row r="47" spans="2:5" ht="15.75" customHeight="1">
      <c r="B47" s="220">
        <f>'Actividades de construcción'!B47</f>
        <v>7.7</v>
      </c>
      <c r="C47" s="351" t="str">
        <f>'Actividades de construcción'!C47</f>
        <v>Salida toma doble con polo a tierra, incluye aparato</v>
      </c>
      <c r="D47" s="222" t="str">
        <f>'Actividades de construcción'!D47</f>
        <v>UND</v>
      </c>
      <c r="E47" s="223">
        <f>'Cantidades de Obra'!K48</f>
        <v>18</v>
      </c>
    </row>
    <row r="48" spans="2:5" ht="15.75" customHeight="1">
      <c r="B48" s="220">
        <f>'Actividades de construcción'!B48</f>
        <v>7.8</v>
      </c>
      <c r="C48" s="351" t="str">
        <f>'Actividades de construcción'!C48</f>
        <v>Salida para iluminación, incluye aparato</v>
      </c>
      <c r="D48" s="222" t="str">
        <f>'Actividades de construcción'!D48</f>
        <v>UND</v>
      </c>
      <c r="E48" s="223">
        <f>'Cantidades de Obra'!K49</f>
        <v>28</v>
      </c>
    </row>
    <row r="49" spans="2:5" ht="15.75" customHeight="1" thickBot="1">
      <c r="B49" s="224">
        <f>'Actividades de construcción'!B49</f>
        <v>7.9</v>
      </c>
      <c r="C49" s="352" t="str">
        <f>'Actividades de construcción'!C49</f>
        <v>Salida para interruptor, incluye aparato</v>
      </c>
      <c r="D49" s="226" t="str">
        <f>'Actividades de construcción'!D49</f>
        <v>UND</v>
      </c>
      <c r="E49" s="227">
        <f>'Cantidades de Obra'!K50</f>
        <v>17</v>
      </c>
    </row>
    <row r="50" spans="2:5" ht="15.75" customHeight="1" thickBot="1">
      <c r="B50" s="215">
        <f>'Actividades de construcción'!B50</f>
        <v>8</v>
      </c>
      <c r="C50" s="643" t="str">
        <f>'Actividades de construcción'!C50</f>
        <v>CARPINTERIA METALICA</v>
      </c>
      <c r="D50" s="644"/>
      <c r="E50" s="645"/>
    </row>
    <row r="51" spans="2:5" ht="15.75" customHeight="1">
      <c r="B51" s="216">
        <f>'Actividades de construcción'!B51</f>
        <v>8.1</v>
      </c>
      <c r="C51" s="217" t="str">
        <f>'Actividades de construcción'!C51</f>
        <v>Ventaneria metalica, según diseño, inc. instalación</v>
      </c>
      <c r="D51" s="218" t="str">
        <f>'Actividades de construcción'!D51</f>
        <v>M2</v>
      </c>
      <c r="E51" s="219">
        <f>'Cantidades de Obra'!K52</f>
        <v>28.6</v>
      </c>
    </row>
    <row r="52" spans="2:5" ht="15.75" customHeight="1">
      <c r="B52" s="220">
        <f>'Actividades de construcción'!B52</f>
        <v>8.1999999999999993</v>
      </c>
      <c r="C52" s="221" t="str">
        <f>'Actividades de construcción'!C52</f>
        <v>Puerta lámina / marco metalico,para Interiores incluye instalación</v>
      </c>
      <c r="D52" s="222" t="str">
        <f>'Actividades de construcción'!D52</f>
        <v>UND</v>
      </c>
      <c r="E52" s="223">
        <f>'Cantidades de Obra'!K53</f>
        <v>6</v>
      </c>
    </row>
    <row r="53" spans="2:5" s="398" customFormat="1" ht="15.75" customHeight="1">
      <c r="B53" s="220">
        <f>'Actividades de construcción'!B53</f>
        <v>8.3000000000000007</v>
      </c>
      <c r="C53" s="221" t="str">
        <f>'Actividades de construcción'!C53</f>
        <v>Puerta lámina porton doble para exteriores incluye instalación</v>
      </c>
      <c r="D53" s="222" t="str">
        <f>'Actividades de construcción'!D53</f>
        <v>UND</v>
      </c>
      <c r="E53" s="223">
        <f>'Cantidades de Obra'!K54</f>
        <v>2</v>
      </c>
    </row>
    <row r="54" spans="2:5" ht="15.75" customHeight="1">
      <c r="B54" s="220">
        <f>'Actividades de construcción'!B54</f>
        <v>8.4</v>
      </c>
      <c r="C54" s="221" t="str">
        <f>'Actividades de construcción'!C54</f>
        <v xml:space="preserve">Divisiones sanitarias en acero inoxidable (Altura 1.80m) incluye instalación </v>
      </c>
      <c r="D54" s="222" t="str">
        <f>'Actividades de construcción'!D54</f>
        <v>M2</v>
      </c>
      <c r="E54" s="223">
        <f>'Cantidades de Obra'!K55</f>
        <v>10.948</v>
      </c>
    </row>
    <row r="55" spans="2:5" ht="15.75" customHeight="1">
      <c r="B55" s="220">
        <f>'Actividades de construcción'!B55</f>
        <v>8.5</v>
      </c>
      <c r="C55" s="221" t="str">
        <f>'Actividades de construcción'!C55</f>
        <v xml:space="preserve">Ventana tipo corredera de 4 hojas en aluminio, incluye instalación </v>
      </c>
      <c r="D55" s="222" t="str">
        <f>'Actividades de construcción'!D55</f>
        <v>UND</v>
      </c>
      <c r="E55" s="223">
        <f>'Cantidades de Obra'!K56</f>
        <v>2</v>
      </c>
    </row>
    <row r="56" spans="2:5" ht="15.75" customHeight="1">
      <c r="B56" s="220">
        <f>'Actividades de construcción'!B56</f>
        <v>8.6</v>
      </c>
      <c r="C56" s="351" t="str">
        <f>'Actividades de construcción'!C56</f>
        <v xml:space="preserve">Pasamano tipo barandal para balcon en acero inoxidable, incluye instalación </v>
      </c>
      <c r="D56" s="222" t="str">
        <f>'Actividades de construcción'!D56</f>
        <v>ML</v>
      </c>
      <c r="E56" s="223">
        <f>'Cantidades de Obra'!K57</f>
        <v>10</v>
      </c>
    </row>
    <row r="57" spans="2:5" s="398" customFormat="1" ht="15.75" customHeight="1">
      <c r="B57" s="220">
        <f>'Actividades de construcción'!B57</f>
        <v>8.6999999999999993</v>
      </c>
      <c r="C57" s="351" t="str">
        <f>'Actividades de construcción'!C57</f>
        <v>Estructura metalica de cubierta, perfiles A500 Grado C para cercha</v>
      </c>
      <c r="D57" s="222" t="str">
        <f>'Actividades de construcción'!D57</f>
        <v>ML</v>
      </c>
      <c r="E57" s="223">
        <f>'Cantidades de Obra'!K58</f>
        <v>188.85999999999999</v>
      </c>
    </row>
    <row r="58" spans="2:5" ht="15.75" customHeight="1">
      <c r="B58" s="220">
        <f>'Actividades de construcción'!B58</f>
        <v>8.8000000000000007</v>
      </c>
      <c r="C58" s="351" t="str">
        <f>'Actividades de construcción'!C58</f>
        <v>Estructura metalica de cubierta, correas perfil C (espesor 1.5 mm)</v>
      </c>
      <c r="D58" s="222" t="str">
        <f>'Actividades de construcción'!D58</f>
        <v>ML</v>
      </c>
      <c r="E58" s="223">
        <f>'Cantidades de Obra'!K59</f>
        <v>240</v>
      </c>
    </row>
    <row r="59" spans="2:5" ht="15.75" customHeight="1">
      <c r="B59" s="220">
        <f>'Actividades de construcción'!B59</f>
        <v>8.9</v>
      </c>
      <c r="C59" s="351" t="str">
        <f>'Actividades de construcción'!C59</f>
        <v xml:space="preserve">Cubierta de teja de fibro cemento ondulada perfil 7, inc instalación </v>
      </c>
      <c r="D59" s="222" t="str">
        <f>'Actividades de construcción'!D59</f>
        <v>M2</v>
      </c>
      <c r="E59" s="223">
        <f>'Cantidades de Obra'!K60</f>
        <v>220</v>
      </c>
    </row>
    <row r="60" spans="2:5" ht="15.75" customHeight="1" thickBot="1">
      <c r="B60" s="459">
        <f>'Actividades de construcción'!B60</f>
        <v>8.1</v>
      </c>
      <c r="C60" s="352" t="str">
        <f>'Actividades de construcción'!C60</f>
        <v xml:space="preserve">Canales y bajantes, incluye instalación </v>
      </c>
      <c r="D60" s="226" t="str">
        <f>'Actividades de construcción'!D60</f>
        <v>ML</v>
      </c>
      <c r="E60" s="227">
        <f>'Cantidades de Obra'!K61</f>
        <v>60</v>
      </c>
    </row>
    <row r="61" spans="2:5" ht="15.75" customHeight="1" thickBot="1">
      <c r="B61" s="215">
        <f>'Actividades de construcción'!B61</f>
        <v>9</v>
      </c>
      <c r="C61" s="643" t="str">
        <f>'Actividades de construcción'!C61</f>
        <v>APARATOS SANITARIOS</v>
      </c>
      <c r="D61" s="644"/>
      <c r="E61" s="645"/>
    </row>
    <row r="62" spans="2:5" ht="15.75" customHeight="1">
      <c r="B62" s="216">
        <f>'Actividades de construcción'!B62</f>
        <v>9.1</v>
      </c>
      <c r="C62" s="217" t="str">
        <f>'Actividades de construcción'!C62</f>
        <v>Taza y cisterna, incluye instalación y prueba</v>
      </c>
      <c r="D62" s="218" t="str">
        <f>'Actividades de construcción'!D62</f>
        <v>UND</v>
      </c>
      <c r="E62" s="219">
        <f>'Cantidades de Obra'!K63</f>
        <v>9</v>
      </c>
    </row>
    <row r="63" spans="2:5" ht="15.75" customHeight="1">
      <c r="B63" s="220">
        <f>'Actividades de construcción'!B63</f>
        <v>9.1999999999999993</v>
      </c>
      <c r="C63" s="221" t="str">
        <f>'Actividades de construcción'!C63</f>
        <v>Lavamanos con pedestal blanco, incluye griferia, (incluye instalación y prueba)</v>
      </c>
      <c r="D63" s="222" t="str">
        <f>'Actividades de construcción'!D63</f>
        <v>UND</v>
      </c>
      <c r="E63" s="223">
        <f>'Cantidades de Obra'!K64</f>
        <v>3</v>
      </c>
    </row>
    <row r="64" spans="2:5" ht="15.75" customHeight="1">
      <c r="B64" s="220">
        <f>'Actividades de construcción'!B64</f>
        <v>9.3000000000000007</v>
      </c>
      <c r="C64" s="221" t="str">
        <f>'Actividades de construcción'!C64</f>
        <v>Lavamanos dobles, incluye griferia, (incluye instalación y prueba)</v>
      </c>
      <c r="D64" s="222" t="str">
        <f>'Actividades de construcción'!D64</f>
        <v>UND</v>
      </c>
      <c r="E64" s="223">
        <f>'Cantidades de Obra'!K65</f>
        <v>2</v>
      </c>
    </row>
    <row r="65" spans="2:5" ht="15.75" customHeight="1" thickBot="1">
      <c r="B65" s="220">
        <f>'Actividades de construcción'!B65</f>
        <v>9.4</v>
      </c>
      <c r="C65" s="221" t="str">
        <f>'Actividades de construcción'!C65</f>
        <v>Lavaplatos de insertar en el mesón de acero inoxidable, incluye griferia</v>
      </c>
      <c r="D65" s="222" t="str">
        <f>'Actividades de construcción'!D65</f>
        <v>UND</v>
      </c>
      <c r="E65" s="223">
        <f>'Cantidades de Obra'!K66</f>
        <v>1</v>
      </c>
    </row>
    <row r="66" spans="2:5" ht="15.75" customHeight="1" thickBot="1">
      <c r="B66" s="215">
        <f>'Actividades de construcción'!B66</f>
        <v>10</v>
      </c>
      <c r="C66" s="643" t="str">
        <f>'Actividades de construcción'!C66</f>
        <v>ACABADOS</v>
      </c>
      <c r="D66" s="644"/>
      <c r="E66" s="645"/>
    </row>
    <row r="67" spans="2:5" ht="15.75" customHeight="1">
      <c r="B67" s="216">
        <f>'Actividades de construcción'!B67</f>
        <v>10.1</v>
      </c>
      <c r="C67" s="217" t="str">
        <f>'Actividades de construcción'!C67</f>
        <v>Espejo para el baño, incluye instalación (120x70 cm)</v>
      </c>
      <c r="D67" s="218" t="str">
        <f>'Cantidades de Obra'!D68</f>
        <v>UND</v>
      </c>
      <c r="E67" s="219">
        <f>'Cantidades de Obra'!K68</f>
        <v>2</v>
      </c>
    </row>
    <row r="68" spans="2:5" s="323" customFormat="1" ht="15.75" customHeight="1">
      <c r="B68" s="216">
        <f>'Actividades de construcción'!B68</f>
        <v>10.199999999999999</v>
      </c>
      <c r="C68" s="217" t="str">
        <f>'Actividades de construcción'!C68</f>
        <v>Espejo para el baño, incluye instalación (75x70 cm)</v>
      </c>
      <c r="D68" s="218" t="str">
        <f>'Cantidades de Obra'!D69</f>
        <v>UND</v>
      </c>
      <c r="E68" s="219">
        <f>'Cantidades de Obra'!K69</f>
        <v>3</v>
      </c>
    </row>
    <row r="69" spans="2:5" ht="15.75" customHeight="1">
      <c r="B69" s="216">
        <f>'Actividades de construcción'!B69</f>
        <v>10.3</v>
      </c>
      <c r="C69" s="217" t="str">
        <f>'Actividades de construcción'!C69</f>
        <v>Pintura puertas en esmalte, incluye hoja y marco</v>
      </c>
      <c r="D69" s="218" t="str">
        <f>'Cantidades de Obra'!D70</f>
        <v>UND</v>
      </c>
      <c r="E69" s="219">
        <f>'Cantidades de Obra'!K70</f>
        <v>1</v>
      </c>
    </row>
    <row r="70" spans="2:5" ht="15.75" customHeight="1">
      <c r="B70" s="216">
        <f>'Actividades de construcción'!B70</f>
        <v>10.4</v>
      </c>
      <c r="C70" s="402" t="str">
        <f>'Actividades de construcción'!C70</f>
        <v>Pintura estructura metálica de cubierta</v>
      </c>
      <c r="D70" s="438" t="str">
        <f>'Cantidades de Obra'!D71</f>
        <v>ML</v>
      </c>
      <c r="E70" s="439">
        <f>'Cantidades de Obra'!K71</f>
        <v>188.85999999999999</v>
      </c>
    </row>
    <row r="71" spans="2:5" ht="15.75" customHeight="1">
      <c r="B71" s="216">
        <f>'Actividades de construcción'!B71</f>
        <v>10.5</v>
      </c>
      <c r="C71" s="217" t="str">
        <f>'Actividades de construcción'!C71</f>
        <v>Pintura fachada en vinilo para exteriores</v>
      </c>
      <c r="D71" s="218" t="str">
        <f>'Cantidades de Obra'!D72</f>
        <v>M2</v>
      </c>
      <c r="E71" s="219">
        <f>'Cantidades de Obra'!K72</f>
        <v>226.26000000000002</v>
      </c>
    </row>
    <row r="72" spans="2:5" s="323" customFormat="1" ht="15.75" customHeight="1">
      <c r="B72" s="216">
        <f>'Actividades de construcción'!B72</f>
        <v>10.6</v>
      </c>
      <c r="C72" s="217" t="str">
        <f>'Actividades de construcción'!C72</f>
        <v>Pintura en vinilo para interiores, 3 manos</v>
      </c>
      <c r="D72" s="218" t="str">
        <f>'Cantidades de Obra'!D73</f>
        <v>M2</v>
      </c>
      <c r="E72" s="219">
        <f>'Cantidades de Obra'!K73</f>
        <v>145.375</v>
      </c>
    </row>
    <row r="73" spans="2:5" ht="15.75" customHeight="1">
      <c r="B73" s="216">
        <f>'Actividades de construcción'!B73</f>
        <v>10.7</v>
      </c>
      <c r="C73" s="217" t="str">
        <f>'Actividades de construcción'!C73</f>
        <v>Aseo grueso y diario</v>
      </c>
      <c r="D73" s="218" t="str">
        <f>'Cantidades de Obra'!D74</f>
        <v>GB</v>
      </c>
      <c r="E73" s="219">
        <f>'Cantidades de Obra'!K74</f>
        <v>1</v>
      </c>
    </row>
    <row r="74" spans="2:5" ht="15.75" customHeight="1">
      <c r="B74" s="216">
        <f>'Actividades de construcción'!B74</f>
        <v>10.8</v>
      </c>
      <c r="C74" s="217" t="str">
        <f>'Actividades de construcción'!C74</f>
        <v>Aseo fino para entrega de la obra</v>
      </c>
      <c r="D74" s="218" t="str">
        <f>'Cantidades de Obra'!D75</f>
        <v>GB</v>
      </c>
      <c r="E74" s="219">
        <f>'Cantidades de Obra'!K75</f>
        <v>1</v>
      </c>
    </row>
    <row r="75" spans="2:5" ht="15.75" customHeight="1">
      <c r="B75" s="487">
        <f>'Actividades de construcción'!B75</f>
        <v>10.9</v>
      </c>
      <c r="C75" s="217" t="str">
        <f>'Actividades de construcción'!C75</f>
        <v>Manual de mantenimiento del salon comunal</v>
      </c>
      <c r="D75" s="218" t="str">
        <f>'Cantidades de Obra'!D76</f>
        <v>GB</v>
      </c>
      <c r="E75" s="219">
        <f>'Cantidades de Obra'!K76</f>
        <v>1</v>
      </c>
    </row>
    <row r="76" spans="2:5" ht="15.75" customHeight="1">
      <c r="B76" s="257"/>
      <c r="C76" s="257"/>
      <c r="D76" s="257"/>
      <c r="E76" s="257"/>
    </row>
    <row r="77" spans="2:5" ht="15.75" customHeight="1"/>
    <row r="78" spans="2:5" ht="15.75" customHeight="1"/>
    <row r="79" spans="2:5" ht="15.75" customHeight="1"/>
    <row r="80" spans="2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sheetProtection algorithmName="SHA-512" hashValue="ExCEwz+JXlYge78kYAq8YF1gUOzHpMtJ44fxFuqobjop4U1YjNx5M8APW3S4U2IGwqkL4MUSCddwv+3Qtykzdg==" saltValue="XCtyY/VUBrbY6n7DTt05MA==" spinCount="100000" sheet="1" objects="1" scenarios="1" selectLockedCells="1" selectUnlockedCells="1"/>
  <mergeCells count="12">
    <mergeCell ref="B2:E2"/>
    <mergeCell ref="B3:E3"/>
    <mergeCell ref="C66:E66"/>
    <mergeCell ref="C5:E5"/>
    <mergeCell ref="C11:E11"/>
    <mergeCell ref="C15:E15"/>
    <mergeCell ref="C23:E23"/>
    <mergeCell ref="C26:E26"/>
    <mergeCell ref="C36:E36"/>
    <mergeCell ref="C40:E40"/>
    <mergeCell ref="C50:E50"/>
    <mergeCell ref="C61:E6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="90" zoomScaleNormal="9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7.15" customHeight="1">
      <c r="A1" s="843" t="str">
        <f>'7.3'!A1:H1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Presupuesto!B51</f>
        <v>7.4</v>
      </c>
      <c r="B5" s="780" t="str">
        <f>Presupuesto!C51</f>
        <v xml:space="preserve">Tablero general de distribución de 3 circuitos </v>
      </c>
      <c r="C5" s="686"/>
      <c r="D5" s="686"/>
      <c r="E5" s="686"/>
      <c r="F5" s="687"/>
      <c r="G5" s="866" t="str">
        <f>Presupuesto!D51</f>
        <v>GB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331</v>
      </c>
      <c r="B8" s="666"/>
      <c r="C8" s="666"/>
      <c r="D8" s="667"/>
      <c r="E8" s="7" t="s">
        <v>30</v>
      </c>
      <c r="F8" s="80">
        <f>72900+500</f>
        <v>73400</v>
      </c>
      <c r="G8" s="7">
        <v>3</v>
      </c>
      <c r="H8" s="79">
        <f>F8*G8</f>
        <v>220200</v>
      </c>
      <c r="K8" s="40"/>
    </row>
    <row r="9" spans="1:26" ht="14.25" customHeight="1">
      <c r="A9" s="814" t="s">
        <v>201</v>
      </c>
      <c r="B9" s="666"/>
      <c r="C9" s="666"/>
      <c r="D9" s="667"/>
      <c r="E9" s="7" t="s">
        <v>15</v>
      </c>
      <c r="F9" s="80">
        <f>1099+500</f>
        <v>1599</v>
      </c>
      <c r="G9" s="7">
        <f>4.1*3</f>
        <v>12.299999999999999</v>
      </c>
      <c r="H9" s="79">
        <f>F9*G9</f>
        <v>19667.699999999997</v>
      </c>
      <c r="K9" s="40"/>
    </row>
    <row r="10" spans="1:26" ht="14.25" customHeight="1">
      <c r="A10" s="814" t="s">
        <v>205</v>
      </c>
      <c r="B10" s="666"/>
      <c r="C10" s="666"/>
      <c r="D10" s="667"/>
      <c r="E10" s="7" t="s">
        <v>30</v>
      </c>
      <c r="F10" s="80">
        <f>30000+500</f>
        <v>30500</v>
      </c>
      <c r="G10" s="7">
        <v>10</v>
      </c>
      <c r="H10" s="79">
        <f>F10*G10</f>
        <v>305000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544868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7">
        <f>G24</f>
        <v>0.5</v>
      </c>
      <c r="H16" s="79">
        <f>F16/G16</f>
        <v>1400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1400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0.5</v>
      </c>
      <c r="H24" s="79">
        <f>(E24*F24)/G24</f>
        <v>104219.43826666666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104220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650488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g8iB4RrPWFF7dha7QoPlMV1JDBtrQkFS/VsFv9bqFWxSoLJDPOhiAP4KIHjRJE7GeFMNzRQdU5eVaH3vmskEbw==" saltValue="94ffCm/3OkLc6ZO79z7ic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5.9" customHeight="1">
      <c r="A1" s="843" t="str">
        <f>'7.4'!A1:H1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6.149999999999999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8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6.149999999999999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Presupuesto!B52</f>
        <v>7.5</v>
      </c>
      <c r="B5" s="780" t="str">
        <f>Presupuesto!C52</f>
        <v xml:space="preserve">Red electrica de distribución, incluye accesorios </v>
      </c>
      <c r="C5" s="686"/>
      <c r="D5" s="686"/>
      <c r="E5" s="686"/>
      <c r="F5" s="687"/>
      <c r="G5" s="866" t="str">
        <f>Presupuesto!D52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206</v>
      </c>
      <c r="B8" s="666"/>
      <c r="C8" s="666"/>
      <c r="D8" s="667"/>
      <c r="E8" s="7" t="s">
        <v>15</v>
      </c>
      <c r="F8" s="80">
        <f>2650/3</f>
        <v>883.33333333333337</v>
      </c>
      <c r="G8" s="7">
        <v>1.1000000000000001</v>
      </c>
      <c r="H8" s="79">
        <f>F8*G8</f>
        <v>971.66666666666674</v>
      </c>
      <c r="K8" s="40"/>
    </row>
    <row r="9" spans="1:26" ht="14.25" customHeight="1">
      <c r="A9" s="814" t="s">
        <v>201</v>
      </c>
      <c r="B9" s="666"/>
      <c r="C9" s="666"/>
      <c r="D9" s="667"/>
      <c r="E9" s="7" t="s">
        <v>15</v>
      </c>
      <c r="F9" s="80">
        <f>1099+500</f>
        <v>1599</v>
      </c>
      <c r="G9" s="7">
        <v>1.1000000000000001</v>
      </c>
      <c r="H9" s="79">
        <f>F9*G9</f>
        <v>1758.9</v>
      </c>
      <c r="K9" s="40"/>
    </row>
    <row r="10" spans="1:26" ht="14.25" customHeight="1">
      <c r="A10" s="814" t="s">
        <v>203</v>
      </c>
      <c r="B10" s="666"/>
      <c r="C10" s="666"/>
      <c r="D10" s="667"/>
      <c r="E10" s="7" t="s">
        <v>61</v>
      </c>
      <c r="F10" s="80">
        <f>1000+500</f>
        <v>1500</v>
      </c>
      <c r="G10" s="7">
        <v>0.5</v>
      </c>
      <c r="H10" s="79">
        <f>F10*G10</f>
        <v>750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3481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G24</f>
        <v>1.5</v>
      </c>
      <c r="H16" s="79">
        <f>F16/G16</f>
        <v>466.66666666666669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58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467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1.5</v>
      </c>
      <c r="H24" s="79">
        <f>(E24*F24)/G24</f>
        <v>34739.812755555555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34740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38688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RgcWztjqab8HQI4gWGrJCx2qey8VnA17XbDwMO/VyiBy0pO8AXlv7j6TARInbpiw0YbWMzBo2Smg/vbMGqzb0Q==" saltValue="oVPTrTkkT/ZaU45fX630l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16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9.45" customHeight="1">
      <c r="A1" s="843" t="str">
        <f>'7.5'!A1:H1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Presupuesto!B53</f>
        <v>7.6</v>
      </c>
      <c r="B5" s="780" t="str">
        <f>Presupuesto!C53</f>
        <v>Salida toma trifilar para la estufa, incluye aparato</v>
      </c>
      <c r="C5" s="686"/>
      <c r="D5" s="686"/>
      <c r="E5" s="686"/>
      <c r="F5" s="687"/>
      <c r="G5" s="866" t="str">
        <f>Presupuesto!D53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33" t="s">
        <v>207</v>
      </c>
      <c r="B8" s="700"/>
      <c r="C8" s="700"/>
      <c r="D8" s="776"/>
      <c r="E8" s="150" t="s">
        <v>30</v>
      </c>
      <c r="F8" s="80">
        <f>6600+500</f>
        <v>7100</v>
      </c>
      <c r="G8" s="7">
        <v>1</v>
      </c>
      <c r="H8" s="79">
        <f>F8*G8</f>
        <v>7100</v>
      </c>
      <c r="K8" s="40"/>
    </row>
    <row r="9" spans="1:26" ht="14.25" customHeight="1">
      <c r="A9" s="814" t="s">
        <v>208</v>
      </c>
      <c r="B9" s="666"/>
      <c r="C9" s="666"/>
      <c r="D9" s="667"/>
      <c r="E9" s="7" t="s">
        <v>15</v>
      </c>
      <c r="F9" s="80">
        <f>1709+500</f>
        <v>2209</v>
      </c>
      <c r="G9" s="7">
        <v>1.1000000000000001</v>
      </c>
      <c r="H9" s="79">
        <f>F9*G9</f>
        <v>2429.9</v>
      </c>
      <c r="K9" s="40"/>
    </row>
    <row r="10" spans="1:26" ht="14.25" customHeight="1">
      <c r="A10" s="814" t="s">
        <v>209</v>
      </c>
      <c r="B10" s="666"/>
      <c r="C10" s="666"/>
      <c r="D10" s="667"/>
      <c r="E10" s="7" t="s">
        <v>15</v>
      </c>
      <c r="F10" s="80">
        <f>2650/3</f>
        <v>883.33333333333337</v>
      </c>
      <c r="G10" s="7">
        <v>1.1000000000000001</v>
      </c>
      <c r="H10" s="79">
        <f>F10*G10</f>
        <v>971.66666666666674</v>
      </c>
      <c r="K10" s="40"/>
    </row>
    <row r="11" spans="1:26" ht="14.25" customHeight="1">
      <c r="A11" s="814" t="s">
        <v>210</v>
      </c>
      <c r="B11" s="666"/>
      <c r="C11" s="666"/>
      <c r="D11" s="667"/>
      <c r="E11" s="7" t="s">
        <v>30</v>
      </c>
      <c r="F11" s="80">
        <f>850+500</f>
        <v>1350</v>
      </c>
      <c r="G11" s="7">
        <v>1</v>
      </c>
      <c r="H11" s="79">
        <f>F11*G11</f>
        <v>1350</v>
      </c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11852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G24</f>
        <v>2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f>1/0.5</f>
        <v>2</v>
      </c>
      <c r="H24" s="79">
        <f>(E24*F24)/G24</f>
        <v>26054.859566666666</v>
      </c>
      <c r="I24" s="40"/>
      <c r="J24" s="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26055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38257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WxfxNcZ+DmgDSbaw7jgxsyNZq0Rhy4ntys8a6MsyYQULqGLARRjiGyg5mXMspwl6a+MqFavUBaW9fZEc5UrCuw==" saltValue="BDKM3mRAVmRqnZhpti+gu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24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3.6" customHeight="1">
      <c r="A1" s="843" t="str">
        <f>'7.6'!A1:H1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Presupuesto!B54</f>
        <v>7.7</v>
      </c>
      <c r="B5" s="780" t="str">
        <f>Presupuesto!C54</f>
        <v>Salida toma doble con polo a tierra, incluye aparato</v>
      </c>
      <c r="C5" s="686"/>
      <c r="D5" s="686"/>
      <c r="E5" s="686"/>
      <c r="F5" s="687"/>
      <c r="G5" s="866" t="str">
        <f>Presupuesto!D54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211</v>
      </c>
      <c r="B8" s="666"/>
      <c r="C8" s="666"/>
      <c r="D8" s="667"/>
      <c r="E8" s="7" t="s">
        <v>30</v>
      </c>
      <c r="F8" s="80">
        <f>4200+500</f>
        <v>4700</v>
      </c>
      <c r="G8" s="7">
        <v>1</v>
      </c>
      <c r="H8" s="79">
        <f>F8*G8</f>
        <v>4700</v>
      </c>
      <c r="K8" s="40"/>
    </row>
    <row r="9" spans="1:26" ht="14.25" customHeight="1">
      <c r="A9" s="814" t="s">
        <v>210</v>
      </c>
      <c r="B9" s="666"/>
      <c r="C9" s="666"/>
      <c r="D9" s="667"/>
      <c r="E9" s="7" t="s">
        <v>30</v>
      </c>
      <c r="F9" s="80">
        <f>850+500</f>
        <v>1350</v>
      </c>
      <c r="G9" s="7">
        <v>1</v>
      </c>
      <c r="H9" s="79">
        <f>F9*G9</f>
        <v>1350</v>
      </c>
      <c r="K9" s="40"/>
    </row>
    <row r="10" spans="1:26" ht="14.25" customHeight="1">
      <c r="A10" s="814" t="s">
        <v>212</v>
      </c>
      <c r="B10" s="666"/>
      <c r="C10" s="666"/>
      <c r="D10" s="667"/>
      <c r="E10" s="7" t="s">
        <v>30</v>
      </c>
      <c r="F10" s="80">
        <f>2650+500</f>
        <v>3150</v>
      </c>
      <c r="G10" s="7">
        <v>1</v>
      </c>
      <c r="H10" s="79">
        <f>F10*G10</f>
        <v>3150</v>
      </c>
      <c r="K10" s="40"/>
    </row>
    <row r="11" spans="1:26" ht="14.25" customHeight="1">
      <c r="A11" s="814" t="s">
        <v>201</v>
      </c>
      <c r="B11" s="666"/>
      <c r="C11" s="666"/>
      <c r="D11" s="667"/>
      <c r="E11" s="7" t="s">
        <v>15</v>
      </c>
      <c r="F11" s="80">
        <f>1099+500</f>
        <v>1599</v>
      </c>
      <c r="G11" s="7">
        <v>4</v>
      </c>
      <c r="H11" s="79">
        <f>F11*G11</f>
        <v>6396</v>
      </c>
      <c r="K11" s="40"/>
    </row>
    <row r="12" spans="1:26" ht="14.25" customHeight="1">
      <c r="A12" s="839"/>
      <c r="B12" s="839"/>
      <c r="C12" s="839"/>
      <c r="D12" s="839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15596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G24</f>
        <v>1</v>
      </c>
      <c r="H16" s="79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1</v>
      </c>
      <c r="H24" s="79">
        <f>(E24*F24)/G24</f>
        <v>52109.719133333332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52110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68406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8ERs2CbZQmktuW2brZNTHDwUsSBNkZ8MTxGd9vbApgzVw94NBknjC46ynkbtU0EnqircedluWvXpx4A7JLrmsw==" saltValue="Rf5/jhO+VuuekSa6v8ovJw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9" zoomScale="124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8.450000000000003" customHeight="1">
      <c r="A1" s="843" t="str">
        <f>'7.7'!A1:H1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Presupuesto!B55</f>
        <v>7.8</v>
      </c>
      <c r="B5" s="780" t="str">
        <f>Presupuesto!C55</f>
        <v>Salida para iluminación, incluye aparato</v>
      </c>
      <c r="C5" s="686"/>
      <c r="D5" s="686"/>
      <c r="E5" s="686"/>
      <c r="F5" s="687"/>
      <c r="G5" s="866" t="str">
        <f>Presupuesto!D55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213</v>
      </c>
      <c r="B8" s="666"/>
      <c r="C8" s="666"/>
      <c r="D8" s="667"/>
      <c r="E8" s="7" t="s">
        <v>30</v>
      </c>
      <c r="F8" s="80">
        <f>3000+500</f>
        <v>3500</v>
      </c>
      <c r="G8" s="7">
        <v>1</v>
      </c>
      <c r="H8" s="79">
        <f>F8*G8</f>
        <v>3500</v>
      </c>
      <c r="K8" s="40"/>
    </row>
    <row r="9" spans="1:26" ht="14.25" customHeight="1">
      <c r="A9" s="814" t="s">
        <v>212</v>
      </c>
      <c r="B9" s="666"/>
      <c r="C9" s="666"/>
      <c r="D9" s="667"/>
      <c r="E9" s="7" t="s">
        <v>30</v>
      </c>
      <c r="F9" s="80">
        <f>2700+500</f>
        <v>3200</v>
      </c>
      <c r="G9" s="7">
        <v>1.1000000000000001</v>
      </c>
      <c r="H9" s="79">
        <f>F9*G9</f>
        <v>3520.0000000000005</v>
      </c>
      <c r="K9" s="40"/>
    </row>
    <row r="10" spans="1:26" ht="14.25" customHeight="1">
      <c r="A10" s="814" t="s">
        <v>201</v>
      </c>
      <c r="B10" s="666"/>
      <c r="C10" s="666"/>
      <c r="D10" s="667"/>
      <c r="E10" s="7" t="s">
        <v>15</v>
      </c>
      <c r="F10" s="80">
        <f>1100+500</f>
        <v>1600</v>
      </c>
      <c r="G10" s="7">
        <v>4.0999999999999996</v>
      </c>
      <c r="H10" s="79">
        <f>F10*G10</f>
        <v>6559.9999999999991</v>
      </c>
      <c r="K10" s="40"/>
    </row>
    <row r="11" spans="1:26" ht="14.25" customHeight="1">
      <c r="A11" s="814"/>
      <c r="B11" s="666"/>
      <c r="C11" s="666"/>
      <c r="D11" s="667"/>
      <c r="E11" s="7"/>
      <c r="F11" s="80"/>
      <c r="G11" s="7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13580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G24</f>
        <v>1</v>
      </c>
      <c r="H16" s="79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5">
        <v>1</v>
      </c>
      <c r="H24" s="79">
        <f>(E24*F24)/G24</f>
        <v>52109.719133333332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J27" s="2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52110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66390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JakFdO3scRXO+w+6xtpRupxMaTbs/mi6PlYbJmLA24dLRJ2kRO5/iiJEAlCwhhTP9eXeqwwkSLlzelQg4KNsrg==" saltValue="+s66cX78SOkfjEA/KhyTj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19" zoomScaleNormal="7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6.6" customHeight="1">
      <c r="A1" s="843" t="str">
        <f>'7.8'!A1:H1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Presupuesto!B47</f>
        <v>7</v>
      </c>
      <c r="B3" s="790" t="str">
        <f>Presupuesto!C47</f>
        <v>INSTALACIÓN ELECTRICA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Presupuesto!B56</f>
        <v>7.9</v>
      </c>
      <c r="B5" s="780" t="str">
        <f>Presupuesto!C56</f>
        <v>Salida para interruptor, incluye aparato</v>
      </c>
      <c r="C5" s="686"/>
      <c r="D5" s="686"/>
      <c r="E5" s="686"/>
      <c r="F5" s="687"/>
      <c r="G5" s="866" t="str">
        <f>Presupuesto!D56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212</v>
      </c>
      <c r="B8" s="666"/>
      <c r="C8" s="666"/>
      <c r="D8" s="667"/>
      <c r="E8" s="7" t="s">
        <v>30</v>
      </c>
      <c r="F8" s="80">
        <f>2650+500</f>
        <v>3150</v>
      </c>
      <c r="G8" s="7">
        <v>1.1000000000000001</v>
      </c>
      <c r="H8" s="79">
        <f>F8*G8</f>
        <v>3465.0000000000005</v>
      </c>
      <c r="K8" s="40"/>
    </row>
    <row r="9" spans="1:26" ht="14.25" customHeight="1">
      <c r="A9" s="814" t="s">
        <v>201</v>
      </c>
      <c r="B9" s="666"/>
      <c r="C9" s="666"/>
      <c r="D9" s="667"/>
      <c r="E9" s="7" t="s">
        <v>15</v>
      </c>
      <c r="F9" s="80">
        <f>1099+500</f>
        <v>1599</v>
      </c>
      <c r="G9" s="7">
        <v>4.0999999999999996</v>
      </c>
      <c r="H9" s="79">
        <f>F9*G9</f>
        <v>6555.9</v>
      </c>
      <c r="K9" s="40"/>
    </row>
    <row r="10" spans="1:26" ht="14.25" customHeight="1">
      <c r="A10" s="814" t="s">
        <v>214</v>
      </c>
      <c r="B10" s="666"/>
      <c r="C10" s="666"/>
      <c r="D10" s="667"/>
      <c r="E10" s="7" t="s">
        <v>30</v>
      </c>
      <c r="F10" s="80">
        <f>3700+500</f>
        <v>4200</v>
      </c>
      <c r="G10" s="7">
        <v>1</v>
      </c>
      <c r="H10" s="79">
        <f>F10*G10</f>
        <v>4200</v>
      </c>
      <c r="K10" s="40"/>
    </row>
    <row r="11" spans="1:26" ht="14.25" customHeight="1">
      <c r="A11" s="814"/>
      <c r="B11" s="666"/>
      <c r="C11" s="666"/>
      <c r="D11" s="667"/>
      <c r="E11" s="7"/>
      <c r="F11" s="80"/>
      <c r="G11" s="7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14221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7">
        <f>G24</f>
        <v>1</v>
      </c>
      <c r="H16" s="55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55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55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55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cuadrillas'!C12</f>
        <v>Cuadrilla de Electricidad</v>
      </c>
      <c r="B24" s="666"/>
      <c r="C24" s="666"/>
      <c r="D24" s="667"/>
      <c r="E24" s="7">
        <v>1</v>
      </c>
      <c r="F24" s="88">
        <f>'Analisis de cuadrillas'!G12</f>
        <v>52109.719133333332</v>
      </c>
      <c r="G24" s="7">
        <v>1</v>
      </c>
      <c r="H24" s="79">
        <f>(E24*F24)/G24</f>
        <v>52109.719133333332</v>
      </c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52110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67031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RuHP3tWzI1AhZN83oLcxzYlDCwHmSqBa/nMqKNr/ck9ld0Zo1NGlcdAKK3+m06iRBTo/S6oyrhbSSONSRTZ3Ag==" saltValue="UrBT68JoWMTk/kxf8j2pu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5" zoomScale="92" zoomScaleNormal="85" workbookViewId="0">
      <selection activeCell="K18" sqref="K18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3.25" customWidth="1"/>
    <col min="7" max="7" width="12.375" customWidth="1"/>
    <col min="8" max="8" width="14.125" customWidth="1"/>
    <col min="9" max="10" width="11.375" customWidth="1"/>
    <col min="11" max="11" width="12.75" customWidth="1"/>
    <col min="12" max="12" width="10.5" customWidth="1"/>
    <col min="13" max="13" width="14.875" customWidth="1"/>
    <col min="14" max="26" width="10" customWidth="1"/>
  </cols>
  <sheetData>
    <row r="1" spans="1:26" ht="15" customHeight="1">
      <c r="A1" s="843" t="str">
        <f>'7.9'!A1:H1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301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301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301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301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</row>
    <row r="5" spans="1:26" ht="14.25" customHeight="1">
      <c r="A5" s="49">
        <f>Presupuesto!B59</f>
        <v>8.1</v>
      </c>
      <c r="B5" s="780" t="str">
        <f>Presupuesto!C59</f>
        <v>Ventaneria metalica, según diseño, inc. instalación</v>
      </c>
      <c r="C5" s="686"/>
      <c r="D5" s="686"/>
      <c r="E5" s="686"/>
      <c r="F5" s="687"/>
      <c r="G5" s="866" t="str">
        <f>Presupuesto!D59</f>
        <v>M2</v>
      </c>
      <c r="H5" s="822"/>
      <c r="K5" s="301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301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301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</row>
    <row r="8" spans="1:26" ht="14.25" customHeight="1">
      <c r="A8" s="814" t="s">
        <v>215</v>
      </c>
      <c r="B8" s="666"/>
      <c r="C8" s="666"/>
      <c r="D8" s="667"/>
      <c r="E8" s="7" t="s">
        <v>8</v>
      </c>
      <c r="F8" s="479">
        <f>240961+500</f>
        <v>241461</v>
      </c>
      <c r="G8" s="7">
        <v>1</v>
      </c>
      <c r="H8" s="79">
        <f>F8*G8</f>
        <v>241461</v>
      </c>
      <c r="K8" s="301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</row>
    <row r="9" spans="1:26" ht="14.25" customHeight="1">
      <c r="A9" s="889" t="s">
        <v>216</v>
      </c>
      <c r="B9" s="666"/>
      <c r="C9" s="666"/>
      <c r="D9" s="667"/>
      <c r="E9" s="4" t="s">
        <v>30</v>
      </c>
      <c r="F9" s="480">
        <v>200</v>
      </c>
      <c r="G9" s="4">
        <v>4</v>
      </c>
      <c r="H9" s="79">
        <f>F9*G9</f>
        <v>800</v>
      </c>
      <c r="K9" s="301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</row>
    <row r="10" spans="1:26" ht="14.25" customHeight="1">
      <c r="A10" s="889" t="s">
        <v>217</v>
      </c>
      <c r="B10" s="666"/>
      <c r="C10" s="666"/>
      <c r="D10" s="667"/>
      <c r="E10" s="4" t="s">
        <v>30</v>
      </c>
      <c r="F10" s="480">
        <v>13900</v>
      </c>
      <c r="G10" s="4">
        <v>0.25</v>
      </c>
      <c r="H10" s="79">
        <f>F10*G10</f>
        <v>3475</v>
      </c>
      <c r="K10" s="301"/>
      <c r="L10" s="179"/>
      <c r="M10" s="179"/>
      <c r="N10" s="276"/>
      <c r="O10" s="179"/>
      <c r="P10" s="179"/>
      <c r="Q10" s="179"/>
      <c r="R10" s="179"/>
      <c r="S10" s="179"/>
      <c r="T10" s="179"/>
      <c r="U10" s="179"/>
      <c r="V10" s="179"/>
    </row>
    <row r="11" spans="1:26" ht="14.25" customHeight="1">
      <c r="A11" s="814" t="s">
        <v>233</v>
      </c>
      <c r="B11" s="666"/>
      <c r="C11" s="666"/>
      <c r="D11" s="667"/>
      <c r="E11" s="7" t="s">
        <v>8</v>
      </c>
      <c r="F11" s="479">
        <v>40000</v>
      </c>
      <c r="G11" s="7">
        <v>1</v>
      </c>
      <c r="H11" s="79">
        <f>F11*G11</f>
        <v>40000</v>
      </c>
      <c r="K11" s="301"/>
      <c r="L11" s="179"/>
      <c r="M11" s="179"/>
      <c r="N11" s="276"/>
      <c r="O11" s="179"/>
      <c r="P11" s="179"/>
      <c r="Q11" s="179"/>
      <c r="R11" s="179"/>
      <c r="S11" s="179"/>
      <c r="T11" s="179"/>
      <c r="U11" s="179"/>
      <c r="V11" s="179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301"/>
      <c r="L12" s="179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285736</v>
      </c>
      <c r="K13" s="301"/>
      <c r="L13" s="179"/>
      <c r="M13" s="302"/>
      <c r="N13" s="301"/>
      <c r="O13" s="301"/>
      <c r="P13" s="301"/>
      <c r="Q13" s="301"/>
      <c r="R13" s="301"/>
      <c r="S13" s="301"/>
      <c r="T13" s="301"/>
      <c r="U13" s="301"/>
      <c r="V13" s="301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301"/>
      <c r="L14" s="179"/>
      <c r="M14" s="302"/>
      <c r="N14" s="302"/>
      <c r="O14" s="302"/>
      <c r="P14" s="301"/>
      <c r="Q14" s="301"/>
      <c r="R14" s="301"/>
      <c r="S14" s="301"/>
      <c r="T14" s="301"/>
      <c r="U14" s="301"/>
      <c r="V14" s="301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301"/>
      <c r="L15" s="179"/>
      <c r="M15" s="302"/>
      <c r="N15" s="303"/>
      <c r="O15" s="301"/>
      <c r="P15" s="302"/>
      <c r="Q15" s="301"/>
      <c r="R15" s="301"/>
      <c r="S15" s="301"/>
      <c r="T15" s="301"/>
      <c r="U15" s="301"/>
      <c r="V15" s="301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301"/>
      <c r="L16" s="179"/>
      <c r="M16" s="301"/>
      <c r="N16" s="301"/>
      <c r="O16" s="301"/>
      <c r="P16" s="301"/>
      <c r="Q16" s="301"/>
      <c r="R16" s="301"/>
      <c r="S16" s="301"/>
      <c r="T16" s="301"/>
      <c r="U16" s="301"/>
      <c r="V16" s="301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301"/>
      <c r="L17" s="179"/>
      <c r="M17" s="301"/>
      <c r="N17" s="301"/>
      <c r="O17" s="301"/>
      <c r="P17" s="301"/>
      <c r="Q17" s="301"/>
      <c r="R17" s="301"/>
      <c r="S17" s="301"/>
      <c r="T17" s="301"/>
      <c r="U17" s="301"/>
      <c r="V17" s="301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301"/>
      <c r="L18" s="179"/>
      <c r="M18" s="301"/>
      <c r="N18" s="303"/>
      <c r="O18" s="301"/>
      <c r="P18" s="301"/>
      <c r="Q18" s="301"/>
      <c r="R18" s="301"/>
      <c r="S18" s="301"/>
      <c r="T18" s="301"/>
      <c r="U18" s="301"/>
      <c r="V18" s="301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301"/>
      <c r="L19" s="179"/>
      <c r="M19" s="301"/>
      <c r="N19" s="302"/>
      <c r="O19" s="302"/>
      <c r="P19" s="302"/>
      <c r="Q19" s="301"/>
      <c r="R19" s="301"/>
      <c r="S19" s="301"/>
      <c r="T19" s="301"/>
      <c r="U19" s="301"/>
      <c r="V19" s="301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301"/>
      <c r="L20" s="179"/>
      <c r="M20" s="301"/>
      <c r="N20" s="301"/>
      <c r="O20" s="301"/>
      <c r="P20" s="301"/>
      <c r="Q20" s="301"/>
      <c r="R20" s="301"/>
      <c r="S20" s="301"/>
      <c r="T20" s="301"/>
      <c r="U20" s="301"/>
      <c r="V20" s="301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301"/>
      <c r="L21" s="179"/>
      <c r="M21" s="301"/>
      <c r="N21" s="301"/>
      <c r="O21" s="301"/>
      <c r="P21" s="301"/>
      <c r="Q21" s="301"/>
      <c r="R21" s="301"/>
      <c r="S21" s="301"/>
      <c r="T21" s="301"/>
      <c r="U21" s="301"/>
      <c r="V21" s="301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301"/>
      <c r="L22" s="179"/>
      <c r="M22" s="301"/>
      <c r="N22" s="302"/>
      <c r="O22" s="302"/>
      <c r="P22" s="301"/>
      <c r="Q22" s="301"/>
      <c r="R22" s="301"/>
      <c r="S22" s="301"/>
      <c r="T22" s="301"/>
      <c r="U22" s="301"/>
      <c r="V22" s="301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301"/>
      <c r="L23" s="179"/>
      <c r="M23" s="301"/>
      <c r="N23" s="301"/>
      <c r="O23" s="301"/>
      <c r="P23" s="301"/>
      <c r="Q23" s="301"/>
      <c r="R23" s="301"/>
      <c r="S23" s="301"/>
      <c r="T23" s="301"/>
      <c r="U23" s="301"/>
      <c r="V23" s="301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1</v>
      </c>
      <c r="H24" s="79">
        <f>(E24*F24)/G24</f>
        <v>48512.248833333331</v>
      </c>
      <c r="I24" s="2"/>
      <c r="K24" s="301"/>
      <c r="L24" s="179"/>
      <c r="M24" s="301"/>
      <c r="N24" s="301"/>
      <c r="O24" s="301"/>
      <c r="P24" s="301"/>
      <c r="Q24" s="301"/>
      <c r="R24" s="301"/>
      <c r="S24" s="301"/>
      <c r="T24" s="301"/>
      <c r="U24" s="301"/>
      <c r="V24" s="301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301"/>
      <c r="L25" s="304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301"/>
      <c r="L26" s="179"/>
      <c r="M26" s="301"/>
      <c r="N26" s="301"/>
      <c r="O26" s="301"/>
      <c r="P26" s="301"/>
      <c r="Q26" s="301"/>
      <c r="R26" s="301"/>
      <c r="S26" s="301"/>
      <c r="T26" s="301"/>
      <c r="U26" s="301"/>
      <c r="V26" s="301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301"/>
      <c r="L27" s="179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334599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cLHkp0/YwwTJ7YmoRqr4wzTCuim60SvQV0TEK2NWnfqi4XREsXHcehoBWhbMwvqqiV2xdeWa8Fa2076LgErhJg==" saltValue="z2Wp2YCVVS8b+OHUgCU76A==" spinCount="100000" sheet="1" objects="1" scenarios="1" selectLockedCells="1" selectUnlockedCells="1"/>
  <mergeCells count="36">
    <mergeCell ref="A1:H1"/>
    <mergeCell ref="G2:H3"/>
    <mergeCell ref="B2:F2"/>
    <mergeCell ref="B3:F3"/>
    <mergeCell ref="B4:F4"/>
    <mergeCell ref="G4:H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8:G28"/>
    <mergeCell ref="A30:G30"/>
    <mergeCell ref="B32:H32"/>
    <mergeCell ref="B33:H33"/>
    <mergeCell ref="B34:H34"/>
    <mergeCell ref="B35:H35"/>
    <mergeCell ref="A21:G21"/>
    <mergeCell ref="A22:H22"/>
    <mergeCell ref="A23:D23"/>
    <mergeCell ref="A24:D24"/>
    <mergeCell ref="A25:D25"/>
    <mergeCell ref="A26:D26"/>
    <mergeCell ref="A27:D27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1" zoomScale="85" zoomScaleNormal="85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2.8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0.6" customHeight="1">
      <c r="A1" s="843" t="str">
        <f>'8.1'!A1:H1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Presupuesto!B60</f>
        <v>8.1999999999999993</v>
      </c>
      <c r="B5" s="780" t="str">
        <f>Presupuesto!C60</f>
        <v>Puerta lámina / marco metalico,para Interiores incluye instalación</v>
      </c>
      <c r="C5" s="686"/>
      <c r="D5" s="686"/>
      <c r="E5" s="686"/>
      <c r="F5" s="687"/>
      <c r="G5" s="866" t="str">
        <f>Presupuesto!D60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335</v>
      </c>
      <c r="B8" s="666"/>
      <c r="C8" s="666"/>
      <c r="D8" s="667"/>
      <c r="E8" s="7" t="s">
        <v>30</v>
      </c>
      <c r="F8" s="80">
        <v>320000</v>
      </c>
      <c r="G8" s="7">
        <v>1</v>
      </c>
      <c r="H8" s="79">
        <f>F8*G8</f>
        <v>320000</v>
      </c>
      <c r="K8" s="40"/>
    </row>
    <row r="9" spans="1:26" ht="14.25" customHeight="1">
      <c r="A9" s="814" t="s">
        <v>218</v>
      </c>
      <c r="B9" s="666"/>
      <c r="C9" s="666"/>
      <c r="D9" s="667"/>
      <c r="E9" s="7" t="s">
        <v>30</v>
      </c>
      <c r="F9" s="80">
        <v>3950</v>
      </c>
      <c r="G9" s="7">
        <v>3</v>
      </c>
      <c r="H9" s="79">
        <f>F9*G9</f>
        <v>11850</v>
      </c>
      <c r="K9" s="40"/>
    </row>
    <row r="10" spans="1:26" ht="14.25" customHeight="1">
      <c r="A10" s="814" t="s">
        <v>219</v>
      </c>
      <c r="B10" s="666"/>
      <c r="C10" s="666"/>
      <c r="D10" s="667"/>
      <c r="E10" s="7" t="s">
        <v>30</v>
      </c>
      <c r="F10" s="80">
        <v>43900</v>
      </c>
      <c r="G10" s="7">
        <v>1</v>
      </c>
      <c r="H10" s="79">
        <f>F10*G10</f>
        <v>43900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375750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72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172">
        <f>1/1</f>
        <v>1</v>
      </c>
      <c r="H24" s="79">
        <f>(E24*F24)/G24</f>
        <v>48512.248833333331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424613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uLjdI7lMLlylS2jip2S4FhqfkCnS0w6/A6DMMNwsPw72LD7/ORQzBqfeCfiw4lDahU7VffzBRASIdqeUynZD5w==" saltValue="ByLGZK8PwZYlLgR5bBIvtg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Z1000"/>
  <sheetViews>
    <sheetView showGridLines="0" topLeftCell="A13" workbookViewId="0">
      <selection activeCell="I11" sqref="I11"/>
    </sheetView>
  </sheetViews>
  <sheetFormatPr baseColWidth="10" defaultColWidth="12.625" defaultRowHeight="14.25"/>
  <cols>
    <col min="1" max="3" width="10" style="398" customWidth="1"/>
    <col min="4" max="4" width="11.125" style="398" customWidth="1"/>
    <col min="5" max="5" width="8.75" style="398" customWidth="1"/>
    <col min="6" max="6" width="12.875" style="398" customWidth="1"/>
    <col min="7" max="7" width="12.375" style="398" customWidth="1"/>
    <col min="8" max="10" width="11.375" style="398" customWidth="1"/>
    <col min="11" max="11" width="12.75" style="398" customWidth="1"/>
    <col min="12" max="12" width="10.5" style="398" customWidth="1"/>
    <col min="13" max="26" width="10" style="398" customWidth="1"/>
    <col min="27" max="16384" width="12.625" style="398"/>
  </cols>
  <sheetData>
    <row r="1" spans="1:26" ht="30.6" customHeight="1" thickBot="1">
      <c r="A1" s="843" t="str">
        <f>'8.1'!A1:H1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 thickBo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 thickBot="1">
      <c r="A5" s="49">
        <f>Presupuesto!B61</f>
        <v>8.3000000000000007</v>
      </c>
      <c r="B5" s="780" t="str">
        <f>Presupuesto!C61</f>
        <v>Puerta lámina porton doble para exteriores incluye instalación</v>
      </c>
      <c r="C5" s="686"/>
      <c r="D5" s="686"/>
      <c r="E5" s="686"/>
      <c r="F5" s="687"/>
      <c r="G5" s="866" t="str">
        <f>Presupuesto!D61</f>
        <v>UND</v>
      </c>
      <c r="H5" s="822"/>
      <c r="K5" s="40"/>
    </row>
    <row r="6" spans="1:26" ht="14.25" customHeight="1" thickBo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337</v>
      </c>
      <c r="B8" s="666"/>
      <c r="C8" s="666"/>
      <c r="D8" s="667"/>
      <c r="E8" s="7" t="s">
        <v>30</v>
      </c>
      <c r="F8" s="80">
        <v>780000</v>
      </c>
      <c r="G8" s="7">
        <v>1</v>
      </c>
      <c r="H8" s="79">
        <f>F8*G8</f>
        <v>780000</v>
      </c>
      <c r="K8" s="40"/>
    </row>
    <row r="9" spans="1:26" ht="14.25" customHeight="1">
      <c r="A9" s="814" t="s">
        <v>218</v>
      </c>
      <c r="B9" s="666"/>
      <c r="C9" s="666"/>
      <c r="D9" s="667"/>
      <c r="E9" s="7" t="s">
        <v>30</v>
      </c>
      <c r="F9" s="80">
        <v>3950</v>
      </c>
      <c r="G9" s="7">
        <v>3</v>
      </c>
      <c r="H9" s="79">
        <f>F9*G9</f>
        <v>11850</v>
      </c>
      <c r="K9" s="40"/>
    </row>
    <row r="10" spans="1:26" ht="14.25" customHeight="1">
      <c r="A10" s="814" t="s">
        <v>219</v>
      </c>
      <c r="B10" s="666"/>
      <c r="C10" s="666"/>
      <c r="D10" s="667"/>
      <c r="E10" s="7" t="s">
        <v>30</v>
      </c>
      <c r="F10" s="80">
        <v>43900</v>
      </c>
      <c r="G10" s="7">
        <v>1</v>
      </c>
      <c r="H10" s="79">
        <f>F10*G10</f>
        <v>43900</v>
      </c>
      <c r="K10" s="40"/>
    </row>
    <row r="11" spans="1:26" ht="14.25" customHeight="1">
      <c r="A11" s="818"/>
      <c r="B11" s="666"/>
      <c r="C11" s="666"/>
      <c r="D11" s="667"/>
      <c r="E11" s="141"/>
      <c r="F11" s="84"/>
      <c r="G11" s="141"/>
      <c r="H11" s="79"/>
      <c r="K11" s="40"/>
    </row>
    <row r="12" spans="1:26" ht="14.25" customHeight="1" thickBo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835750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72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141"/>
      <c r="F17" s="84"/>
      <c r="G17" s="141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141"/>
      <c r="F18" s="84"/>
      <c r="G18" s="141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141"/>
      <c r="F19" s="84"/>
      <c r="G19" s="141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172">
        <f>1/1</f>
        <v>1</v>
      </c>
      <c r="H24" s="79">
        <f>(E24*F24)/G24</f>
        <v>48512.248833333331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141"/>
      <c r="F25" s="88"/>
      <c r="G25" s="141"/>
      <c r="H25" s="79"/>
      <c r="I25" s="40"/>
      <c r="J25" s="73"/>
      <c r="K25" s="40"/>
      <c r="L25" s="399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141"/>
      <c r="F26" s="88"/>
      <c r="G26" s="141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884613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88LZpHPcsq6w+0tLXsfJVSV9emCifAAZJTdTKmqYYz/AleywdLSNImzm9OV+n/Ll6dNmOBhmf4kOzqUeoCLFDQ==" saltValue="kVWHd6Ol4yhefosc6rKtGw==" spinCount="100000" sheet="1" objects="1" scenarios="1" selectLockedCells="1" selectUnlockedCells="1"/>
  <mergeCells count="36">
    <mergeCell ref="A9:D9"/>
    <mergeCell ref="A1:H1"/>
    <mergeCell ref="B2:F2"/>
    <mergeCell ref="G2:H3"/>
    <mergeCell ref="B3:F3"/>
    <mergeCell ref="B4:F4"/>
    <mergeCell ref="G4:H4"/>
    <mergeCell ref="B5:F5"/>
    <mergeCell ref="G5:H5"/>
    <mergeCell ref="A6:H6"/>
    <mergeCell ref="A7:D7"/>
    <mergeCell ref="A8:D8"/>
    <mergeCell ref="A21:G21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  <mergeCell ref="B32:H32"/>
    <mergeCell ref="B33:H33"/>
    <mergeCell ref="B34:H3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09" zoomScaleNormal="70" workbookViewId="0">
      <selection activeCell="G2" sqref="G2:H3"/>
    </sheetView>
  </sheetViews>
  <sheetFormatPr baseColWidth="10" defaultColWidth="12.625" defaultRowHeight="15" customHeight="1"/>
  <cols>
    <col min="1" max="1" width="10" customWidth="1"/>
    <col min="2" max="2" width="18.25" customWidth="1"/>
    <col min="3" max="3" width="10" customWidth="1"/>
    <col min="4" max="4" width="11.125" customWidth="1"/>
    <col min="5" max="5" width="8.75" customWidth="1"/>
    <col min="6" max="6" width="12.875" customWidth="1"/>
    <col min="7" max="7" width="12.375" customWidth="1"/>
    <col min="8" max="8" width="14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'8.2'!A1:H1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Presupuesto!B62</f>
        <v>8.4</v>
      </c>
      <c r="B5" s="780" t="str">
        <f>Presupuesto!C62</f>
        <v xml:space="preserve">Divisiones sanitarias en acero inoxidable (Altura 1.80m) incluye instalación </v>
      </c>
      <c r="C5" s="686"/>
      <c r="D5" s="686"/>
      <c r="E5" s="686"/>
      <c r="F5" s="687"/>
      <c r="G5" s="866" t="str">
        <f>Presupuesto!D62</f>
        <v>M2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338</v>
      </c>
      <c r="B8" s="666"/>
      <c r="C8" s="666"/>
      <c r="D8" s="667"/>
      <c r="E8" s="7" t="s">
        <v>8</v>
      </c>
      <c r="F8" s="80">
        <v>390000</v>
      </c>
      <c r="G8" s="7">
        <v>1</v>
      </c>
      <c r="H8" s="79">
        <f>F8*G8</f>
        <v>390000</v>
      </c>
      <c r="K8" s="40"/>
    </row>
    <row r="9" spans="1:26" ht="14.25" customHeight="1">
      <c r="A9" s="814" t="s">
        <v>356</v>
      </c>
      <c r="B9" s="666"/>
      <c r="C9" s="666"/>
      <c r="D9" s="667"/>
      <c r="E9" s="7" t="s">
        <v>30</v>
      </c>
      <c r="F9" s="80">
        <v>50000</v>
      </c>
      <c r="G9" s="7">
        <v>1</v>
      </c>
      <c r="H9" s="79">
        <f>F9*G9</f>
        <v>50000</v>
      </c>
      <c r="K9" s="40"/>
    </row>
    <row r="10" spans="1:26" ht="14.25" customHeight="1">
      <c r="A10" s="814"/>
      <c r="B10" s="666"/>
      <c r="C10" s="666"/>
      <c r="D10" s="667"/>
      <c r="E10" s="7"/>
      <c r="F10" s="80"/>
      <c r="G10" s="7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440000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72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172">
        <f>'8.2'!G24</f>
        <v>1</v>
      </c>
      <c r="H24" s="79">
        <f>(E24*F24)/G24</f>
        <v>48512.248833333331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488863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5VwIqrA+0xr9EHymf1o9tOonYcRLKSuQ9mcov8xCoGRIJZnfVrY54tkvYcwwpnZ2hdbLOvl3m8vGaYY1R5IYwQ==" saltValue="wr30geT36j6JOZXU+kUOQ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1:AD975"/>
  <sheetViews>
    <sheetView showGridLines="0" topLeftCell="A5" zoomScale="70" zoomScaleNormal="70" workbookViewId="0">
      <selection activeCell="K12" sqref="K12"/>
    </sheetView>
  </sheetViews>
  <sheetFormatPr baseColWidth="10" defaultColWidth="12.625" defaultRowHeight="15" customHeight="1"/>
  <cols>
    <col min="2" max="2" width="8.25" customWidth="1"/>
    <col min="3" max="3" width="14.875" customWidth="1"/>
    <col min="4" max="4" width="8.375" hidden="1" customWidth="1"/>
    <col min="5" max="5" width="14.5" style="308" customWidth="1"/>
    <col min="6" max="6" width="11.625" customWidth="1"/>
    <col min="7" max="7" width="22" customWidth="1"/>
    <col min="8" max="8" width="18.25" customWidth="1"/>
    <col min="9" max="9" width="14.875" customWidth="1"/>
    <col min="10" max="10" width="15.125" customWidth="1"/>
    <col min="11" max="11" width="10.125" customWidth="1"/>
    <col min="12" max="12" width="9.875" customWidth="1"/>
    <col min="13" max="13" width="11.875" customWidth="1"/>
    <col min="14" max="14" width="12.75" customWidth="1"/>
    <col min="15" max="15" width="15.375" customWidth="1"/>
    <col min="16" max="30" width="10" customWidth="1"/>
  </cols>
  <sheetData>
    <row r="1" spans="2:30" ht="12.75" customHeight="1" thickBot="1">
      <c r="B1" s="10"/>
      <c r="C1" s="10"/>
      <c r="D1" s="10"/>
      <c r="E1" s="10"/>
      <c r="F1" s="10"/>
      <c r="G1" s="10"/>
      <c r="H1" s="19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2:30" ht="12.75" customHeight="1">
      <c r="B2" s="688" t="str">
        <f>Portada!C6</f>
        <v>PRESUPUESTO PARA LA CONSTRUCCION DE SALON SOCIAL EN LA COMUNIDAD DE NUEVA JERUSALEN</v>
      </c>
      <c r="C2" s="689"/>
      <c r="D2" s="689"/>
      <c r="E2" s="689"/>
      <c r="F2" s="689"/>
      <c r="G2" s="690"/>
      <c r="H2" s="489"/>
      <c r="I2" s="93"/>
      <c r="J2" s="490"/>
      <c r="K2" s="490"/>
      <c r="L2" s="49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2:30" ht="15" customHeight="1" thickBot="1">
      <c r="B3" s="691"/>
      <c r="C3" s="692"/>
      <c r="D3" s="692"/>
      <c r="E3" s="692"/>
      <c r="F3" s="692"/>
      <c r="G3" s="693"/>
      <c r="H3" s="194"/>
      <c r="I3" s="257"/>
      <c r="J3" s="257"/>
      <c r="K3" s="257"/>
      <c r="L3" s="257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2:30" ht="21" customHeight="1" thickBot="1">
      <c r="B4" s="668" t="s">
        <v>70</v>
      </c>
      <c r="C4" s="669"/>
      <c r="D4" s="669"/>
      <c r="E4" s="669"/>
      <c r="F4" s="669"/>
      <c r="G4" s="670"/>
      <c r="H4" s="193"/>
      <c r="I4" s="257"/>
      <c r="J4" s="257"/>
      <c r="K4" s="257"/>
      <c r="L4" s="257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2:30" ht="18.600000000000001" customHeight="1" thickBot="1">
      <c r="B5" s="671" t="s">
        <v>71</v>
      </c>
      <c r="C5" s="672"/>
      <c r="D5" s="672"/>
      <c r="E5" s="672"/>
      <c r="F5" s="672"/>
      <c r="G5" s="673"/>
      <c r="H5" s="194"/>
      <c r="I5" s="13"/>
      <c r="J5" s="490"/>
      <c r="K5" s="490"/>
      <c r="L5" s="49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2:30" ht="14.45" customHeight="1" thickBot="1">
      <c r="B6" s="11" t="s">
        <v>72</v>
      </c>
      <c r="C6" s="674" t="s">
        <v>73</v>
      </c>
      <c r="D6" s="675"/>
      <c r="E6" s="676"/>
      <c r="F6" s="677"/>
      <c r="G6" s="12" t="s">
        <v>74</v>
      </c>
      <c r="H6" s="195"/>
      <c r="I6" s="13"/>
      <c r="J6" s="490"/>
      <c r="K6" s="490"/>
      <c r="L6" s="49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19.149999999999999" customHeight="1">
      <c r="B7" s="28">
        <v>1</v>
      </c>
      <c r="C7" s="678" t="str">
        <f>B20</f>
        <v>Cuadrilla de Topografía</v>
      </c>
      <c r="D7" s="679"/>
      <c r="E7" s="679"/>
      <c r="F7" s="680"/>
      <c r="G7" s="491">
        <f>K21</f>
        <v>60826.165999999997</v>
      </c>
      <c r="H7" s="196"/>
      <c r="I7" s="198"/>
      <c r="J7" s="492"/>
      <c r="K7" s="257"/>
      <c r="L7" s="49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ht="19.149999999999999" customHeight="1">
      <c r="B8" s="493">
        <v>2</v>
      </c>
      <c r="C8" s="665" t="str">
        <f>B23</f>
        <v>Cuadrilla Oficios Varios</v>
      </c>
      <c r="D8" s="666"/>
      <c r="E8" s="666"/>
      <c r="F8" s="667"/>
      <c r="G8" s="494">
        <f>K24</f>
        <v>33253.333333333336</v>
      </c>
      <c r="H8" s="197"/>
      <c r="I8" s="305"/>
      <c r="J8" s="305"/>
      <c r="K8" s="257"/>
      <c r="L8" s="49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2:30" ht="19.149999999999999" customHeight="1">
      <c r="B9" s="493">
        <v>3</v>
      </c>
      <c r="C9" s="665" t="str">
        <f>B25</f>
        <v>Cuadrilla Estructural</v>
      </c>
      <c r="D9" s="666"/>
      <c r="E9" s="666"/>
      <c r="F9" s="667"/>
      <c r="G9" s="494">
        <f>K26</f>
        <v>56186.910333333333</v>
      </c>
      <c r="H9" s="196"/>
      <c r="I9" s="198"/>
      <c r="J9" s="305"/>
      <c r="K9" s="257"/>
      <c r="L9" s="49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2:30" ht="19.149999999999999" customHeight="1">
      <c r="B10" s="493">
        <v>4</v>
      </c>
      <c r="C10" s="665" t="str">
        <f>B28</f>
        <v>Cuadrilla Mamposteria</v>
      </c>
      <c r="D10" s="666"/>
      <c r="E10" s="666"/>
      <c r="F10" s="667"/>
      <c r="G10" s="494">
        <f>K29</f>
        <v>56186.910333333333</v>
      </c>
      <c r="H10" s="196"/>
      <c r="I10" s="198"/>
      <c r="J10" s="495"/>
      <c r="K10" s="257"/>
      <c r="L10" s="49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</row>
    <row r="11" spans="2:30" ht="19.149999999999999" customHeight="1">
      <c r="B11" s="493">
        <v>5</v>
      </c>
      <c r="C11" s="665" t="str">
        <f>B31</f>
        <v>Cuadrilla Hidrosanitaria</v>
      </c>
      <c r="D11" s="666"/>
      <c r="E11" s="666"/>
      <c r="F11" s="667"/>
      <c r="G11" s="494">
        <f>K32</f>
        <v>46802.985933333322</v>
      </c>
      <c r="H11" s="196"/>
      <c r="I11" s="305"/>
      <c r="J11" s="492"/>
      <c r="K11" s="257"/>
      <c r="L11" s="49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</row>
    <row r="12" spans="2:30" ht="19.149999999999999" customHeight="1">
      <c r="B12" s="493">
        <v>6</v>
      </c>
      <c r="C12" s="665" t="str">
        <f>B34</f>
        <v>Cuadrilla de Electricidad</v>
      </c>
      <c r="D12" s="666"/>
      <c r="E12" s="666"/>
      <c r="F12" s="667"/>
      <c r="G12" s="494">
        <f>K35</f>
        <v>52109.719133333332</v>
      </c>
      <c r="H12" s="196"/>
      <c r="I12" s="198"/>
      <c r="J12" s="492"/>
      <c r="K12" s="257"/>
      <c r="L12" s="49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</row>
    <row r="13" spans="2:30" ht="19.149999999999999" customHeight="1">
      <c r="B13" s="493">
        <v>7</v>
      </c>
      <c r="C13" s="665" t="str">
        <f>B37</f>
        <v>Cuadrilla Pinturas y Acabados</v>
      </c>
      <c r="D13" s="666"/>
      <c r="E13" s="666"/>
      <c r="F13" s="667"/>
      <c r="G13" s="494">
        <f>K38</f>
        <v>45858.88223333333</v>
      </c>
      <c r="H13" s="198"/>
      <c r="I13" s="13"/>
      <c r="J13" s="490"/>
      <c r="K13" s="257"/>
      <c r="L13" s="49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</row>
    <row r="14" spans="2:30" ht="19.149999999999999" customHeight="1" thickBot="1">
      <c r="B14" s="15">
        <v>8</v>
      </c>
      <c r="C14" s="685" t="str">
        <f>B40</f>
        <v xml:space="preserve">Cuadrilla Carpintería Metálica </v>
      </c>
      <c r="D14" s="686"/>
      <c r="E14" s="686"/>
      <c r="F14" s="687"/>
      <c r="G14" s="496">
        <f>K41</f>
        <v>48512.248833333331</v>
      </c>
      <c r="H14" s="198"/>
      <c r="I14" s="13"/>
      <c r="J14" s="490"/>
      <c r="K14" s="257"/>
      <c r="L14" s="49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</row>
    <row r="15" spans="2:30" ht="12.75" customHeight="1" thickBot="1">
      <c r="B15" s="13"/>
      <c r="C15" s="13"/>
      <c r="D15" s="13"/>
      <c r="E15" s="13"/>
      <c r="F15" s="13"/>
      <c r="G15" s="13"/>
      <c r="H15" s="198"/>
      <c r="I15" s="13"/>
      <c r="J15" s="490"/>
      <c r="K15" s="490"/>
      <c r="L15" s="49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2:30" ht="12.75" customHeight="1">
      <c r="B16" s="681" t="s">
        <v>245</v>
      </c>
      <c r="C16" s="663"/>
      <c r="D16" s="663"/>
      <c r="E16" s="663"/>
      <c r="F16" s="663"/>
      <c r="G16" s="663"/>
      <c r="H16" s="663"/>
      <c r="I16" s="663"/>
      <c r="J16" s="663"/>
      <c r="K16" s="663"/>
      <c r="L16" s="68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2:30" ht="12.75" customHeight="1" thickBot="1">
      <c r="B17" s="683"/>
      <c r="C17" s="664"/>
      <c r="D17" s="664"/>
      <c r="E17" s="664"/>
      <c r="F17" s="664"/>
      <c r="G17" s="664"/>
      <c r="H17" s="664"/>
      <c r="I17" s="664"/>
      <c r="J17" s="664"/>
      <c r="K17" s="664"/>
      <c r="L17" s="684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2:30" ht="12.75" customHeight="1" thickBot="1">
      <c r="B18" s="208"/>
      <c r="C18" s="208"/>
      <c r="D18" s="208"/>
      <c r="E18" s="208"/>
      <c r="F18" s="208"/>
      <c r="G18" s="208"/>
      <c r="H18" s="653" t="s">
        <v>76</v>
      </c>
      <c r="I18" s="654"/>
      <c r="J18" s="663" t="s">
        <v>86</v>
      </c>
      <c r="K18" s="653" t="s">
        <v>77</v>
      </c>
      <c r="L18" s="654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2:30" ht="12.75" customHeight="1" thickBot="1">
      <c r="B19" s="205" t="s">
        <v>78</v>
      </c>
      <c r="C19" s="199" t="s">
        <v>79</v>
      </c>
      <c r="D19" s="24" t="s">
        <v>80</v>
      </c>
      <c r="E19" s="24" t="s">
        <v>80</v>
      </c>
      <c r="F19" s="24" t="s">
        <v>82</v>
      </c>
      <c r="G19" s="22" t="s">
        <v>83</v>
      </c>
      <c r="H19" s="25" t="s">
        <v>84</v>
      </c>
      <c r="I19" s="25" t="s">
        <v>85</v>
      </c>
      <c r="J19" s="664"/>
      <c r="K19" s="26" t="s">
        <v>87</v>
      </c>
      <c r="L19" s="27" t="s">
        <v>88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2:30" ht="12.75" customHeight="1" thickBot="1">
      <c r="B20" s="655" t="s">
        <v>90</v>
      </c>
      <c r="C20" s="656"/>
      <c r="D20" s="656"/>
      <c r="E20" s="656"/>
      <c r="F20" s="656"/>
      <c r="G20" s="656"/>
      <c r="H20" s="656"/>
      <c r="I20" s="656"/>
      <c r="J20" s="656"/>
      <c r="K20" s="656"/>
      <c r="L20" s="657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2:30" s="206" customFormat="1" ht="15" customHeight="1">
      <c r="B21" s="200">
        <v>1</v>
      </c>
      <c r="C21" s="29" t="s">
        <v>92</v>
      </c>
      <c r="D21" s="31">
        <f>+D44+15000</f>
        <v>15500</v>
      </c>
      <c r="E21" s="31">
        <f>+D21</f>
        <v>15500</v>
      </c>
      <c r="F21" s="31">
        <f>E21*8</f>
        <v>124000</v>
      </c>
      <c r="G21" s="30">
        <v>2.0449999999999999</v>
      </c>
      <c r="H21" s="31">
        <f>F21*G21</f>
        <v>253580</v>
      </c>
      <c r="I21" s="31">
        <f>H21*30</f>
        <v>7607400</v>
      </c>
      <c r="J21" s="31">
        <f>F21</f>
        <v>124000</v>
      </c>
      <c r="K21" s="694">
        <f>(B21*(I21+J21)+(B22*(I22+J22)))/240</f>
        <v>60826.165999999997</v>
      </c>
      <c r="L21" s="658">
        <f>K21*8</f>
        <v>486609.32799999998</v>
      </c>
      <c r="M21" s="207"/>
      <c r="N21" s="207"/>
      <c r="P21" s="207"/>
      <c r="Q21" s="207"/>
      <c r="R21" s="207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</row>
    <row r="22" spans="2:30" s="206" customFormat="1" ht="12.75" customHeight="1" thickBot="1">
      <c r="B22" s="201">
        <v>2</v>
      </c>
      <c r="C22" s="202" t="s">
        <v>96</v>
      </c>
      <c r="D22" s="203">
        <f>+D44+6383.4</f>
        <v>6883.4</v>
      </c>
      <c r="E22" s="203">
        <f>+D22</f>
        <v>6883.4</v>
      </c>
      <c r="F22" s="203">
        <f>E22*8</f>
        <v>55067.199999999997</v>
      </c>
      <c r="G22" s="204">
        <f>$G$29</f>
        <v>2.0449999999999999</v>
      </c>
      <c r="H22" s="203">
        <f>F22*G22</f>
        <v>112612.42399999998</v>
      </c>
      <c r="I22" s="203">
        <f>H22*30</f>
        <v>3378372.7199999997</v>
      </c>
      <c r="J22" s="203">
        <f>F22</f>
        <v>55067.199999999997</v>
      </c>
      <c r="K22" s="698"/>
      <c r="L22" s="659"/>
      <c r="M22" s="207"/>
      <c r="N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</row>
    <row r="23" spans="2:30" ht="12.75" customHeight="1" thickBot="1">
      <c r="B23" s="660" t="s">
        <v>97</v>
      </c>
      <c r="C23" s="661"/>
      <c r="D23" s="661"/>
      <c r="E23" s="661"/>
      <c r="F23" s="661"/>
      <c r="G23" s="661"/>
      <c r="H23" s="661"/>
      <c r="I23" s="661"/>
      <c r="J23" s="661"/>
      <c r="K23" s="661"/>
      <c r="L23" s="662"/>
      <c r="M23" s="10"/>
      <c r="N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2:30" s="206" customFormat="1" ht="16.149999999999999" customHeight="1" thickBot="1">
      <c r="B24" s="38">
        <v>2</v>
      </c>
      <c r="C24" s="39" t="s">
        <v>96</v>
      </c>
      <c r="D24" s="483">
        <f>+D44+7500</f>
        <v>8000</v>
      </c>
      <c r="E24" s="483">
        <f>+D24</f>
        <v>8000</v>
      </c>
      <c r="F24" s="483">
        <f>E24*8</f>
        <v>64000</v>
      </c>
      <c r="G24" s="41">
        <f>$G$29</f>
        <v>2.0449999999999999</v>
      </c>
      <c r="H24" s="483">
        <f>F24*G24</f>
        <v>130880</v>
      </c>
      <c r="I24" s="483">
        <f>H24*30</f>
        <v>3926400</v>
      </c>
      <c r="J24" s="483">
        <f>F24</f>
        <v>64000</v>
      </c>
      <c r="K24" s="483">
        <f>(B24*(I24+J24))/240</f>
        <v>33253.333333333336</v>
      </c>
      <c r="L24" s="484">
        <f>K24*8</f>
        <v>266026.66666666669</v>
      </c>
      <c r="M24" s="207"/>
      <c r="N24" s="207"/>
      <c r="P24" s="207"/>
      <c r="Q24" s="207"/>
      <c r="R24" s="207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</row>
    <row r="25" spans="2:30" ht="12.75" customHeight="1" thickBot="1">
      <c r="B25" s="646" t="s">
        <v>98</v>
      </c>
      <c r="C25" s="647"/>
      <c r="D25" s="647"/>
      <c r="E25" s="648"/>
      <c r="F25" s="647"/>
      <c r="G25" s="647"/>
      <c r="H25" s="647"/>
      <c r="I25" s="647"/>
      <c r="J25" s="647"/>
      <c r="K25" s="647"/>
      <c r="L25" s="649"/>
      <c r="M25" s="10"/>
      <c r="N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2:30" ht="12.75" customHeight="1">
      <c r="B26" s="28">
        <v>1</v>
      </c>
      <c r="C26" s="29" t="s">
        <v>92</v>
      </c>
      <c r="D26" s="31">
        <f>+D44+12767.8</f>
        <v>13267.8</v>
      </c>
      <c r="E26" s="31">
        <f>+D26</f>
        <v>13267.8</v>
      </c>
      <c r="F26" s="31">
        <f>E26*8</f>
        <v>106142.39999999999</v>
      </c>
      <c r="G26" s="30">
        <f>$G$29</f>
        <v>2.0449999999999999</v>
      </c>
      <c r="H26" s="31">
        <f>F26*G26</f>
        <v>217061.20799999998</v>
      </c>
      <c r="I26" s="31">
        <f>H26*30</f>
        <v>6511836.2399999993</v>
      </c>
      <c r="J26" s="31">
        <f>F26</f>
        <v>106142.39999999999</v>
      </c>
      <c r="K26" s="694">
        <f>(B26*(I26+J26)+(B27*(I27+J27)))/240</f>
        <v>56186.910333333333</v>
      </c>
      <c r="L26" s="696">
        <f>K26*8</f>
        <v>449495.28266666667</v>
      </c>
      <c r="M26" s="10"/>
      <c r="N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2:30" ht="12.75" customHeight="1" thickBot="1">
      <c r="B27" s="45">
        <v>2</v>
      </c>
      <c r="C27" s="47" t="s">
        <v>96</v>
      </c>
      <c r="D27" s="50">
        <f>+D44+6383.4</f>
        <v>6883.4</v>
      </c>
      <c r="E27" s="50">
        <f>+D27</f>
        <v>6883.4</v>
      </c>
      <c r="F27" s="50">
        <f>E27*8</f>
        <v>55067.199999999997</v>
      </c>
      <c r="G27" s="48">
        <f>$G$29</f>
        <v>2.0449999999999999</v>
      </c>
      <c r="H27" s="50">
        <f>F27*G27</f>
        <v>112612.42399999998</v>
      </c>
      <c r="I27" s="50">
        <f>H27*30</f>
        <v>3378372.7199999997</v>
      </c>
      <c r="J27" s="50">
        <f>F27</f>
        <v>55067.199999999997</v>
      </c>
      <c r="K27" s="695"/>
      <c r="L27" s="697"/>
      <c r="M27" s="10"/>
      <c r="N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2:30" ht="12.75" customHeight="1" thickBot="1">
      <c r="B28" s="646" t="s">
        <v>101</v>
      </c>
      <c r="C28" s="647"/>
      <c r="D28" s="647"/>
      <c r="E28" s="648"/>
      <c r="F28" s="647"/>
      <c r="G28" s="647"/>
      <c r="H28" s="647"/>
      <c r="I28" s="647"/>
      <c r="J28" s="647"/>
      <c r="K28" s="647"/>
      <c r="L28" s="649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2:30" ht="12.75" customHeight="1">
      <c r="B29" s="28">
        <v>1</v>
      </c>
      <c r="C29" s="29" t="s">
        <v>92</v>
      </c>
      <c r="D29" s="31">
        <f>+D44+12767.8</f>
        <v>13267.8</v>
      </c>
      <c r="E29" s="31">
        <f>+D29</f>
        <v>13267.8</v>
      </c>
      <c r="F29" s="31">
        <f>E29*8</f>
        <v>106142.39999999999</v>
      </c>
      <c r="G29" s="30">
        <v>2.0449999999999999</v>
      </c>
      <c r="H29" s="31">
        <f>F29*G29</f>
        <v>217061.20799999998</v>
      </c>
      <c r="I29" s="31">
        <f>H29*30</f>
        <v>6511836.2399999993</v>
      </c>
      <c r="J29" s="31">
        <f>F29</f>
        <v>106142.39999999999</v>
      </c>
      <c r="K29" s="694">
        <f>(B29*(I29+J29)+(B30*(I30+J30)))/240</f>
        <v>56186.910333333333</v>
      </c>
      <c r="L29" s="696">
        <f>K29*8</f>
        <v>449495.28266666667</v>
      </c>
      <c r="M29" s="10"/>
      <c r="N29" s="10"/>
      <c r="O29" s="53"/>
      <c r="P29" s="54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2:30" ht="12.75" customHeight="1" thickBot="1">
      <c r="B30" s="15">
        <v>2</v>
      </c>
      <c r="C30" s="32" t="s">
        <v>96</v>
      </c>
      <c r="D30" s="35">
        <f>+D44+6383.4</f>
        <v>6883.4</v>
      </c>
      <c r="E30" s="35">
        <f>+D30</f>
        <v>6883.4</v>
      </c>
      <c r="F30" s="35">
        <f>E30*8</f>
        <v>55067.199999999997</v>
      </c>
      <c r="G30" s="34">
        <f>$G$29</f>
        <v>2.0449999999999999</v>
      </c>
      <c r="H30" s="35">
        <f>F30*G30</f>
        <v>112612.42399999998</v>
      </c>
      <c r="I30" s="35">
        <f>H30*30</f>
        <v>3378372.7199999997</v>
      </c>
      <c r="J30" s="35">
        <f>F30</f>
        <v>55067.199999999997</v>
      </c>
      <c r="K30" s="695"/>
      <c r="L30" s="697"/>
      <c r="M30" s="10"/>
      <c r="N30" s="10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2:30" ht="12.75" customHeight="1" thickBot="1">
      <c r="B31" s="650" t="s">
        <v>109</v>
      </c>
      <c r="C31" s="651"/>
      <c r="D31" s="651"/>
      <c r="E31" s="651"/>
      <c r="F31" s="651"/>
      <c r="G31" s="651"/>
      <c r="H31" s="651"/>
      <c r="I31" s="651"/>
      <c r="J31" s="651"/>
      <c r="K31" s="651"/>
      <c r="L31" s="652"/>
      <c r="M31" s="10"/>
      <c r="N31" s="10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2:30" ht="12.75" customHeight="1">
      <c r="B32" s="28">
        <v>1</v>
      </c>
      <c r="C32" s="29" t="s">
        <v>92</v>
      </c>
      <c r="D32" s="31">
        <f>+D44+14043.48</f>
        <v>14543.48</v>
      </c>
      <c r="E32" s="31">
        <f>+D32</f>
        <v>14543.48</v>
      </c>
      <c r="F32" s="31">
        <f>E32*8</f>
        <v>116347.84</v>
      </c>
      <c r="G32" s="30">
        <f>$G$29</f>
        <v>2.0449999999999999</v>
      </c>
      <c r="H32" s="31">
        <f>F32*G32</f>
        <v>237931.33279999997</v>
      </c>
      <c r="I32" s="31">
        <f>H32*30</f>
        <v>7137939.9839999992</v>
      </c>
      <c r="J32" s="31">
        <f>F32</f>
        <v>116347.84</v>
      </c>
      <c r="K32" s="694">
        <f>(B32*(I32+J32)+(B33*(I33+J33)))/240</f>
        <v>46802.985933333322</v>
      </c>
      <c r="L32" s="696">
        <f>K32*8</f>
        <v>374423.88746666658</v>
      </c>
      <c r="M32" s="10"/>
      <c r="N32" s="10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2:30" ht="12.75" customHeight="1" thickBot="1">
      <c r="B33" s="15">
        <v>1</v>
      </c>
      <c r="C33" s="32" t="s">
        <v>96</v>
      </c>
      <c r="D33" s="35">
        <f>+D44+7476</f>
        <v>7976</v>
      </c>
      <c r="E33" s="35">
        <f>+D33</f>
        <v>7976</v>
      </c>
      <c r="F33" s="35">
        <f>E33*8</f>
        <v>63808</v>
      </c>
      <c r="G33" s="34">
        <f>$G$29</f>
        <v>2.0449999999999999</v>
      </c>
      <c r="H33" s="35">
        <f>F33*G33</f>
        <v>130487.36</v>
      </c>
      <c r="I33" s="35">
        <f>H33*30</f>
        <v>3914620.8</v>
      </c>
      <c r="J33" s="35">
        <f>F33</f>
        <v>63808</v>
      </c>
      <c r="K33" s="695"/>
      <c r="L33" s="697"/>
      <c r="M33" s="10"/>
      <c r="N33" s="10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2:30" ht="12.75" customHeight="1" thickBot="1">
      <c r="B34" s="650" t="s">
        <v>111</v>
      </c>
      <c r="C34" s="651"/>
      <c r="D34" s="651"/>
      <c r="E34" s="651"/>
      <c r="F34" s="651"/>
      <c r="G34" s="651"/>
      <c r="H34" s="651"/>
      <c r="I34" s="651"/>
      <c r="J34" s="651"/>
      <c r="K34" s="651"/>
      <c r="L34" s="652"/>
      <c r="M34" s="10"/>
      <c r="N34" s="10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2:30" ht="12.75" customHeight="1">
      <c r="B35" s="28">
        <v>1</v>
      </c>
      <c r="C35" s="29" t="s">
        <v>92</v>
      </c>
      <c r="D35" s="31">
        <f>+D44+16596.84</f>
        <v>17096.84</v>
      </c>
      <c r="E35" s="31">
        <f>+D35</f>
        <v>17096.84</v>
      </c>
      <c r="F35" s="31">
        <f>E35*8</f>
        <v>136774.72</v>
      </c>
      <c r="G35" s="30">
        <f>$G$29</f>
        <v>2.0449999999999999</v>
      </c>
      <c r="H35" s="31">
        <f>F35*G35</f>
        <v>279704.30239999999</v>
      </c>
      <c r="I35" s="31">
        <f>H35*30</f>
        <v>8391129.0719999988</v>
      </c>
      <c r="J35" s="31">
        <f>F35</f>
        <v>136774.72</v>
      </c>
      <c r="K35" s="694">
        <f>(B35*(I35+J35)+(B36*(I36+J36)))/240</f>
        <v>52109.719133333332</v>
      </c>
      <c r="L35" s="696">
        <f>K35*8</f>
        <v>416877.75306666666</v>
      </c>
      <c r="M35" s="10"/>
      <c r="N35" s="10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2:30" ht="12.75" customHeight="1" thickBot="1">
      <c r="B36" s="15">
        <v>1</v>
      </c>
      <c r="C36" s="32" t="s">
        <v>96</v>
      </c>
      <c r="D36" s="35">
        <f>+D44+7476</f>
        <v>7976</v>
      </c>
      <c r="E36" s="35">
        <f>+D36</f>
        <v>7976</v>
      </c>
      <c r="F36" s="35">
        <f>E36*8</f>
        <v>63808</v>
      </c>
      <c r="G36" s="34">
        <f>$G$29</f>
        <v>2.0449999999999999</v>
      </c>
      <c r="H36" s="35">
        <f>F36*G36</f>
        <v>130487.36</v>
      </c>
      <c r="I36" s="35">
        <f>H36*30</f>
        <v>3914620.8</v>
      </c>
      <c r="J36" s="35">
        <f>F36</f>
        <v>63808</v>
      </c>
      <c r="K36" s="695"/>
      <c r="L36" s="697"/>
      <c r="M36" s="10"/>
      <c r="N36" s="10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2:30" ht="12.75" customHeight="1" thickBot="1">
      <c r="B37" s="650" t="s">
        <v>115</v>
      </c>
      <c r="C37" s="651"/>
      <c r="D37" s="651"/>
      <c r="E37" s="651"/>
      <c r="F37" s="651"/>
      <c r="G37" s="651"/>
      <c r="H37" s="651"/>
      <c r="I37" s="651"/>
      <c r="J37" s="651"/>
      <c r="K37" s="651"/>
      <c r="L37" s="652"/>
      <c r="M37" s="10"/>
      <c r="N37" s="10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2:30" ht="12.75" customHeight="1">
      <c r="B38" s="28">
        <v>1</v>
      </c>
      <c r="C38" s="29" t="s">
        <v>92</v>
      </c>
      <c r="D38" s="31">
        <f>+D44+14681.82</f>
        <v>15181.82</v>
      </c>
      <c r="E38" s="31">
        <f>+D38</f>
        <v>15181.82</v>
      </c>
      <c r="F38" s="31">
        <f>E38*8</f>
        <v>121454.56</v>
      </c>
      <c r="G38" s="30">
        <f>$G$29</f>
        <v>2.0449999999999999</v>
      </c>
      <c r="H38" s="31">
        <f>F38*G38</f>
        <v>248374.57519999999</v>
      </c>
      <c r="I38" s="31">
        <f>H38*30</f>
        <v>7451237.2560000001</v>
      </c>
      <c r="J38" s="31">
        <f>F38</f>
        <v>121454.56</v>
      </c>
      <c r="K38" s="694">
        <f>(B38*(I38+J38)+(B39*(I39+J39)))/240</f>
        <v>45858.88223333333</v>
      </c>
      <c r="L38" s="696">
        <f>K38*8</f>
        <v>366871.05786666664</v>
      </c>
      <c r="M38" s="10"/>
      <c r="N38" s="10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2:30" ht="12.75" customHeight="1" thickBot="1">
      <c r="B39" s="15">
        <v>1</v>
      </c>
      <c r="C39" s="32" t="s">
        <v>96</v>
      </c>
      <c r="D39" s="35">
        <f>+D44+6383.4</f>
        <v>6883.4</v>
      </c>
      <c r="E39" s="35">
        <f>+D39</f>
        <v>6883.4</v>
      </c>
      <c r="F39" s="35">
        <f>E39*8</f>
        <v>55067.199999999997</v>
      </c>
      <c r="G39" s="34">
        <f>$G$29</f>
        <v>2.0449999999999999</v>
      </c>
      <c r="H39" s="35">
        <f>F39*G39</f>
        <v>112612.42399999998</v>
      </c>
      <c r="I39" s="35">
        <f>H39*30</f>
        <v>3378372.7199999997</v>
      </c>
      <c r="J39" s="35">
        <f>F39</f>
        <v>55067.199999999997</v>
      </c>
      <c r="K39" s="695"/>
      <c r="L39" s="697"/>
      <c r="M39" s="10"/>
      <c r="N39" s="10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2:30" ht="12.75" customHeight="1" thickBot="1">
      <c r="B40" s="650" t="s">
        <v>117</v>
      </c>
      <c r="C40" s="651"/>
      <c r="D40" s="651"/>
      <c r="E40" s="651"/>
      <c r="F40" s="651"/>
      <c r="G40" s="651"/>
      <c r="H40" s="651"/>
      <c r="I40" s="651"/>
      <c r="J40" s="651"/>
      <c r="K40" s="651"/>
      <c r="L40" s="652"/>
      <c r="M40" s="10"/>
      <c r="N40" s="10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2:30" ht="12.75" customHeight="1">
      <c r="B41" s="28">
        <v>1</v>
      </c>
      <c r="C41" s="29" t="s">
        <v>92</v>
      </c>
      <c r="D41" s="31">
        <f>+D44+15958.5</f>
        <v>16458.5</v>
      </c>
      <c r="E41" s="31">
        <f>+D41</f>
        <v>16458.5</v>
      </c>
      <c r="F41" s="31">
        <f>E41*8</f>
        <v>131668</v>
      </c>
      <c r="G41" s="30">
        <f>$G$29</f>
        <v>2.0449999999999999</v>
      </c>
      <c r="H41" s="31">
        <f>F41*G41</f>
        <v>269261.06</v>
      </c>
      <c r="I41" s="31">
        <f>H41*30</f>
        <v>8077831.7999999998</v>
      </c>
      <c r="J41" s="31">
        <f>F41</f>
        <v>131668</v>
      </c>
      <c r="K41" s="694">
        <f>(B41*(I41+J41)+(B42*(I42+J42)))/240</f>
        <v>48512.248833333331</v>
      </c>
      <c r="L41" s="696">
        <f>K41*8</f>
        <v>388097.99066666665</v>
      </c>
      <c r="M41" s="10"/>
      <c r="N41" s="10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2:30" ht="12.75" customHeight="1" thickBot="1">
      <c r="B42" s="15">
        <v>1</v>
      </c>
      <c r="C42" s="32" t="s">
        <v>96</v>
      </c>
      <c r="D42" s="35">
        <f>+D44+6383.4</f>
        <v>6883.4</v>
      </c>
      <c r="E42" s="35">
        <f>+D42</f>
        <v>6883.4</v>
      </c>
      <c r="F42" s="35">
        <f>E42*8</f>
        <v>55067.199999999997</v>
      </c>
      <c r="G42" s="34">
        <f>$G$29</f>
        <v>2.0449999999999999</v>
      </c>
      <c r="H42" s="35">
        <f>F42*G42</f>
        <v>112612.42399999998</v>
      </c>
      <c r="I42" s="35">
        <f>H42*30</f>
        <v>3378372.7199999997</v>
      </c>
      <c r="J42" s="35">
        <f>F42</f>
        <v>55067.199999999997</v>
      </c>
      <c r="K42" s="695"/>
      <c r="L42" s="697"/>
      <c r="M42" s="10"/>
      <c r="N42" s="10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2:30" ht="12.75" customHeight="1">
      <c r="B43" s="13"/>
      <c r="C43" s="69"/>
      <c r="D43" s="70"/>
      <c r="E43" s="72"/>
      <c r="F43" s="70"/>
      <c r="G43" s="71"/>
      <c r="H43" s="70"/>
      <c r="I43" s="70"/>
      <c r="J43" s="72"/>
      <c r="K43" s="72"/>
      <c r="L43" s="72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2:30" ht="12.75" customHeight="1">
      <c r="B44" s="13"/>
      <c r="C44" s="13"/>
      <c r="D44" s="13">
        <v>500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2:30" ht="12.75" customHeight="1"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2:30" ht="12.75" customHeight="1"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2:30" ht="12.75" customHeight="1"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2:30" ht="12.75" customHeight="1"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2:30" ht="12.75" customHeight="1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2:30" ht="12.75" customHeight="1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2:30" ht="12.75" customHeight="1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2:30" ht="12.75" customHeight="1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2:30" ht="12.75" customHeight="1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2:30" ht="12.75" customHeight="1"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2:30" ht="12.75" customHeight="1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2:30" ht="12.75" customHeight="1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2:30" ht="12.75" customHeight="1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2:30" ht="12.75" customHeight="1"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2:30" ht="12.75" customHeight="1"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2:30" ht="12.75" customHeight="1"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2:30" ht="12.75" customHeight="1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2:30" ht="12.75" customHeight="1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2:30" ht="12.75" customHeight="1"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2:30" ht="12.75" customHeight="1"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2:30" ht="12.75" customHeight="1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2:30" ht="12.75" customHeight="1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2:30" ht="12.75" customHeight="1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2:30" ht="12.75" customHeight="1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2:30" ht="12.75" customHeight="1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2:30" ht="12.75" customHeight="1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2:30" ht="12.75" customHeight="1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2:30" ht="12.75" customHeight="1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2:30" ht="12.75" customHeight="1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2:30" ht="12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2:30" ht="12.75" customHeight="1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2:30" ht="12.75" customHeight="1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2:30" ht="12.75" customHeight="1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2:30" ht="12.75" customHeight="1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2:30" ht="12.75" customHeight="1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2:30" ht="12.75" customHeight="1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2:30" ht="12.75" customHeight="1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2:30" ht="12.75" customHeight="1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2:30" ht="12.75" customHeight="1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2:30" ht="12.75" customHeight="1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2:30" ht="12.75" customHeight="1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2:30" ht="12.75" customHeight="1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2:30" ht="12.75" customHeight="1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2:30" ht="12.75" customHeight="1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2:30" ht="12.75" customHeight="1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2:30" ht="12.75" customHeight="1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2:30" ht="12.75" customHeight="1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</row>
    <row r="92" spans="2:30" ht="12.75" customHeight="1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</row>
    <row r="93" spans="2:30" ht="12.75" customHeight="1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2:30" ht="12.75" customHeight="1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2:30" ht="12.75" customHeight="1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  <row r="96" spans="2:30" ht="12.75" customHeight="1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</row>
    <row r="97" spans="2:30" ht="12.75" customHeight="1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</row>
    <row r="98" spans="2:30" ht="12.75" customHeight="1"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</row>
    <row r="99" spans="2:30" ht="12.75" customHeight="1"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</row>
    <row r="100" spans="2:30" ht="12.75" customHeight="1"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</row>
    <row r="101" spans="2:30" ht="12.75" customHeight="1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</row>
    <row r="102" spans="2:30" ht="12.75" customHeight="1"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</row>
    <row r="103" spans="2:30" ht="12.75" customHeight="1"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</row>
    <row r="104" spans="2:30" ht="12.75" customHeight="1"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</row>
    <row r="105" spans="2:30" ht="12.75" customHeight="1"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</row>
    <row r="106" spans="2:30" ht="12.75" customHeight="1"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</row>
    <row r="107" spans="2:30" ht="12.75" customHeight="1"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</row>
    <row r="108" spans="2:30" ht="12.75" customHeight="1"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</row>
    <row r="109" spans="2:30" ht="12.75" customHeight="1"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</row>
    <row r="110" spans="2:30" ht="12.75" customHeight="1"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</row>
    <row r="111" spans="2:30" ht="12.75" customHeight="1"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</row>
    <row r="112" spans="2:30" ht="12.75" customHeight="1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</row>
    <row r="113" spans="2:30" ht="12.75" customHeight="1"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</row>
    <row r="114" spans="2:30" ht="12.75" customHeight="1"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</row>
    <row r="115" spans="2:30" ht="12.75" customHeight="1"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</row>
    <row r="116" spans="2:30" ht="12.75" customHeight="1"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</row>
    <row r="117" spans="2:30" ht="12.75" customHeight="1"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</row>
    <row r="118" spans="2:30" ht="12.75" customHeight="1"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</row>
    <row r="119" spans="2:30" ht="12.75" customHeight="1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</row>
    <row r="120" spans="2:30" ht="12.75" customHeight="1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</row>
    <row r="121" spans="2:30" ht="12.75" customHeight="1"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</row>
    <row r="122" spans="2:30" ht="12.75" customHeight="1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</row>
    <row r="123" spans="2:30" ht="12.75" customHeight="1"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</row>
    <row r="124" spans="2:30" ht="12.75" customHeight="1"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</row>
    <row r="125" spans="2:30" ht="12.75" customHeight="1"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</row>
    <row r="126" spans="2:30" ht="12.75" customHeight="1"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</row>
    <row r="127" spans="2:30" ht="12.75" customHeight="1"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</row>
    <row r="128" spans="2:30" ht="12.75" customHeight="1"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</row>
    <row r="129" spans="2:30" ht="12.75" customHeight="1"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</row>
    <row r="130" spans="2:30" ht="12.75" customHeight="1"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</row>
    <row r="131" spans="2:30" ht="12.75" customHeight="1"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</row>
    <row r="132" spans="2:30" ht="12.75" customHeight="1"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</row>
    <row r="133" spans="2:30" ht="12.75" customHeight="1"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</row>
    <row r="134" spans="2:30" ht="12.75" customHeight="1"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</row>
    <row r="135" spans="2:30" ht="12.75" customHeight="1"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</row>
    <row r="136" spans="2:30" ht="12.75" customHeight="1"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</row>
    <row r="137" spans="2:30" ht="12.75" customHeight="1"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</row>
    <row r="138" spans="2:30" ht="12.75" customHeight="1"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</row>
    <row r="139" spans="2:30" ht="12.75" customHeight="1"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</row>
    <row r="140" spans="2:30" ht="12.75" customHeight="1"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</row>
    <row r="141" spans="2:30" ht="12.75" customHeight="1"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</row>
    <row r="142" spans="2:30" ht="12.75" customHeight="1"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</row>
    <row r="143" spans="2:30" ht="12.75" customHeight="1"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</row>
    <row r="144" spans="2:30" ht="12.75" customHeight="1"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</row>
    <row r="145" spans="2:30" ht="12.75" customHeight="1"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</row>
    <row r="146" spans="2:30" ht="12.75" customHeight="1"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</row>
    <row r="147" spans="2:30" ht="12.75" customHeight="1"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</row>
    <row r="148" spans="2:30" ht="12.75" customHeight="1"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</row>
    <row r="149" spans="2:30" ht="12.75" customHeight="1"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</row>
    <row r="150" spans="2:30" ht="12.75" customHeight="1"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</row>
    <row r="151" spans="2:30" ht="12.75" customHeight="1"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</row>
    <row r="152" spans="2:30" ht="12.75" customHeight="1"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</row>
    <row r="153" spans="2:30" ht="12.75" customHeight="1"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</row>
    <row r="154" spans="2:30" ht="12.75" customHeight="1"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</row>
    <row r="155" spans="2:30" ht="12.75" customHeight="1"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</row>
    <row r="156" spans="2:30" ht="12.75" customHeight="1"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</row>
    <row r="157" spans="2:30" ht="12.75" customHeight="1"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</row>
    <row r="158" spans="2:30" ht="12.75" customHeight="1"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</row>
    <row r="159" spans="2:30" ht="12.75" customHeight="1"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</row>
    <row r="160" spans="2:30" ht="12.75" customHeight="1"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</row>
    <row r="161" spans="2:30" ht="12.75" customHeight="1"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</row>
    <row r="162" spans="2:30" ht="12.75" customHeight="1"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</row>
    <row r="163" spans="2:30" ht="12.75" customHeight="1"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</row>
    <row r="164" spans="2:30" ht="12.75" customHeight="1"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</row>
    <row r="165" spans="2:30" ht="12.75" customHeight="1"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</row>
    <row r="166" spans="2:30" ht="12.75" customHeight="1"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</row>
    <row r="167" spans="2:30" ht="12.75" customHeight="1"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</row>
    <row r="168" spans="2:30" ht="12.75" customHeight="1"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</row>
    <row r="169" spans="2:30" ht="12.75" customHeight="1"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</row>
    <row r="170" spans="2:30" ht="12.75" customHeight="1"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</row>
    <row r="171" spans="2:30" ht="12.75" customHeight="1"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</row>
    <row r="172" spans="2:30" ht="12.75" customHeight="1"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</row>
    <row r="173" spans="2:30" ht="12.75" customHeight="1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</row>
    <row r="174" spans="2:30" ht="12.75" customHeight="1"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</row>
    <row r="175" spans="2:30" ht="12.75" customHeight="1"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</row>
    <row r="176" spans="2:30" ht="12.75" customHeight="1"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</row>
    <row r="177" spans="2:30" ht="12.75" customHeight="1"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</row>
    <row r="178" spans="2:30" ht="12.75" customHeight="1"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</row>
    <row r="179" spans="2:30" ht="12.75" customHeight="1"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</row>
    <row r="180" spans="2:30" ht="12.75" customHeight="1"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</row>
    <row r="181" spans="2:30" ht="12.75" customHeight="1"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</row>
    <row r="182" spans="2:30" ht="12.75" customHeight="1"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</row>
    <row r="183" spans="2:30" ht="12.75" customHeight="1"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</row>
    <row r="184" spans="2:30" ht="12.75" customHeight="1"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</row>
    <row r="185" spans="2:30" ht="12.75" customHeight="1"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</row>
    <row r="186" spans="2:30" ht="12.75" customHeight="1"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</row>
    <row r="187" spans="2:30" ht="12.75" customHeight="1"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</row>
    <row r="188" spans="2:30" ht="12.75" customHeight="1"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</row>
    <row r="189" spans="2:30" ht="12.75" customHeight="1"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</row>
    <row r="190" spans="2:30" ht="12.75" customHeight="1"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</row>
    <row r="191" spans="2:30" ht="12.75" customHeight="1"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</row>
    <row r="192" spans="2:30" ht="12.75" customHeight="1"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</row>
    <row r="193" spans="2:30" ht="12.75" customHeight="1"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</row>
    <row r="194" spans="2:30" ht="12.75" customHeight="1"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</row>
    <row r="195" spans="2:30" ht="12.75" customHeight="1"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</row>
    <row r="196" spans="2:30" ht="12.75" customHeight="1"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</row>
    <row r="197" spans="2:30" ht="12.75" customHeight="1"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</row>
    <row r="198" spans="2:30" ht="12.75" customHeight="1"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</row>
    <row r="199" spans="2:30" ht="12.75" customHeight="1"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</row>
    <row r="200" spans="2:30" ht="12.75" customHeight="1"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</row>
    <row r="201" spans="2:30" ht="12.75" customHeight="1"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</row>
    <row r="202" spans="2:30" ht="12.75" customHeight="1"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</row>
    <row r="203" spans="2:30" ht="12.75" customHeight="1"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</row>
    <row r="204" spans="2:30" ht="12.75" customHeight="1"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</row>
    <row r="205" spans="2:30" ht="12.75" customHeight="1"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</row>
    <row r="206" spans="2:30" ht="12.75" customHeight="1"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</row>
    <row r="207" spans="2:30" ht="12.75" customHeight="1"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</row>
    <row r="208" spans="2:30" ht="12.75" customHeight="1"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</row>
    <row r="209" spans="2:30" ht="12.75" customHeight="1"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</row>
    <row r="210" spans="2:30" ht="12.75" customHeight="1"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</row>
    <row r="211" spans="2:30" ht="12.75" customHeight="1"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</row>
    <row r="212" spans="2:30" ht="12.75" customHeight="1"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</row>
    <row r="213" spans="2:30" ht="12.75" customHeight="1"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</row>
    <row r="214" spans="2:30" ht="12.75" customHeight="1"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</row>
    <row r="215" spans="2:30" ht="12.75" customHeight="1"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</row>
    <row r="216" spans="2:30" ht="12.75" customHeight="1"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</row>
    <row r="217" spans="2:30" ht="12.75" customHeight="1"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</row>
    <row r="218" spans="2:30" ht="12.75" customHeight="1"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</row>
    <row r="219" spans="2:30" ht="12.75" customHeight="1"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</row>
    <row r="220" spans="2:30" ht="12.75" customHeight="1"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</row>
    <row r="221" spans="2:30" ht="12.75" customHeight="1"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</row>
    <row r="222" spans="2:30" ht="12.75" customHeight="1"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</row>
    <row r="223" spans="2:30" ht="12.75" customHeight="1"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</row>
    <row r="224" spans="2:30" ht="12.75" customHeight="1"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</row>
    <row r="225" spans="2:30" ht="12.75" customHeight="1"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</row>
    <row r="226" spans="2:30" ht="12.75" customHeight="1"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</row>
    <row r="227" spans="2:30" ht="12.75" customHeight="1"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</row>
    <row r="228" spans="2:30" ht="12.75" customHeight="1"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</row>
    <row r="229" spans="2:30" ht="12.75" customHeight="1"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</row>
    <row r="230" spans="2:30" ht="12.75" customHeight="1"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</row>
    <row r="231" spans="2:30" ht="12.75" customHeight="1"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</row>
    <row r="232" spans="2:30" ht="12.75" customHeight="1"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</row>
    <row r="233" spans="2:30" ht="12.75" customHeight="1"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</row>
    <row r="234" spans="2:30" ht="12.75" customHeight="1"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</row>
    <row r="235" spans="2:30" ht="12.75" customHeight="1"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</row>
    <row r="236" spans="2:30" ht="12.75" customHeight="1"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</row>
    <row r="237" spans="2:30" ht="12.75" customHeight="1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</row>
    <row r="238" spans="2:30" ht="12.75" customHeight="1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</row>
    <row r="239" spans="2:30" ht="12.75" customHeight="1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</row>
    <row r="240" spans="2:30" ht="12.75" customHeight="1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</row>
    <row r="241" spans="2:30" ht="12.75" customHeight="1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</row>
    <row r="242" spans="2:30" ht="12.75" customHeight="1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</row>
    <row r="243" spans="2:30" ht="12.75" customHeight="1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</row>
    <row r="244" spans="2:30" ht="12.75" customHeight="1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</row>
    <row r="245" spans="2:30" ht="12.75" customHeight="1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</row>
    <row r="246" spans="2:30" ht="12.75" customHeight="1"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</row>
    <row r="247" spans="2:30" ht="12.75" customHeight="1"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</row>
    <row r="248" spans="2:30" ht="12.75" customHeight="1"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</row>
    <row r="249" spans="2:30" ht="12.75" customHeight="1"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</row>
    <row r="250" spans="2:30" ht="12.75" customHeight="1"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</row>
    <row r="251" spans="2:30" ht="12.75" customHeight="1"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</row>
    <row r="252" spans="2:30" ht="12.75" customHeight="1"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</row>
    <row r="253" spans="2:30" ht="12.75" customHeight="1"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</row>
    <row r="254" spans="2:30" ht="12.75" customHeight="1"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</row>
    <row r="255" spans="2:30" ht="12.75" customHeight="1"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</row>
    <row r="256" spans="2:30" ht="12.75" customHeight="1"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</row>
    <row r="257" spans="2:30" ht="12.75" customHeight="1"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</row>
    <row r="258" spans="2:30" ht="12.75" customHeight="1"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</row>
    <row r="259" spans="2:30" ht="12.75" customHeight="1"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</row>
    <row r="260" spans="2:30" ht="12.75" customHeight="1"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</row>
    <row r="261" spans="2:30" ht="12.75" customHeight="1"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</row>
    <row r="262" spans="2:30" ht="12.75" customHeight="1"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</row>
    <row r="263" spans="2:30" ht="12.75" customHeight="1"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</row>
    <row r="264" spans="2:30" ht="12.75" customHeight="1"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</row>
    <row r="265" spans="2:30" ht="12.75" customHeight="1"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</row>
    <row r="266" spans="2:30" ht="12.75" customHeight="1"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</row>
    <row r="267" spans="2:30" ht="12.75" customHeight="1"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</row>
    <row r="268" spans="2:30" ht="12.75" customHeight="1"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</row>
    <row r="269" spans="2:30" ht="12.75" customHeight="1"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</row>
    <row r="270" spans="2:30" ht="12.75" customHeight="1"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</row>
    <row r="271" spans="2:30" ht="12.75" customHeight="1"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</row>
    <row r="272" spans="2:30" ht="12.75" customHeight="1"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</row>
    <row r="273" spans="2:30" ht="12.75" customHeight="1"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</row>
    <row r="274" spans="2:30" ht="12.75" customHeight="1"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</row>
    <row r="275" spans="2:30" ht="12.75" customHeight="1"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</row>
    <row r="276" spans="2:30" ht="12.75" customHeight="1"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</row>
    <row r="277" spans="2:30" ht="12.75" customHeight="1"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</row>
    <row r="278" spans="2:30" ht="12.75" customHeight="1"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</row>
    <row r="279" spans="2:30" ht="12.75" customHeight="1"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</row>
    <row r="280" spans="2:30" ht="12.75" customHeight="1"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</row>
    <row r="281" spans="2:30" ht="12.75" customHeight="1"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</row>
    <row r="282" spans="2:30" ht="12.75" customHeight="1"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</row>
    <row r="283" spans="2:30" ht="12.75" customHeight="1"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</row>
    <row r="284" spans="2:30" ht="12.75" customHeight="1"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</row>
    <row r="285" spans="2:30" ht="12.75" customHeight="1"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</row>
    <row r="286" spans="2:30" ht="12.75" customHeight="1"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</row>
    <row r="287" spans="2:30" ht="12.75" customHeight="1"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</row>
    <row r="288" spans="2:30" ht="12.75" customHeight="1"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</row>
    <row r="289" spans="2:30" ht="12.75" customHeight="1"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</row>
    <row r="290" spans="2:30" ht="12.75" customHeight="1"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</row>
    <row r="291" spans="2:30" ht="12.75" customHeight="1"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</row>
    <row r="292" spans="2:30" ht="12.75" customHeight="1"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</row>
    <row r="293" spans="2:30" ht="12.75" customHeight="1"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</row>
    <row r="294" spans="2:30" ht="12.75" customHeight="1"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</row>
    <row r="295" spans="2:30" ht="12.75" customHeight="1"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</row>
    <row r="296" spans="2:30" ht="12.75" customHeight="1"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</row>
    <row r="297" spans="2:30" ht="12.75" customHeight="1"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</row>
    <row r="298" spans="2:30" ht="12.75" customHeight="1"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</row>
    <row r="299" spans="2:30" ht="12.75" customHeight="1"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</row>
    <row r="300" spans="2:30" ht="12.75" customHeight="1"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</row>
    <row r="301" spans="2:30" ht="12.75" customHeight="1"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</row>
    <row r="302" spans="2:30" ht="12.75" customHeight="1"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</row>
    <row r="303" spans="2:30" ht="12.75" customHeight="1"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</row>
    <row r="304" spans="2:30" ht="12.75" customHeight="1"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</row>
    <row r="305" spans="2:30" ht="12.75" customHeight="1"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</row>
    <row r="306" spans="2:30" ht="12.75" customHeight="1"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</row>
    <row r="307" spans="2:30" ht="12.75" customHeight="1"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</row>
    <row r="308" spans="2:30" ht="12.75" customHeight="1"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</row>
    <row r="309" spans="2:30" ht="12.75" customHeight="1"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</row>
    <row r="310" spans="2:30" ht="12.75" customHeight="1"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</row>
    <row r="311" spans="2:30" ht="12.75" customHeight="1"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</row>
    <row r="312" spans="2:30" ht="12.75" customHeight="1"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</row>
    <row r="313" spans="2:30" ht="12.75" customHeight="1"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</row>
    <row r="314" spans="2:30" ht="12.75" customHeight="1"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</row>
    <row r="315" spans="2:30" ht="12.75" customHeight="1"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</row>
    <row r="316" spans="2:30" ht="12.75" customHeight="1"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</row>
    <row r="317" spans="2:30" ht="12.75" customHeight="1"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</row>
    <row r="318" spans="2:30" ht="12.75" customHeight="1"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</row>
    <row r="319" spans="2:30" ht="12.75" customHeight="1"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</row>
    <row r="320" spans="2:30" ht="12.75" customHeight="1"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</row>
    <row r="321" spans="2:30" ht="12.75" customHeight="1"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</row>
    <row r="322" spans="2:30" ht="12.75" customHeight="1"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</row>
    <row r="323" spans="2:30" ht="12.75" customHeight="1"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</row>
    <row r="324" spans="2:30" ht="12.75" customHeight="1"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</row>
    <row r="325" spans="2:30" ht="12.75" customHeight="1"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</row>
    <row r="326" spans="2:30" ht="12.75" customHeight="1"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</row>
    <row r="327" spans="2:30" ht="12.75" customHeight="1"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</row>
    <row r="328" spans="2:30" ht="12.75" customHeight="1"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</row>
    <row r="329" spans="2:30" ht="12.75" customHeight="1"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</row>
    <row r="330" spans="2:30" ht="12.75" customHeight="1"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</row>
    <row r="331" spans="2:30" ht="12.75" customHeight="1"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</row>
    <row r="332" spans="2:30" ht="12.75" customHeight="1"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</row>
    <row r="333" spans="2:30" ht="12.75" customHeight="1"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</row>
    <row r="334" spans="2:30" ht="12.75" customHeight="1"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</row>
    <row r="335" spans="2:30" ht="12.75" customHeight="1"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</row>
    <row r="336" spans="2:30" ht="12.75" customHeight="1"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</row>
    <row r="337" spans="2:30" ht="12.75" customHeight="1"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</row>
    <row r="338" spans="2:30" ht="12.75" customHeight="1"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</row>
    <row r="339" spans="2:30" ht="12.75" customHeight="1"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</row>
    <row r="340" spans="2:30" ht="12.75" customHeight="1"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</row>
    <row r="341" spans="2:30" ht="12.75" customHeight="1"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</row>
    <row r="342" spans="2:30" ht="12.75" customHeight="1"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</row>
    <row r="343" spans="2:30" ht="12.75" customHeight="1"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</row>
    <row r="344" spans="2:30" ht="12.75" customHeight="1"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</row>
    <row r="345" spans="2:30" ht="12.75" customHeight="1"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</row>
    <row r="346" spans="2:30" ht="12.75" customHeight="1"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</row>
    <row r="347" spans="2:30" ht="12.75" customHeight="1"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</row>
    <row r="348" spans="2:30" ht="12.75" customHeight="1"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</row>
    <row r="349" spans="2:30" ht="12.75" customHeight="1"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</row>
    <row r="350" spans="2:30" ht="12.75" customHeight="1"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</row>
    <row r="351" spans="2:30" ht="12.75" customHeight="1"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</row>
    <row r="352" spans="2:30" ht="12.75" customHeight="1"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</row>
    <row r="353" spans="2:30" ht="12.75" customHeight="1"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</row>
    <row r="354" spans="2:30" ht="12.75" customHeight="1"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</row>
    <row r="355" spans="2:30" ht="12.75" customHeight="1"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</row>
    <row r="356" spans="2:30" ht="12.75" customHeight="1"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</row>
    <row r="357" spans="2:30" ht="12.75" customHeight="1"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</row>
    <row r="358" spans="2:30" ht="12.75" customHeight="1"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</row>
    <row r="359" spans="2:30" ht="12.75" customHeight="1"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</row>
    <row r="360" spans="2:30" ht="12.75" customHeight="1"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</row>
    <row r="361" spans="2:30" ht="12.75" customHeight="1"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</row>
    <row r="362" spans="2:30" ht="12.75" customHeight="1"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</row>
    <row r="363" spans="2:30" ht="12.75" customHeight="1"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</row>
    <row r="364" spans="2:30" ht="12.75" customHeight="1"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</row>
    <row r="365" spans="2:30" ht="12.75" customHeight="1"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</row>
    <row r="366" spans="2:30" ht="12.75" customHeight="1"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</row>
    <row r="367" spans="2:30" ht="12.75" customHeight="1"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</row>
    <row r="368" spans="2:30" ht="12.75" customHeight="1"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</row>
    <row r="369" spans="2:30" ht="12.75" customHeight="1"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</row>
    <row r="370" spans="2:30" ht="12.75" customHeight="1"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</row>
    <row r="371" spans="2:30" ht="12.75" customHeight="1"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</row>
    <row r="372" spans="2:30" ht="12.75" customHeight="1"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</row>
    <row r="373" spans="2:30" ht="12.75" customHeight="1"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</row>
    <row r="374" spans="2:30" ht="12.75" customHeight="1"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</row>
    <row r="375" spans="2:30" ht="12.75" customHeight="1"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</row>
    <row r="376" spans="2:30" ht="12.75" customHeight="1"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</row>
    <row r="377" spans="2:30" ht="12.75" customHeight="1"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</row>
    <row r="378" spans="2:30" ht="12.75" customHeight="1"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</row>
    <row r="379" spans="2:30" ht="12.75" customHeight="1"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</row>
    <row r="380" spans="2:30" ht="12.75" customHeight="1"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</row>
    <row r="381" spans="2:30" ht="12.75" customHeight="1"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</row>
    <row r="382" spans="2:30" ht="12.75" customHeight="1"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</row>
    <row r="383" spans="2:30" ht="12.75" customHeight="1"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</row>
    <row r="384" spans="2:30" ht="12.75" customHeight="1"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</row>
    <row r="385" spans="2:30" ht="12.75" customHeight="1"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</row>
    <row r="386" spans="2:30" ht="12.75" customHeight="1"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</row>
    <row r="387" spans="2:30" ht="12.75" customHeight="1"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</row>
    <row r="388" spans="2:30" ht="12.75" customHeight="1"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</row>
    <row r="389" spans="2:30" ht="12.75" customHeight="1"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</row>
    <row r="390" spans="2:30" ht="12.75" customHeight="1"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</row>
    <row r="391" spans="2:30" ht="12.75" customHeight="1"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</row>
    <row r="392" spans="2:30" ht="12.75" customHeight="1"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</row>
    <row r="393" spans="2:30" ht="12.75" customHeight="1"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</row>
    <row r="394" spans="2:30" ht="12.75" customHeight="1"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</row>
    <row r="395" spans="2:30" ht="12.75" customHeight="1"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</row>
    <row r="396" spans="2:30" ht="12.75" customHeight="1"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</row>
    <row r="397" spans="2:30" ht="12.75" customHeight="1"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</row>
    <row r="398" spans="2:30" ht="12.75" customHeight="1"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</row>
    <row r="399" spans="2:30" ht="12.75" customHeight="1"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</row>
    <row r="400" spans="2:30" ht="12.75" customHeight="1"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</row>
    <row r="401" spans="2:30" ht="12.75" customHeight="1"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</row>
    <row r="402" spans="2:30" ht="12.75" customHeight="1"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</row>
    <row r="403" spans="2:30" ht="12.75" customHeight="1"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</row>
    <row r="404" spans="2:30" ht="12.75" customHeight="1"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</row>
    <row r="405" spans="2:30" ht="12.75" customHeight="1"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</row>
    <row r="406" spans="2:30" ht="12.75" customHeight="1"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</row>
    <row r="407" spans="2:30" ht="12.75" customHeight="1"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</row>
    <row r="408" spans="2:30" ht="12.75" customHeight="1"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</row>
    <row r="409" spans="2:30" ht="12.75" customHeight="1"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</row>
    <row r="410" spans="2:30" ht="12.75" customHeight="1"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</row>
    <row r="411" spans="2:30" ht="12.75" customHeight="1"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</row>
    <row r="412" spans="2:30" ht="12.75" customHeight="1"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</row>
    <row r="413" spans="2:30" ht="12.75" customHeight="1"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</row>
    <row r="414" spans="2:30" ht="12.75" customHeight="1"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</row>
    <row r="415" spans="2:30" ht="12.75" customHeight="1"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</row>
    <row r="416" spans="2:30" ht="12.75" customHeight="1"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</row>
    <row r="417" spans="2:30" ht="12.75" customHeight="1"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</row>
    <row r="418" spans="2:30" ht="12.75" customHeight="1"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</row>
    <row r="419" spans="2:30" ht="12.75" customHeight="1"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</row>
    <row r="420" spans="2:30" ht="12.75" customHeight="1"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</row>
    <row r="421" spans="2:30" ht="12.75" customHeight="1"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</row>
    <row r="422" spans="2:30" ht="12.75" customHeight="1"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</row>
    <row r="423" spans="2:30" ht="12.75" customHeight="1"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</row>
    <row r="424" spans="2:30" ht="12.75" customHeight="1"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</row>
    <row r="425" spans="2:30" ht="12.75" customHeight="1"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</row>
    <row r="426" spans="2:30" ht="12.75" customHeight="1"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</row>
    <row r="427" spans="2:30" ht="12.75" customHeight="1"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</row>
    <row r="428" spans="2:30" ht="12.75" customHeight="1"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</row>
    <row r="429" spans="2:30" ht="12.75" customHeight="1"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</row>
    <row r="430" spans="2:30" ht="12.75" customHeight="1"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</row>
    <row r="431" spans="2:30" ht="12.75" customHeight="1"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</row>
    <row r="432" spans="2:30" ht="12.75" customHeight="1"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</row>
    <row r="433" spans="2:30" ht="12.75" customHeight="1"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</row>
    <row r="434" spans="2:30" ht="12.75" customHeight="1"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</row>
    <row r="435" spans="2:30" ht="12.75" customHeight="1"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</row>
    <row r="436" spans="2:30" ht="12.75" customHeight="1"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</row>
    <row r="437" spans="2:30" ht="12.75" customHeight="1"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</row>
    <row r="438" spans="2:30" ht="12.75" customHeight="1"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</row>
    <row r="439" spans="2:30" ht="12.75" customHeight="1"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</row>
    <row r="440" spans="2:30" ht="12.75" customHeight="1"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</row>
    <row r="441" spans="2:30" ht="12.75" customHeight="1"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</row>
    <row r="442" spans="2:30" ht="12.75" customHeight="1"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</row>
    <row r="443" spans="2:30" ht="12.75" customHeight="1"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</row>
    <row r="444" spans="2:30" ht="12.75" customHeight="1"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</row>
    <row r="445" spans="2:30" ht="12.75" customHeight="1"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</row>
    <row r="446" spans="2:30" ht="12.75" customHeight="1"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</row>
    <row r="447" spans="2:30" ht="12.75" customHeight="1"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</row>
    <row r="448" spans="2:30" ht="12.75" customHeight="1"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</row>
    <row r="449" spans="2:30" ht="12.75" customHeight="1"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</row>
    <row r="450" spans="2:30" ht="12.75" customHeight="1"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</row>
    <row r="451" spans="2:30" ht="12.75" customHeight="1"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</row>
    <row r="452" spans="2:30" ht="12.75" customHeight="1"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</row>
    <row r="453" spans="2:30" ht="12.75" customHeight="1"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</row>
    <row r="454" spans="2:30" ht="12.75" customHeight="1"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</row>
    <row r="455" spans="2:30" ht="12.75" customHeight="1"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</row>
    <row r="456" spans="2:30" ht="12.75" customHeight="1"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</row>
    <row r="457" spans="2:30" ht="12.75" customHeight="1"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</row>
    <row r="458" spans="2:30" ht="12.75" customHeight="1"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</row>
    <row r="459" spans="2:30" ht="12.75" customHeight="1"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</row>
    <row r="460" spans="2:30" ht="12.75" customHeight="1"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</row>
    <row r="461" spans="2:30" ht="12.75" customHeight="1"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</row>
    <row r="462" spans="2:30" ht="12.75" customHeight="1"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</row>
    <row r="463" spans="2:30" ht="12.75" customHeight="1"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</row>
    <row r="464" spans="2:30" ht="12.75" customHeight="1"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</row>
    <row r="465" spans="2:30" ht="12.75" customHeight="1"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</row>
    <row r="466" spans="2:30" ht="12.75" customHeight="1"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</row>
    <row r="467" spans="2:30" ht="12.75" customHeight="1"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</row>
    <row r="468" spans="2:30" ht="12.75" customHeight="1"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</row>
    <row r="469" spans="2:30" ht="12.75" customHeight="1"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</row>
    <row r="470" spans="2:30" ht="12.75" customHeight="1"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</row>
    <row r="471" spans="2:30" ht="12.75" customHeight="1"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</row>
    <row r="472" spans="2:30" ht="12.75" customHeight="1"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</row>
    <row r="473" spans="2:30" ht="12.75" customHeight="1"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</row>
    <row r="474" spans="2:30" ht="12.75" customHeight="1"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</row>
    <row r="475" spans="2:30" ht="12.75" customHeight="1"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</row>
    <row r="476" spans="2:30" ht="12.75" customHeight="1"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</row>
    <row r="477" spans="2:30" ht="12.75" customHeight="1"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</row>
    <row r="478" spans="2:30" ht="12.75" customHeight="1"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</row>
    <row r="479" spans="2:30" ht="12.75" customHeight="1"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</row>
    <row r="480" spans="2:30" ht="12.75" customHeight="1"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</row>
    <row r="481" spans="2:30" ht="12.75" customHeight="1"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</row>
    <row r="482" spans="2:30" ht="12.75" customHeight="1"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</row>
    <row r="483" spans="2:30" ht="12.75" customHeight="1"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</row>
    <row r="484" spans="2:30" ht="12.75" customHeight="1"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</row>
    <row r="485" spans="2:30" ht="12.75" customHeight="1"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</row>
    <row r="486" spans="2:30" ht="12.75" customHeight="1"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</row>
    <row r="487" spans="2:30" ht="12.75" customHeight="1"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</row>
    <row r="488" spans="2:30" ht="12.75" customHeight="1"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</row>
    <row r="489" spans="2:30" ht="12.75" customHeight="1"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</row>
    <row r="490" spans="2:30" ht="12.75" customHeight="1"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</row>
    <row r="491" spans="2:30" ht="12.75" customHeight="1"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</row>
    <row r="492" spans="2:30" ht="12.75" customHeight="1"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</row>
    <row r="493" spans="2:30" ht="12.75" customHeight="1"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</row>
    <row r="494" spans="2:30" ht="12.75" customHeight="1"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</row>
    <row r="495" spans="2:30" ht="12.75" customHeight="1"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</row>
    <row r="496" spans="2:30" ht="12.75" customHeight="1"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</row>
    <row r="497" spans="2:30" ht="12.75" customHeight="1"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</row>
    <row r="498" spans="2:30" ht="12.75" customHeight="1"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</row>
    <row r="499" spans="2:30" ht="12.75" customHeight="1"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</row>
    <row r="500" spans="2:30" ht="12.75" customHeight="1"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</row>
    <row r="501" spans="2:30" ht="12.75" customHeight="1"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</row>
    <row r="502" spans="2:30" ht="12.75" customHeight="1"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</row>
    <row r="503" spans="2:30" ht="12.75" customHeight="1"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</row>
    <row r="504" spans="2:30" ht="12.75" customHeight="1"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</row>
    <row r="505" spans="2:30" ht="12.75" customHeight="1"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</row>
    <row r="506" spans="2:30" ht="12.75" customHeight="1"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</row>
    <row r="507" spans="2:30" ht="12.75" customHeight="1"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</row>
    <row r="508" spans="2:30" ht="12.75" customHeight="1"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</row>
    <row r="509" spans="2:30" ht="12.75" customHeight="1"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</row>
    <row r="510" spans="2:30" ht="12.75" customHeight="1"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</row>
    <row r="511" spans="2:30" ht="12.75" customHeight="1"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</row>
    <row r="512" spans="2:30" ht="12.75" customHeight="1"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</row>
    <row r="513" spans="2:30" ht="12.75" customHeight="1"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</row>
    <row r="514" spans="2:30" ht="12.75" customHeight="1"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</row>
    <row r="515" spans="2:30" ht="12.75" customHeight="1"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</row>
    <row r="516" spans="2:30" ht="12.75" customHeight="1"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</row>
    <row r="517" spans="2:30" ht="12.75" customHeight="1"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</row>
    <row r="518" spans="2:30" ht="12.75" customHeight="1"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</row>
    <row r="519" spans="2:30" ht="12.75" customHeight="1"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</row>
    <row r="520" spans="2:30" ht="12.75" customHeight="1"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</row>
    <row r="521" spans="2:30" ht="12.75" customHeight="1"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</row>
    <row r="522" spans="2:30" ht="12.75" customHeight="1"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</row>
    <row r="523" spans="2:30" ht="12.75" customHeight="1"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</row>
    <row r="524" spans="2:30" ht="12.75" customHeight="1"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</row>
    <row r="525" spans="2:30" ht="12.75" customHeight="1"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</row>
    <row r="526" spans="2:30" ht="12.75" customHeight="1"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</row>
    <row r="527" spans="2:30" ht="12.75" customHeight="1"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</row>
    <row r="528" spans="2:30" ht="12.75" customHeight="1"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</row>
    <row r="529" spans="2:30" ht="12.75" customHeight="1"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</row>
    <row r="530" spans="2:30" ht="12.75" customHeight="1"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</row>
    <row r="531" spans="2:30" ht="12.75" customHeight="1"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</row>
    <row r="532" spans="2:30" ht="12.75" customHeight="1"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</row>
    <row r="533" spans="2:30" ht="12.75" customHeight="1"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</row>
    <row r="534" spans="2:30" ht="12.75" customHeight="1"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</row>
    <row r="535" spans="2:30" ht="12.75" customHeight="1"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</row>
    <row r="536" spans="2:30" ht="12.75" customHeight="1"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</row>
    <row r="537" spans="2:30" ht="12.75" customHeight="1"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</row>
    <row r="538" spans="2:30" ht="12.75" customHeight="1"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</row>
    <row r="539" spans="2:30" ht="12.75" customHeight="1"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</row>
    <row r="540" spans="2:30" ht="12.75" customHeight="1"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</row>
    <row r="541" spans="2:30" ht="12.75" customHeight="1"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</row>
    <row r="542" spans="2:30" ht="12.75" customHeight="1"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</row>
    <row r="543" spans="2:30" ht="12.75" customHeight="1"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</row>
    <row r="544" spans="2:30" ht="12.75" customHeight="1"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</row>
    <row r="545" spans="2:30" ht="12.75" customHeight="1"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</row>
    <row r="546" spans="2:30" ht="12.75" customHeight="1"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</row>
    <row r="547" spans="2:30" ht="12.75" customHeight="1"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</row>
    <row r="548" spans="2:30" ht="12.75" customHeight="1"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</row>
    <row r="549" spans="2:30" ht="12.75" customHeight="1"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</row>
    <row r="550" spans="2:30" ht="12.75" customHeight="1"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</row>
    <row r="551" spans="2:30" ht="12.75" customHeight="1"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</row>
    <row r="552" spans="2:30" ht="12.75" customHeight="1"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</row>
    <row r="553" spans="2:30" ht="12.75" customHeight="1"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</row>
    <row r="554" spans="2:30" ht="12.75" customHeight="1"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</row>
    <row r="555" spans="2:30" ht="12.75" customHeight="1"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</row>
    <row r="556" spans="2:30" ht="12.75" customHeight="1"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</row>
    <row r="557" spans="2:30" ht="12.75" customHeight="1"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</row>
    <row r="558" spans="2:30" ht="12.75" customHeight="1"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</row>
    <row r="559" spans="2:30" ht="12.75" customHeight="1"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</row>
    <row r="560" spans="2:30" ht="12.75" customHeight="1"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</row>
    <row r="561" spans="2:30" ht="12.75" customHeight="1"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</row>
    <row r="562" spans="2:30" ht="12.75" customHeight="1"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</row>
    <row r="563" spans="2:30" ht="12.75" customHeight="1"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</row>
    <row r="564" spans="2:30" ht="12.75" customHeight="1"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</row>
    <row r="565" spans="2:30" ht="12.75" customHeight="1"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</row>
    <row r="566" spans="2:30" ht="12.75" customHeight="1"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</row>
    <row r="567" spans="2:30" ht="12.75" customHeight="1"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</row>
    <row r="568" spans="2:30" ht="12.75" customHeight="1"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</row>
    <row r="569" spans="2:30" ht="12.75" customHeight="1"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</row>
    <row r="570" spans="2:30" ht="12.75" customHeight="1"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</row>
    <row r="571" spans="2:30" ht="12.75" customHeight="1"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</row>
    <row r="572" spans="2:30" ht="12.75" customHeight="1"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</row>
    <row r="573" spans="2:30" ht="12.75" customHeight="1"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</row>
    <row r="574" spans="2:30" ht="12.75" customHeight="1"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</row>
    <row r="575" spans="2:30" ht="12.75" customHeight="1"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</row>
    <row r="576" spans="2:30" ht="12.75" customHeight="1"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</row>
    <row r="577" spans="2:30" ht="12.75" customHeight="1"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</row>
    <row r="578" spans="2:30" ht="12.75" customHeight="1"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</row>
    <row r="579" spans="2:30" ht="12.75" customHeight="1"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</row>
    <row r="580" spans="2:30" ht="12.75" customHeight="1"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</row>
    <row r="581" spans="2:30" ht="12.75" customHeight="1"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</row>
    <row r="582" spans="2:30" ht="12.75" customHeight="1"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</row>
    <row r="583" spans="2:30" ht="12.75" customHeight="1"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</row>
    <row r="584" spans="2:30" ht="12.75" customHeight="1"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</row>
    <row r="585" spans="2:30" ht="12.75" customHeight="1"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</row>
    <row r="586" spans="2:30" ht="12.75" customHeight="1"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</row>
    <row r="587" spans="2:30" ht="12.75" customHeight="1"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</row>
    <row r="588" spans="2:30" ht="12.75" customHeight="1"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</row>
    <row r="589" spans="2:30" ht="12.75" customHeight="1"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</row>
    <row r="590" spans="2:30" ht="12.75" customHeight="1"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</row>
    <row r="591" spans="2:30" ht="12.75" customHeight="1"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</row>
    <row r="592" spans="2:30" ht="12.75" customHeight="1"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</row>
    <row r="593" spans="2:30" ht="12.75" customHeight="1"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</row>
    <row r="594" spans="2:30" ht="12.75" customHeight="1"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</row>
    <row r="595" spans="2:30" ht="12.75" customHeight="1"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</row>
    <row r="596" spans="2:30" ht="12.75" customHeight="1"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</row>
    <row r="597" spans="2:30" ht="12.75" customHeight="1"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</row>
    <row r="598" spans="2:30" ht="12.75" customHeight="1"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</row>
    <row r="599" spans="2:30" ht="12.75" customHeight="1"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</row>
    <row r="600" spans="2:30" ht="12.75" customHeight="1"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</row>
    <row r="601" spans="2:30" ht="12.75" customHeight="1"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</row>
    <row r="602" spans="2:30" ht="12.75" customHeight="1"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</row>
    <row r="603" spans="2:30" ht="12.75" customHeight="1"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</row>
    <row r="604" spans="2:30" ht="12.75" customHeight="1"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</row>
    <row r="605" spans="2:30" ht="12.75" customHeight="1"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</row>
    <row r="606" spans="2:30" ht="12.75" customHeight="1"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</row>
    <row r="607" spans="2:30" ht="12.75" customHeight="1"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</row>
    <row r="608" spans="2:30" ht="12.75" customHeight="1"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</row>
    <row r="609" spans="2:30" ht="12.75" customHeight="1"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</row>
    <row r="610" spans="2:30" ht="12.75" customHeight="1"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</row>
    <row r="611" spans="2:30" ht="12.75" customHeight="1"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</row>
    <row r="612" spans="2:30" ht="12.75" customHeight="1"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</row>
    <row r="613" spans="2:30" ht="12.75" customHeight="1"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</row>
    <row r="614" spans="2:30" ht="12.75" customHeight="1"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</row>
    <row r="615" spans="2:30" ht="12.75" customHeight="1"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</row>
    <row r="616" spans="2:30" ht="12.75" customHeight="1"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</row>
    <row r="617" spans="2:30" ht="12.75" customHeight="1"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</row>
    <row r="618" spans="2:30" ht="12.75" customHeight="1"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</row>
    <row r="619" spans="2:30" ht="12.75" customHeight="1"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</row>
    <row r="620" spans="2:30" ht="12.75" customHeight="1"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</row>
    <row r="621" spans="2:30" ht="12.75" customHeight="1"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</row>
    <row r="622" spans="2:30" ht="12.75" customHeight="1"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</row>
    <row r="623" spans="2:30" ht="12.75" customHeight="1"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</row>
    <row r="624" spans="2:30" ht="12.75" customHeight="1"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</row>
    <row r="625" spans="2:30" ht="12.75" customHeight="1"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</row>
    <row r="626" spans="2:30" ht="12.75" customHeight="1"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</row>
    <row r="627" spans="2:30" ht="12.75" customHeight="1"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</row>
    <row r="628" spans="2:30" ht="12.75" customHeight="1"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</row>
    <row r="629" spans="2:30" ht="12.75" customHeight="1"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</row>
    <row r="630" spans="2:30" ht="12.75" customHeight="1"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</row>
    <row r="631" spans="2:30" ht="12.75" customHeight="1"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</row>
    <row r="632" spans="2:30" ht="12.75" customHeight="1"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</row>
    <row r="633" spans="2:30" ht="12.75" customHeight="1"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</row>
    <row r="634" spans="2:30" ht="12.75" customHeight="1"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</row>
    <row r="635" spans="2:30" ht="12.75" customHeight="1"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</row>
    <row r="636" spans="2:30" ht="12.75" customHeight="1"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</row>
    <row r="637" spans="2:30" ht="12.75" customHeight="1"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</row>
    <row r="638" spans="2:30" ht="12.75" customHeight="1"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</row>
    <row r="639" spans="2:30" ht="12.75" customHeight="1"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</row>
    <row r="640" spans="2:30" ht="12.75" customHeight="1"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</row>
    <row r="641" spans="2:30" ht="12.75" customHeight="1"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</row>
    <row r="642" spans="2:30" ht="12.75" customHeight="1"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</row>
    <row r="643" spans="2:30" ht="12.75" customHeight="1"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</row>
    <row r="644" spans="2:30" ht="12.75" customHeight="1"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</row>
    <row r="645" spans="2:30" ht="12.75" customHeight="1"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</row>
    <row r="646" spans="2:30" ht="12.75" customHeight="1"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</row>
    <row r="647" spans="2:30" ht="12.75" customHeight="1"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</row>
    <row r="648" spans="2:30" ht="12.75" customHeight="1"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</row>
    <row r="649" spans="2:30" ht="12.75" customHeight="1"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</row>
    <row r="650" spans="2:30" ht="12.75" customHeight="1"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</row>
    <row r="651" spans="2:30" ht="12.75" customHeight="1"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</row>
    <row r="652" spans="2:30" ht="12.75" customHeight="1"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</row>
    <row r="653" spans="2:30" ht="12.75" customHeight="1"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</row>
    <row r="654" spans="2:30" ht="12.75" customHeight="1"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</row>
    <row r="655" spans="2:30" ht="12.75" customHeight="1"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</row>
    <row r="656" spans="2:30" ht="12.75" customHeight="1"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</row>
    <row r="657" spans="2:30" ht="12.75" customHeight="1"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</row>
    <row r="658" spans="2:30" ht="12.75" customHeight="1"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</row>
    <row r="659" spans="2:30" ht="12.75" customHeight="1"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</row>
    <row r="660" spans="2:30" ht="12.75" customHeight="1"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</row>
    <row r="661" spans="2:30" ht="12.75" customHeight="1"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</row>
    <row r="662" spans="2:30" ht="12.75" customHeight="1"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</row>
    <row r="663" spans="2:30" ht="12.75" customHeight="1"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</row>
    <row r="664" spans="2:30" ht="12.75" customHeight="1"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</row>
    <row r="665" spans="2:30" ht="12.75" customHeight="1"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</row>
    <row r="666" spans="2:30" ht="12.75" customHeight="1"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</row>
    <row r="667" spans="2:30" ht="12.75" customHeight="1"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</row>
    <row r="668" spans="2:30" ht="12.75" customHeight="1"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</row>
    <row r="669" spans="2:30" ht="12.75" customHeight="1"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</row>
    <row r="670" spans="2:30" ht="12.75" customHeight="1"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</row>
    <row r="671" spans="2:30" ht="12.75" customHeight="1"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</row>
    <row r="672" spans="2:30" ht="12.75" customHeight="1"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</row>
    <row r="673" spans="2:30" ht="12.75" customHeight="1"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</row>
    <row r="674" spans="2:30" ht="12.75" customHeight="1"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</row>
    <row r="675" spans="2:30" ht="12.75" customHeight="1"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</row>
    <row r="676" spans="2:30" ht="12.75" customHeight="1"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</row>
    <row r="677" spans="2:30" ht="12.75" customHeight="1"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</row>
    <row r="678" spans="2:30" ht="12.75" customHeight="1"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</row>
    <row r="679" spans="2:30" ht="12.75" customHeight="1"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</row>
    <row r="680" spans="2:30" ht="12.75" customHeight="1"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</row>
    <row r="681" spans="2:30" ht="12.75" customHeight="1"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</row>
    <row r="682" spans="2:30" ht="12.75" customHeight="1"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</row>
    <row r="683" spans="2:30" ht="12.75" customHeight="1"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</row>
    <row r="684" spans="2:30" ht="12.75" customHeight="1"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</row>
    <row r="685" spans="2:30" ht="12.75" customHeight="1"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</row>
    <row r="686" spans="2:30" ht="12.75" customHeight="1"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</row>
    <row r="687" spans="2:30" ht="12.75" customHeight="1"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</row>
    <row r="688" spans="2:30" ht="12.75" customHeight="1"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</row>
    <row r="689" spans="2:30" ht="12.75" customHeight="1"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</row>
    <row r="690" spans="2:30" ht="12.75" customHeight="1"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</row>
    <row r="691" spans="2:30" ht="12.75" customHeight="1"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</row>
    <row r="692" spans="2:30" ht="12.75" customHeight="1"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</row>
    <row r="693" spans="2:30" ht="12.75" customHeight="1"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</row>
    <row r="694" spans="2:30" ht="12.75" customHeight="1"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</row>
    <row r="695" spans="2:30" ht="12.75" customHeight="1"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</row>
    <row r="696" spans="2:30" ht="12.75" customHeight="1"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</row>
    <row r="697" spans="2:30" ht="12.75" customHeight="1"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</row>
    <row r="698" spans="2:30" ht="12.75" customHeight="1"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</row>
    <row r="699" spans="2:30" ht="12.75" customHeight="1"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</row>
    <row r="700" spans="2:30" ht="12.75" customHeight="1"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</row>
    <row r="701" spans="2:30" ht="12.75" customHeight="1"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</row>
    <row r="702" spans="2:30" ht="12.75" customHeight="1"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</row>
    <row r="703" spans="2:30" ht="12.75" customHeight="1"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</row>
    <row r="704" spans="2:30" ht="12.75" customHeight="1"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</row>
    <row r="705" spans="2:30" ht="12.75" customHeight="1"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</row>
    <row r="706" spans="2:30" ht="12.75" customHeight="1"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</row>
    <row r="707" spans="2:30" ht="12.75" customHeight="1"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</row>
    <row r="708" spans="2:30" ht="12.75" customHeight="1"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</row>
    <row r="709" spans="2:30" ht="12.75" customHeight="1"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</row>
    <row r="710" spans="2:30" ht="12.75" customHeight="1"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</row>
    <row r="711" spans="2:30" ht="12.75" customHeight="1"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</row>
    <row r="712" spans="2:30" ht="12.75" customHeight="1"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</row>
    <row r="713" spans="2:30" ht="12.75" customHeight="1"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</row>
    <row r="714" spans="2:30" ht="12.75" customHeight="1"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</row>
    <row r="715" spans="2:30" ht="12.75" customHeight="1"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</row>
    <row r="716" spans="2:30" ht="12.75" customHeight="1"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</row>
    <row r="717" spans="2:30" ht="12.75" customHeight="1"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</row>
    <row r="718" spans="2:30" ht="12.75" customHeight="1"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</row>
    <row r="719" spans="2:30" ht="12.75" customHeight="1"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</row>
    <row r="720" spans="2:30" ht="12.75" customHeight="1"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</row>
    <row r="721" spans="2:30" ht="12.75" customHeight="1"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</row>
    <row r="722" spans="2:30" ht="12.75" customHeight="1"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</row>
    <row r="723" spans="2:30" ht="12.75" customHeight="1"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</row>
    <row r="724" spans="2:30" ht="12.75" customHeight="1"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</row>
    <row r="725" spans="2:30" ht="12.75" customHeight="1"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</row>
    <row r="726" spans="2:30" ht="12.75" customHeight="1"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</row>
    <row r="727" spans="2:30" ht="12.75" customHeight="1"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</row>
    <row r="728" spans="2:30" ht="12.75" customHeight="1"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</row>
    <row r="729" spans="2:30" ht="12.75" customHeight="1"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</row>
    <row r="730" spans="2:30" ht="12.75" customHeight="1"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</row>
    <row r="731" spans="2:30" ht="12.75" customHeight="1"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</row>
    <row r="732" spans="2:30" ht="12.75" customHeight="1"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</row>
    <row r="733" spans="2:30" ht="12.75" customHeight="1"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</row>
    <row r="734" spans="2:30" ht="12.75" customHeight="1"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</row>
    <row r="735" spans="2:30" ht="12.75" customHeight="1"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</row>
    <row r="736" spans="2:30" ht="12.75" customHeight="1"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</row>
    <row r="737" spans="2:30" ht="12.75" customHeight="1"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</row>
    <row r="738" spans="2:30" ht="12.75" customHeight="1"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</row>
    <row r="739" spans="2:30" ht="12.75" customHeight="1"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</row>
    <row r="740" spans="2:30" ht="12.75" customHeight="1"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</row>
    <row r="741" spans="2:30" ht="12.75" customHeight="1"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</row>
    <row r="742" spans="2:30" ht="12.75" customHeight="1"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</row>
    <row r="743" spans="2:30" ht="12.75" customHeight="1"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</row>
    <row r="744" spans="2:30" ht="12.75" customHeight="1"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</row>
    <row r="745" spans="2:30" ht="12.75" customHeight="1"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</row>
    <row r="746" spans="2:30" ht="12.75" customHeight="1"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</row>
    <row r="747" spans="2:30" ht="12.75" customHeight="1"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</row>
    <row r="748" spans="2:30" ht="12.75" customHeight="1"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</row>
    <row r="749" spans="2:30" ht="12.75" customHeight="1"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</row>
    <row r="750" spans="2:30" ht="12.75" customHeight="1"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</row>
    <row r="751" spans="2:30" ht="12.75" customHeight="1"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</row>
    <row r="752" spans="2:30" ht="12.75" customHeight="1"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</row>
    <row r="753" spans="2:30" ht="12.75" customHeight="1"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</row>
    <row r="754" spans="2:30" ht="12.75" customHeight="1"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</row>
    <row r="755" spans="2:30" ht="12.75" customHeight="1"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</row>
    <row r="756" spans="2:30" ht="12.75" customHeight="1"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</row>
    <row r="757" spans="2:30" ht="12.75" customHeight="1"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</row>
    <row r="758" spans="2:30" ht="12.75" customHeight="1"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</row>
    <row r="759" spans="2:30" ht="12.75" customHeight="1"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</row>
    <row r="760" spans="2:30" ht="12.75" customHeight="1"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</row>
    <row r="761" spans="2:30" ht="12.75" customHeight="1"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</row>
    <row r="762" spans="2:30" ht="12.75" customHeight="1"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</row>
    <row r="763" spans="2:30" ht="12.75" customHeight="1"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</row>
    <row r="764" spans="2:30" ht="12.75" customHeight="1"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</row>
    <row r="765" spans="2:30" ht="12.75" customHeight="1"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</row>
    <row r="766" spans="2:30" ht="12.75" customHeight="1"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</row>
    <row r="767" spans="2:30" ht="12.75" customHeight="1"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</row>
    <row r="768" spans="2:30" ht="12.75" customHeight="1"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</row>
    <row r="769" spans="2:30" ht="12.75" customHeight="1"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</row>
    <row r="770" spans="2:30" ht="12.75" customHeight="1"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</row>
    <row r="771" spans="2:30" ht="12.75" customHeight="1"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</row>
    <row r="772" spans="2:30" ht="12.75" customHeight="1"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</row>
    <row r="773" spans="2:30" ht="12.75" customHeight="1"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</row>
    <row r="774" spans="2:30" ht="12.75" customHeight="1"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</row>
    <row r="775" spans="2:30" ht="12.75" customHeight="1"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</row>
    <row r="776" spans="2:30" ht="12.75" customHeight="1"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</row>
    <row r="777" spans="2:30" ht="12.75" customHeight="1"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</row>
    <row r="778" spans="2:30" ht="12.75" customHeight="1"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</row>
    <row r="779" spans="2:30" ht="12.75" customHeight="1"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</row>
    <row r="780" spans="2:30" ht="12.75" customHeight="1"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</row>
    <row r="781" spans="2:30" ht="12.75" customHeight="1"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</row>
    <row r="782" spans="2:30" ht="12.75" customHeight="1"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</row>
    <row r="783" spans="2:30" ht="12.75" customHeight="1"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</row>
    <row r="784" spans="2:30" ht="12.75" customHeight="1"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</row>
    <row r="785" spans="2:30" ht="12.75" customHeight="1"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</row>
    <row r="786" spans="2:30" ht="12.75" customHeight="1"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</row>
    <row r="787" spans="2:30" ht="12.75" customHeight="1"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</row>
    <row r="788" spans="2:30" ht="12.75" customHeight="1"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</row>
    <row r="789" spans="2:30" ht="12.75" customHeight="1"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</row>
    <row r="790" spans="2:30" ht="12.75" customHeight="1"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</row>
    <row r="791" spans="2:30" ht="12.75" customHeight="1"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</row>
    <row r="792" spans="2:30" ht="12.75" customHeight="1"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</row>
    <row r="793" spans="2:30" ht="12.75" customHeight="1"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</row>
    <row r="794" spans="2:30" ht="12.75" customHeight="1"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</row>
    <row r="795" spans="2:30" ht="12.75" customHeight="1"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</row>
    <row r="796" spans="2:30" ht="12.75" customHeight="1"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</row>
    <row r="797" spans="2:30" ht="12.75" customHeight="1"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</row>
    <row r="798" spans="2:30" ht="12.75" customHeight="1"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</row>
    <row r="799" spans="2:30" ht="12.75" customHeight="1"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</row>
    <row r="800" spans="2:30" ht="12.75" customHeight="1"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</row>
    <row r="801" spans="2:30" ht="12.75" customHeight="1"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</row>
    <row r="802" spans="2:30" ht="12.75" customHeight="1"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</row>
    <row r="803" spans="2:30" ht="12.75" customHeight="1"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</row>
    <row r="804" spans="2:30" ht="12.75" customHeight="1"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</row>
    <row r="805" spans="2:30" ht="12.75" customHeight="1"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</row>
    <row r="806" spans="2:30" ht="12.75" customHeight="1"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</row>
    <row r="807" spans="2:30" ht="12.75" customHeight="1"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</row>
    <row r="808" spans="2:30" ht="12.75" customHeight="1"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</row>
    <row r="809" spans="2:30" ht="12.75" customHeight="1"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</row>
    <row r="810" spans="2:30" ht="12.75" customHeight="1"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</row>
    <row r="811" spans="2:30" ht="12.75" customHeight="1"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</row>
    <row r="812" spans="2:30" ht="12.75" customHeight="1"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</row>
    <row r="813" spans="2:30" ht="12.75" customHeight="1"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</row>
    <row r="814" spans="2:30" ht="12.75" customHeight="1"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</row>
    <row r="815" spans="2:30" ht="12.75" customHeight="1"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</row>
    <row r="816" spans="2:30" ht="12.75" customHeight="1"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</row>
    <row r="817" spans="2:30" ht="12.75" customHeight="1"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</row>
    <row r="818" spans="2:30" ht="12.75" customHeight="1"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</row>
    <row r="819" spans="2:30" ht="12.75" customHeight="1"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</row>
    <row r="820" spans="2:30" ht="12.75" customHeight="1"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</row>
    <row r="821" spans="2:30" ht="12.75" customHeight="1"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</row>
    <row r="822" spans="2:30" ht="12.75" customHeight="1"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</row>
    <row r="823" spans="2:30" ht="12.75" customHeight="1"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</row>
    <row r="824" spans="2:30" ht="12.75" customHeight="1"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</row>
    <row r="825" spans="2:30" ht="12.75" customHeight="1"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</row>
    <row r="826" spans="2:30" ht="12.75" customHeight="1"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</row>
    <row r="827" spans="2:30" ht="12.75" customHeight="1"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</row>
    <row r="828" spans="2:30" ht="12.75" customHeight="1"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</row>
    <row r="829" spans="2:30" ht="12.75" customHeight="1"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</row>
    <row r="830" spans="2:30" ht="12.75" customHeight="1"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</row>
    <row r="831" spans="2:30" ht="12.75" customHeight="1"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</row>
    <row r="832" spans="2:30" ht="12.75" customHeight="1"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</row>
    <row r="833" spans="2:30" ht="12.75" customHeight="1"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</row>
    <row r="834" spans="2:30" ht="12.75" customHeight="1"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</row>
    <row r="835" spans="2:30" ht="12.75" customHeight="1"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</row>
    <row r="836" spans="2:30" ht="12.75" customHeight="1"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</row>
    <row r="837" spans="2:30" ht="12.75" customHeight="1"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</row>
    <row r="838" spans="2:30" ht="12.75" customHeight="1"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</row>
    <row r="839" spans="2:30" ht="12.75" customHeight="1"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</row>
    <row r="840" spans="2:30" ht="12.75" customHeight="1"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</row>
    <row r="841" spans="2:30" ht="12.75" customHeight="1"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</row>
    <row r="842" spans="2:30" ht="12.75" customHeight="1"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</row>
    <row r="843" spans="2:30" ht="12.75" customHeight="1"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</row>
    <row r="844" spans="2:30" ht="12.75" customHeight="1"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</row>
    <row r="845" spans="2:30" ht="12.75" customHeight="1"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</row>
    <row r="846" spans="2:30" ht="12.75" customHeight="1"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</row>
    <row r="847" spans="2:30" ht="12.75" customHeight="1"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</row>
    <row r="848" spans="2:30" ht="12.75" customHeight="1"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</row>
    <row r="849" spans="2:30" ht="12.75" customHeight="1"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</row>
    <row r="850" spans="2:30" ht="12.75" customHeight="1"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</row>
    <row r="851" spans="2:30" ht="12.75" customHeight="1"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</row>
    <row r="852" spans="2:30" ht="12.75" customHeight="1"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</row>
    <row r="853" spans="2:30" ht="12.75" customHeight="1"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</row>
    <row r="854" spans="2:30" ht="12.75" customHeight="1"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</row>
    <row r="855" spans="2:30" ht="12.75" customHeight="1"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</row>
    <row r="856" spans="2:30" ht="12.75" customHeight="1"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</row>
    <row r="857" spans="2:30" ht="12.75" customHeight="1"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</row>
    <row r="858" spans="2:30" ht="12.75" customHeight="1"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</row>
    <row r="859" spans="2:30" ht="12.75" customHeight="1"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</row>
    <row r="860" spans="2:30" ht="12.75" customHeight="1"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</row>
    <row r="861" spans="2:30" ht="12.75" customHeight="1"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</row>
    <row r="862" spans="2:30" ht="12.75" customHeight="1"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</row>
    <row r="863" spans="2:30" ht="12.75" customHeight="1"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</row>
    <row r="864" spans="2:30" ht="12.75" customHeight="1"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</row>
    <row r="865" spans="2:30" ht="12.75" customHeight="1"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</row>
    <row r="866" spans="2:30" ht="12.75" customHeight="1"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</row>
    <row r="867" spans="2:30" ht="12.75" customHeight="1"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</row>
    <row r="868" spans="2:30" ht="12.75" customHeight="1"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</row>
    <row r="869" spans="2:30" ht="12.75" customHeight="1"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</row>
    <row r="870" spans="2:30" ht="12.75" customHeight="1"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</row>
    <row r="871" spans="2:30" ht="12.75" customHeight="1"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</row>
    <row r="872" spans="2:30" ht="12.75" customHeight="1"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</row>
    <row r="873" spans="2:30" ht="12.75" customHeight="1"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</row>
    <row r="874" spans="2:30" ht="12.75" customHeight="1"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</row>
    <row r="875" spans="2:30" ht="12.75" customHeight="1"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</row>
    <row r="876" spans="2:30" ht="12.75" customHeight="1"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</row>
    <row r="877" spans="2:30" ht="12.75" customHeight="1"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</row>
    <row r="878" spans="2:30" ht="12.75" customHeight="1"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</row>
    <row r="879" spans="2:30" ht="12.75" customHeight="1"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</row>
    <row r="880" spans="2:30" ht="12.75" customHeight="1"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</row>
    <row r="881" spans="2:30" ht="12.75" customHeight="1"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</row>
    <row r="882" spans="2:30" ht="12.75" customHeight="1"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</row>
    <row r="883" spans="2:30" ht="12.75" customHeight="1"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</row>
    <row r="884" spans="2:30" ht="12.75" customHeight="1"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</row>
    <row r="885" spans="2:30" ht="12.75" customHeight="1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</row>
    <row r="886" spans="2:30" ht="12.75" customHeight="1"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</row>
    <row r="887" spans="2:30" ht="12.75" customHeight="1"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</row>
    <row r="888" spans="2:30" ht="12.75" customHeight="1"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</row>
    <row r="889" spans="2:30" ht="12.75" customHeight="1"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</row>
    <row r="890" spans="2:30" ht="12.75" customHeight="1"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</row>
    <row r="891" spans="2:30" ht="12.75" customHeight="1"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</row>
    <row r="892" spans="2:30" ht="12.75" customHeight="1"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</row>
    <row r="893" spans="2:30" ht="12.75" customHeight="1"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</row>
    <row r="894" spans="2:30" ht="12.75" customHeight="1"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</row>
    <row r="895" spans="2:30" ht="12.75" customHeight="1"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</row>
    <row r="896" spans="2:30" ht="12.75" customHeight="1"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</row>
    <row r="897" spans="2:30" ht="12.75" customHeight="1"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</row>
    <row r="898" spans="2:30" ht="12.75" customHeight="1"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</row>
    <row r="899" spans="2:30" ht="12.75" customHeight="1"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</row>
    <row r="900" spans="2:30" ht="12.75" customHeight="1"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</row>
    <row r="901" spans="2:30" ht="12.75" customHeight="1"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</row>
    <row r="902" spans="2:30" ht="12.75" customHeight="1"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</row>
    <row r="903" spans="2:30" ht="12.75" customHeight="1"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</row>
    <row r="904" spans="2:30" ht="12.75" customHeight="1"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</row>
    <row r="905" spans="2:30" ht="12.75" customHeight="1"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</row>
    <row r="906" spans="2:30" ht="12.75" customHeight="1"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</row>
    <row r="907" spans="2:30" ht="12.75" customHeight="1"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</row>
    <row r="908" spans="2:30" ht="12.75" customHeight="1"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</row>
    <row r="909" spans="2:30" ht="12.75" customHeight="1"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</row>
    <row r="910" spans="2:30" ht="12.75" customHeight="1"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</row>
    <row r="911" spans="2:30" ht="12.75" customHeight="1"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</row>
    <row r="912" spans="2:30" ht="12.75" customHeight="1"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</row>
    <row r="913" spans="2:30" ht="12.75" customHeight="1"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</row>
    <row r="914" spans="2:30" ht="12.75" customHeight="1"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</row>
    <row r="915" spans="2:30" ht="12.75" customHeight="1"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</row>
    <row r="916" spans="2:30" ht="12.75" customHeight="1"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</row>
    <row r="917" spans="2:30" ht="12.75" customHeight="1"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</row>
    <row r="918" spans="2:30" ht="12.75" customHeight="1"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</row>
    <row r="919" spans="2:30" ht="12.75" customHeight="1"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</row>
    <row r="920" spans="2:30" ht="12.75" customHeight="1"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</row>
    <row r="921" spans="2:30" ht="12.75" customHeight="1"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</row>
    <row r="922" spans="2:30" ht="12.75" customHeight="1"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</row>
    <row r="923" spans="2:30" ht="12.75" customHeight="1"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</row>
    <row r="924" spans="2:30" ht="12.75" customHeight="1"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</row>
    <row r="925" spans="2:30" ht="12.75" customHeight="1"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</row>
    <row r="926" spans="2:30" ht="12.75" customHeight="1"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</row>
    <row r="927" spans="2:30" ht="12.75" customHeight="1"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</row>
    <row r="928" spans="2:30" ht="12.75" customHeight="1"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</row>
    <row r="929" spans="2:30" ht="12.75" customHeight="1"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</row>
    <row r="930" spans="2:30" ht="12.75" customHeight="1"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</row>
    <row r="931" spans="2:30" ht="12.75" customHeight="1"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</row>
    <row r="932" spans="2:30" ht="12.75" customHeight="1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</row>
    <row r="933" spans="2:30" ht="12.75" customHeight="1"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</row>
    <row r="934" spans="2:30" ht="12.75" customHeight="1"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</row>
    <row r="935" spans="2:30" ht="12.75" customHeight="1"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</row>
    <row r="936" spans="2:30" ht="12.75" customHeight="1"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</row>
    <row r="937" spans="2:30" ht="12.75" customHeight="1"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</row>
    <row r="938" spans="2:30" ht="12.75" customHeight="1"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</row>
    <row r="939" spans="2:30" ht="12.75" customHeight="1"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</row>
    <row r="940" spans="2:30" ht="12.75" customHeight="1"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</row>
    <row r="941" spans="2:30" ht="12.75" customHeight="1"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</row>
    <row r="942" spans="2:30" ht="12.75" customHeight="1"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</row>
    <row r="943" spans="2:30" ht="12.75" customHeight="1"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</row>
    <row r="944" spans="2:30" ht="12.75" customHeight="1"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</row>
    <row r="945" spans="2:30" ht="12.75" customHeight="1"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</row>
    <row r="946" spans="2:30" ht="12.75" customHeight="1"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</row>
    <row r="947" spans="2:30" ht="12.75" customHeight="1"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</row>
    <row r="948" spans="2:30" ht="12.75" customHeight="1"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</row>
    <row r="949" spans="2:30" ht="12.75" customHeight="1"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</row>
    <row r="950" spans="2:30" ht="12.75" customHeight="1"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</row>
    <row r="951" spans="2:30" ht="12.75" customHeight="1"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</row>
    <row r="952" spans="2:30" ht="12.75" customHeight="1"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</row>
    <row r="953" spans="2:30" ht="12.75" customHeight="1"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</row>
    <row r="954" spans="2:30" ht="12.75" customHeight="1"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</row>
    <row r="955" spans="2:30" ht="12.75" customHeight="1"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</row>
    <row r="956" spans="2:30" ht="12.75" customHeight="1"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</row>
    <row r="957" spans="2:30" ht="12.75" customHeight="1"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</row>
    <row r="958" spans="2:30" ht="12.75" customHeight="1"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</row>
    <row r="959" spans="2:30" ht="12.75" customHeight="1"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</row>
    <row r="960" spans="2:30" ht="12.75" customHeight="1"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</row>
    <row r="961" spans="2:30" ht="12.75" customHeight="1"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</row>
    <row r="962" spans="2:30" ht="12.75" customHeight="1"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</row>
    <row r="963" spans="2:30" ht="12.75" customHeight="1"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</row>
    <row r="964" spans="2:30" ht="12.75" customHeight="1"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</row>
    <row r="965" spans="2:30" ht="12.75" customHeight="1"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</row>
    <row r="966" spans="2:30" ht="12.75" customHeight="1"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</row>
    <row r="967" spans="2:30" ht="12.75" customHeight="1"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</row>
    <row r="968" spans="2:30" ht="12.75" customHeight="1"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</row>
    <row r="969" spans="2:30" ht="12.75" customHeight="1"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</row>
    <row r="970" spans="2:30" ht="12.75" customHeight="1"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</row>
    <row r="971" spans="2:30" ht="12.75" customHeight="1"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</row>
    <row r="972" spans="2:30" ht="12.75" customHeight="1"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</row>
    <row r="973" spans="2:30" ht="12.75" customHeight="1"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</row>
    <row r="974" spans="2:30" ht="12.75" customHeight="1"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</row>
    <row r="975" spans="2:30" ht="12.75" customHeight="1"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</row>
  </sheetData>
  <sheetProtection algorithmName="SHA-512" hashValue="Cl+VMOT0lqRigv5RL5ibZTAWmwQ4p2Hch1LVj/5L5N/HaxlHJEOPvHbs8UmqrmpduVKZtR4JedCEAGm+MA8mKg==" saltValue="jLWgU8jNXD/y7ikf7DJ2Xw==" spinCount="100000" sheet="1" objects="1" scenarios="1" selectLockedCells="1" selectUnlockedCells="1"/>
  <mergeCells count="38">
    <mergeCell ref="B2:G3"/>
    <mergeCell ref="K41:K42"/>
    <mergeCell ref="L41:L42"/>
    <mergeCell ref="K21:K22"/>
    <mergeCell ref="K26:K27"/>
    <mergeCell ref="L26:L27"/>
    <mergeCell ref="K29:K30"/>
    <mergeCell ref="L29:L30"/>
    <mergeCell ref="K32:K33"/>
    <mergeCell ref="L32:L33"/>
    <mergeCell ref="K35:K36"/>
    <mergeCell ref="L35:L36"/>
    <mergeCell ref="B37:L37"/>
    <mergeCell ref="K38:K39"/>
    <mergeCell ref="L38:L39"/>
    <mergeCell ref="B40:L40"/>
    <mergeCell ref="B16:L17"/>
    <mergeCell ref="C11:F11"/>
    <mergeCell ref="C12:F12"/>
    <mergeCell ref="C13:F13"/>
    <mergeCell ref="C14:F14"/>
    <mergeCell ref="C9:F9"/>
    <mergeCell ref="C10:F10"/>
    <mergeCell ref="B4:G4"/>
    <mergeCell ref="B5:G5"/>
    <mergeCell ref="C6:F6"/>
    <mergeCell ref="C7:F7"/>
    <mergeCell ref="C8:F8"/>
    <mergeCell ref="B28:L28"/>
    <mergeCell ref="B31:L31"/>
    <mergeCell ref="B34:L34"/>
    <mergeCell ref="H18:I18"/>
    <mergeCell ref="K18:L18"/>
    <mergeCell ref="B20:L20"/>
    <mergeCell ref="L21:L22"/>
    <mergeCell ref="B23:L23"/>
    <mergeCell ref="J18:J19"/>
    <mergeCell ref="B25:L25"/>
  </mergeCells>
  <pageMargins left="0.7" right="0.7" top="0.75" bottom="0.75" header="0" footer="0"/>
  <pageSetup scale="9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31.25" customWidth="1"/>
    <col min="5" max="5" width="8.75" customWidth="1"/>
    <col min="6" max="6" width="15.12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4" customHeight="1">
      <c r="A1" s="843" t="str">
        <f>'8.4'!A1:H1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Presupuesto!B63</f>
        <v>8.5</v>
      </c>
      <c r="B5" s="780" t="str">
        <f>Presupuesto!C63</f>
        <v xml:space="preserve">Ventana tipo corredera de 4 hojas en aluminio, incluye instalación </v>
      </c>
      <c r="C5" s="686"/>
      <c r="D5" s="686"/>
      <c r="E5" s="686"/>
      <c r="F5" s="687"/>
      <c r="G5" s="866" t="str">
        <f>Presupuesto!D63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341</v>
      </c>
      <c r="B8" s="666"/>
      <c r="C8" s="666"/>
      <c r="D8" s="667"/>
      <c r="E8" s="7" t="s">
        <v>30</v>
      </c>
      <c r="F8" s="80">
        <v>820000</v>
      </c>
      <c r="G8" s="7">
        <v>1</v>
      </c>
      <c r="H8" s="79">
        <f>F8*G8</f>
        <v>820000</v>
      </c>
      <c r="K8" s="40"/>
    </row>
    <row r="9" spans="1:26" ht="14.25" customHeight="1">
      <c r="A9" s="814"/>
      <c r="B9" s="666"/>
      <c r="C9" s="666"/>
      <c r="D9" s="667"/>
      <c r="E9" s="7"/>
      <c r="F9" s="80"/>
      <c r="G9" s="7"/>
      <c r="H9" s="79">
        <f>F9*G9</f>
        <v>0</v>
      </c>
      <c r="K9" s="40"/>
    </row>
    <row r="10" spans="1:26" ht="14.25" customHeight="1">
      <c r="A10" s="814"/>
      <c r="B10" s="666"/>
      <c r="C10" s="666"/>
      <c r="D10" s="667"/>
      <c r="E10" s="7"/>
      <c r="F10" s="80"/>
      <c r="G10" s="7"/>
      <c r="H10" s="79">
        <f>F10*G10</f>
        <v>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820000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1</v>
      </c>
      <c r="H24" s="79">
        <f>(E24*F24)/G24</f>
        <v>48512.248833333331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868863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dc/++fltiSaQg1JoyOC17lp4G6qo7eqWG6QLfB9bvdgDsP+gzDNY5VhmNulh2rwUuLDxJ38XK6tJa+aL5jQsNA==" saltValue="SIuQh7stVCpVul1VPPhxc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1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4.5" customWidth="1"/>
    <col min="5" max="5" width="8.75" customWidth="1"/>
    <col min="6" max="6" width="17.2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27" customHeight="1">
      <c r="A1" s="843" t="str">
        <f>'8.5'!A1:H1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Presupuesto!B64</f>
        <v>8.6</v>
      </c>
      <c r="B5" s="780" t="str">
        <f>Presupuesto!C64</f>
        <v xml:space="preserve">Pasamano tipo barandal para balcon en acero inoxidable, incluye instalación </v>
      </c>
      <c r="C5" s="686"/>
      <c r="D5" s="686"/>
      <c r="E5" s="686"/>
      <c r="F5" s="687"/>
      <c r="G5" s="866" t="str">
        <f>Presupuesto!D64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353</v>
      </c>
      <c r="B8" s="666"/>
      <c r="C8" s="666"/>
      <c r="D8" s="667"/>
      <c r="E8" s="7" t="s">
        <v>15</v>
      </c>
      <c r="F8" s="80">
        <v>376000</v>
      </c>
      <c r="G8" s="7">
        <v>1</v>
      </c>
      <c r="H8" s="79">
        <f>F8*G8</f>
        <v>376000</v>
      </c>
      <c r="K8" s="40"/>
    </row>
    <row r="9" spans="1:26" ht="14.25" customHeight="1">
      <c r="A9" s="814"/>
      <c r="B9" s="666"/>
      <c r="C9" s="666"/>
      <c r="D9" s="667"/>
      <c r="E9" s="7"/>
      <c r="F9" s="80"/>
      <c r="G9" s="7"/>
      <c r="H9" s="79"/>
      <c r="K9" s="40"/>
    </row>
    <row r="10" spans="1:26" ht="14.25" customHeight="1">
      <c r="A10" s="814"/>
      <c r="B10" s="666"/>
      <c r="C10" s="666"/>
      <c r="D10" s="667"/>
      <c r="E10" s="7"/>
      <c r="F10" s="80"/>
      <c r="G10" s="7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376000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58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2</v>
      </c>
      <c r="H16" s="79">
        <f>F16/G16</f>
        <v>175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175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2</v>
      </c>
      <c r="H24" s="79">
        <f>(E24*F24)/G24</f>
        <v>24256.124416666666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24257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400432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Q9s7vpxylqsfKHqiI0QlMKoU5eBRUDUV1VZrkGDp4tQNe52B6dfJHCfQ+Te0SO6Ksl7cgOJ1XerMHb2wBLfTCg==" saltValue="lmZtQqGjca3ZJUNKeUQNx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Z1000"/>
  <sheetViews>
    <sheetView showGridLines="0" topLeftCell="A25" zoomScale="115" zoomScaleNormal="115" workbookViewId="0">
      <selection activeCell="G2" sqref="G2:H3"/>
    </sheetView>
  </sheetViews>
  <sheetFormatPr baseColWidth="10" defaultColWidth="12.625" defaultRowHeight="15" customHeight="1"/>
  <cols>
    <col min="1" max="3" width="10" style="398" customWidth="1"/>
    <col min="4" max="4" width="11.125" style="398" customWidth="1"/>
    <col min="5" max="5" width="8.75" style="398" customWidth="1"/>
    <col min="6" max="6" width="11.75" style="398" customWidth="1"/>
    <col min="7" max="7" width="12.375" style="398" customWidth="1"/>
    <col min="8" max="10" width="11.375" style="398" customWidth="1"/>
    <col min="11" max="11" width="12.75" style="398" customWidth="1"/>
    <col min="12" max="12" width="10.5" style="398" customWidth="1"/>
    <col min="13" max="26" width="10" style="398" customWidth="1"/>
    <col min="27" max="16384" width="12.625" style="398"/>
  </cols>
  <sheetData>
    <row r="1" spans="1:26" ht="32.450000000000003" customHeight="1" thickBot="1">
      <c r="A1" s="843" t="str">
        <f>'8.6'!A1:H1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</row>
    <row r="3" spans="1:26" ht="15.75" customHeight="1" thickBo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 thickBot="1">
      <c r="A5" s="49">
        <f>Presupuesto!B65</f>
        <v>8.6999999999999993</v>
      </c>
      <c r="B5" s="780" t="str">
        <f>Presupuesto!C65</f>
        <v>Estructura metalica de cubierta, perfiles A500 Grado C para cercha</v>
      </c>
      <c r="C5" s="686"/>
      <c r="D5" s="686"/>
      <c r="E5" s="686"/>
      <c r="F5" s="687"/>
      <c r="G5" s="866" t="str">
        <f>Presupuesto!D65</f>
        <v>ML</v>
      </c>
      <c r="H5" s="822"/>
      <c r="I5" s="400"/>
      <c r="K5" s="40"/>
    </row>
    <row r="6" spans="1:26" ht="14.25" customHeight="1" thickBo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  <c r="P7" s="436"/>
    </row>
    <row r="8" spans="1:26" ht="14.25" customHeight="1">
      <c r="A8" s="814" t="s">
        <v>349</v>
      </c>
      <c r="B8" s="666"/>
      <c r="C8" s="666"/>
      <c r="D8" s="667"/>
      <c r="E8" s="7" t="s">
        <v>15</v>
      </c>
      <c r="F8" s="80">
        <v>41899</v>
      </c>
      <c r="G8" s="437">
        <v>1.1000000000000001</v>
      </c>
      <c r="H8" s="79">
        <f>F8*G8</f>
        <v>46088.9</v>
      </c>
      <c r="K8" s="40"/>
      <c r="P8" s="436"/>
    </row>
    <row r="9" spans="1:26" ht="14.25" customHeight="1">
      <c r="A9" s="814" t="s">
        <v>350</v>
      </c>
      <c r="B9" s="666"/>
      <c r="C9" s="666"/>
      <c r="D9" s="667"/>
      <c r="E9" s="7" t="s">
        <v>15</v>
      </c>
      <c r="F9" s="80">
        <v>27933</v>
      </c>
      <c r="G9" s="174">
        <v>1.1000000000000001</v>
      </c>
      <c r="H9" s="79">
        <f>F9*G9</f>
        <v>30726.300000000003</v>
      </c>
      <c r="K9" s="40"/>
    </row>
    <row r="10" spans="1:26" ht="14.25" customHeight="1">
      <c r="A10" s="814" t="s">
        <v>220</v>
      </c>
      <c r="B10" s="666"/>
      <c r="C10" s="666"/>
      <c r="D10" s="667"/>
      <c r="E10" s="7" t="s">
        <v>42</v>
      </c>
      <c r="F10" s="80">
        <v>1500</v>
      </c>
      <c r="G10" s="7">
        <v>0.2</v>
      </c>
      <c r="H10" s="79">
        <f>F10*G10</f>
        <v>300</v>
      </c>
      <c r="K10" s="40"/>
    </row>
    <row r="11" spans="1:26" ht="14.25" customHeight="1">
      <c r="A11" s="818"/>
      <c r="B11" s="666"/>
      <c r="C11" s="666"/>
      <c r="D11" s="667"/>
      <c r="E11" s="141"/>
      <c r="F11" s="84"/>
      <c r="G11" s="141"/>
      <c r="H11" s="79"/>
      <c r="K11" s="40"/>
    </row>
    <row r="12" spans="1:26" ht="14.25" customHeight="1" thickBo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77115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41">
        <f>G17</f>
        <v>12</v>
      </c>
      <c r="H16" s="79">
        <f>F16/G16</f>
        <v>29.166666666666668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131</v>
      </c>
      <c r="B17" s="666"/>
      <c r="C17" s="666"/>
      <c r="D17" s="667"/>
      <c r="E17" s="7" t="s">
        <v>132</v>
      </c>
      <c r="F17" s="80">
        <v>250</v>
      </c>
      <c r="G17" s="141">
        <f>G24</f>
        <v>12</v>
      </c>
      <c r="H17" s="79">
        <f>F17/G17</f>
        <v>20.833333333333332</v>
      </c>
      <c r="J17" s="40"/>
      <c r="K17" s="40"/>
      <c r="M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221</v>
      </c>
      <c r="B18" s="666"/>
      <c r="C18" s="666"/>
      <c r="D18" s="667"/>
      <c r="E18" s="7" t="s">
        <v>30</v>
      </c>
      <c r="F18" s="80">
        <v>5000</v>
      </c>
      <c r="G18" s="141">
        <f>G24</f>
        <v>12</v>
      </c>
      <c r="H18" s="79">
        <f>F18/G18</f>
        <v>416.66666666666669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141"/>
      <c r="F19" s="84"/>
      <c r="G19" s="141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467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12</v>
      </c>
      <c r="H24" s="79">
        <f>(E24*F24)/G24</f>
        <v>4042.6874027777776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141"/>
      <c r="F25" s="88"/>
      <c r="G25" s="141"/>
      <c r="H25" s="79"/>
      <c r="I25" s="40"/>
      <c r="J25" s="73"/>
      <c r="K25" s="40"/>
      <c r="L25" s="399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141"/>
      <c r="F26" s="88"/>
      <c r="G26" s="141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4043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81625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ApE67sKeI5hLcm9wzmasYwHuchOAxCm5jTfKA5mj3NCkEHn4Cyx0N7IfoX3kBriGFazsggxW5zWBKTwU9XPAzQ==" saltValue="6Nadg1AmRgWcXugTOnfmHQ==" spinCount="100000" sheet="1" objects="1" scenarios="1" selectLockedCells="1" selectUnlockedCells="1"/>
  <mergeCells count="36">
    <mergeCell ref="A9:D9"/>
    <mergeCell ref="A1:H1"/>
    <mergeCell ref="B2:F2"/>
    <mergeCell ref="G2:H3"/>
    <mergeCell ref="B3:F3"/>
    <mergeCell ref="B4:F4"/>
    <mergeCell ref="G4:H4"/>
    <mergeCell ref="B5:F5"/>
    <mergeCell ref="G5:H5"/>
    <mergeCell ref="A6:H6"/>
    <mergeCell ref="A7:D7"/>
    <mergeCell ref="A8:D8"/>
    <mergeCell ref="A21:G21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  <mergeCell ref="B32:H32"/>
    <mergeCell ref="B33:H33"/>
    <mergeCell ref="B34:H3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1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8.75" customWidth="1"/>
    <col min="6" max="6" width="11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32.450000000000003" customHeight="1">
      <c r="A1" s="843" t="str">
        <f>'8.6'!A1:H1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Presupuesto!B66</f>
        <v>8.8000000000000007</v>
      </c>
      <c r="B5" s="780" t="str">
        <f>Presupuesto!C66</f>
        <v>Estructura metalica de cubierta, correas perfil C (espesor 1.5 mm)</v>
      </c>
      <c r="C5" s="686"/>
      <c r="D5" s="686"/>
      <c r="E5" s="686"/>
      <c r="F5" s="687"/>
      <c r="G5" s="866" t="str">
        <f>Presupuesto!D66</f>
        <v>ML</v>
      </c>
      <c r="H5" s="822"/>
      <c r="I5" s="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342</v>
      </c>
      <c r="B8" s="666"/>
      <c r="C8" s="666"/>
      <c r="D8" s="667"/>
      <c r="E8" s="7" t="s">
        <v>15</v>
      </c>
      <c r="F8" s="80">
        <v>10900</v>
      </c>
      <c r="G8" s="174">
        <v>1</v>
      </c>
      <c r="H8" s="79">
        <f>F8*G8</f>
        <v>10900</v>
      </c>
      <c r="K8" s="40"/>
    </row>
    <row r="9" spans="1:26" ht="14.25" customHeight="1">
      <c r="A9" s="814" t="s">
        <v>374</v>
      </c>
      <c r="B9" s="666"/>
      <c r="C9" s="666"/>
      <c r="D9" s="667"/>
      <c r="E9" s="7" t="s">
        <v>30</v>
      </c>
      <c r="F9" s="80">
        <v>2380</v>
      </c>
      <c r="G9" s="174">
        <v>1</v>
      </c>
      <c r="H9" s="79">
        <f>F9*G9</f>
        <v>2380</v>
      </c>
      <c r="K9" s="40"/>
    </row>
    <row r="10" spans="1:26" ht="14.25" customHeight="1">
      <c r="A10" s="814" t="s">
        <v>220</v>
      </c>
      <c r="B10" s="666"/>
      <c r="C10" s="666"/>
      <c r="D10" s="667"/>
      <c r="E10" s="7" t="s">
        <v>42</v>
      </c>
      <c r="F10" s="80">
        <v>1500</v>
      </c>
      <c r="G10" s="7">
        <v>0.2</v>
      </c>
      <c r="H10" s="79">
        <f>F10*G10</f>
        <v>300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13580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G17</f>
        <v>6</v>
      </c>
      <c r="H16" s="79">
        <f>F16/G16</f>
        <v>116.66666666666667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131</v>
      </c>
      <c r="B17" s="666"/>
      <c r="C17" s="666"/>
      <c r="D17" s="667"/>
      <c r="E17" s="7" t="s">
        <v>132</v>
      </c>
      <c r="F17" s="80">
        <v>750</v>
      </c>
      <c r="G17" s="5">
        <f>G24</f>
        <v>6</v>
      </c>
      <c r="H17" s="79">
        <f>F17/G17</f>
        <v>125</v>
      </c>
      <c r="J17" s="40"/>
      <c r="K17" s="40"/>
      <c r="M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 t="s">
        <v>221</v>
      </c>
      <c r="B18" s="666"/>
      <c r="C18" s="666"/>
      <c r="D18" s="667"/>
      <c r="E18" s="7" t="s">
        <v>30</v>
      </c>
      <c r="F18" s="80">
        <v>8000</v>
      </c>
      <c r="G18" s="5">
        <f>G24</f>
        <v>6</v>
      </c>
      <c r="H18" s="79">
        <f>F18/G18</f>
        <v>1333.3333333333333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1575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6</v>
      </c>
      <c r="H24" s="79">
        <f>(E24*F24)/G24</f>
        <v>8085.3748055555552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8086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23241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rxmPIKqtTB//1DQ4zoB8onPAUrxUioT3ExcRZidAPWx0eLNsjlgjeG1AqF3ujo2eutrHo8MXSfMJ5uvD3DahwQ==" saltValue="Kk5X357Gt78pAQsbZuO4K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3" customWidth="1"/>
    <col min="7" max="7" width="12.375" customWidth="1"/>
    <col min="8" max="8" width="15" bestFit="1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'8.8'!A1:H1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Presupuesto!B67</f>
        <v>8.9</v>
      </c>
      <c r="B5" s="780" t="str">
        <f>Presupuesto!C67</f>
        <v xml:space="preserve">Cubierta de teja de fibro cemento ondulada perfil 7, inc instalación </v>
      </c>
      <c r="C5" s="686"/>
      <c r="D5" s="686"/>
      <c r="E5" s="686"/>
      <c r="F5" s="687"/>
      <c r="G5" s="866" t="str">
        <f>Presupuesto!D67</f>
        <v>M2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345</v>
      </c>
      <c r="B8" s="666"/>
      <c r="C8" s="666"/>
      <c r="D8" s="667"/>
      <c r="E8" s="7" t="s">
        <v>8</v>
      </c>
      <c r="F8" s="80">
        <v>21811</v>
      </c>
      <c r="G8" s="7">
        <v>1.1000000000000001</v>
      </c>
      <c r="H8" s="79">
        <f>F8*G8</f>
        <v>23992.100000000002</v>
      </c>
      <c r="K8" s="40"/>
    </row>
    <row r="9" spans="1:26" ht="14.25" customHeight="1">
      <c r="A9" s="814" t="s">
        <v>346</v>
      </c>
      <c r="B9" s="666"/>
      <c r="C9" s="666"/>
      <c r="D9" s="667"/>
      <c r="E9" s="7" t="s">
        <v>30</v>
      </c>
      <c r="F9" s="80">
        <v>29900</v>
      </c>
      <c r="G9" s="7">
        <v>0.1</v>
      </c>
      <c r="H9" s="79">
        <f>F9*G9</f>
        <v>2990</v>
      </c>
      <c r="K9" s="40"/>
    </row>
    <row r="10" spans="1:26" ht="14.25" customHeight="1">
      <c r="A10" s="814" t="s">
        <v>222</v>
      </c>
      <c r="B10" s="666"/>
      <c r="C10" s="666"/>
      <c r="D10" s="667"/>
      <c r="E10" s="7" t="s">
        <v>30</v>
      </c>
      <c r="F10" s="80">
        <v>500</v>
      </c>
      <c r="G10" s="7">
        <v>2</v>
      </c>
      <c r="H10" s="79">
        <f>F10*G10</f>
        <v>1000</v>
      </c>
      <c r="K10" s="40"/>
    </row>
    <row r="11" spans="1:26" ht="14.25" customHeight="1">
      <c r="A11" s="814" t="s">
        <v>223</v>
      </c>
      <c r="B11" s="666"/>
      <c r="C11" s="666"/>
      <c r="D11" s="667"/>
      <c r="E11" s="7" t="s">
        <v>30</v>
      </c>
      <c r="F11" s="80">
        <v>1500</v>
      </c>
      <c r="G11" s="7">
        <v>2</v>
      </c>
      <c r="H11" s="79">
        <f>F11*G11</f>
        <v>3000</v>
      </c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30982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700</v>
      </c>
      <c r="G16" s="5">
        <f>G24</f>
        <v>2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131</v>
      </c>
      <c r="B17" s="666"/>
      <c r="C17" s="666"/>
      <c r="D17" s="667"/>
      <c r="E17" s="7" t="s">
        <v>132</v>
      </c>
      <c r="F17" s="80">
        <v>750</v>
      </c>
      <c r="G17" s="5">
        <f>G24</f>
        <v>2</v>
      </c>
      <c r="H17" s="79">
        <f>F17/G17</f>
        <v>375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725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cuadrillas'!C9</f>
        <v>Cuadrilla Estructural</v>
      </c>
      <c r="B24" s="666"/>
      <c r="C24" s="666"/>
      <c r="D24" s="667"/>
      <c r="E24" s="7">
        <v>1</v>
      </c>
      <c r="F24" s="88">
        <f>'Analisis de cuadrillas'!G9</f>
        <v>56186.910333333333</v>
      </c>
      <c r="G24" s="7">
        <v>2</v>
      </c>
      <c r="H24" s="79">
        <f>(E24*F24)/G24</f>
        <v>28093.455166666667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28094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59801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+0dZCutA9ohjuXAWIbpo2HRexeJoMr2YylPbmU5+yF9UqGPhjPNhnahNxk6vpWN8Gt279GJAqr5BwjIRyZhqMw==" saltValue="CVArmNQ8SIpYheNOJQuu+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3"/>
  <sheetViews>
    <sheetView showGridLines="0" zoomScale="90" zoomScaleNormal="85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'8.9'!A1:H1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Presupuesto!B58</f>
        <v>8</v>
      </c>
      <c r="B3" s="790" t="str">
        <f>Presupuesto!C58</f>
        <v>CARPINTERIA METALICA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164">
        <f>Presupuesto!B68</f>
        <v>8.1</v>
      </c>
      <c r="B5" s="780" t="str">
        <f>Presupuesto!C68</f>
        <v xml:space="preserve">Canales y bajantes, incluye instalación </v>
      </c>
      <c r="C5" s="686"/>
      <c r="D5" s="686"/>
      <c r="E5" s="686"/>
      <c r="F5" s="687"/>
      <c r="G5" s="866" t="str">
        <f>Presupuesto!D68</f>
        <v>ML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13" t="s">
        <v>103</v>
      </c>
      <c r="B7" s="679"/>
      <c r="C7" s="679"/>
      <c r="D7" s="680"/>
      <c r="E7" s="66" t="s">
        <v>104</v>
      </c>
      <c r="F7" s="66" t="s">
        <v>105</v>
      </c>
      <c r="G7" s="66" t="s">
        <v>106</v>
      </c>
      <c r="H7" s="162" t="s">
        <v>107</v>
      </c>
      <c r="K7" s="40"/>
    </row>
    <row r="8" spans="1:26" ht="14.25" customHeight="1">
      <c r="A8" s="814" t="s">
        <v>224</v>
      </c>
      <c r="B8" s="666"/>
      <c r="C8" s="666"/>
      <c r="D8" s="667"/>
      <c r="E8" s="7" t="s">
        <v>15</v>
      </c>
      <c r="F8" s="80">
        <v>18966</v>
      </c>
      <c r="G8" s="7">
        <v>0.5</v>
      </c>
      <c r="H8" s="79">
        <f t="shared" ref="H8:H15" si="0">F8*G8</f>
        <v>9483</v>
      </c>
      <c r="K8" s="40"/>
    </row>
    <row r="9" spans="1:26" ht="14.25" customHeight="1">
      <c r="A9" s="814" t="s">
        <v>225</v>
      </c>
      <c r="B9" s="666"/>
      <c r="C9" s="666"/>
      <c r="D9" s="667"/>
      <c r="E9" s="7" t="s">
        <v>15</v>
      </c>
      <c r="F9" s="80">
        <v>15433</v>
      </c>
      <c r="G9" s="7">
        <v>0.5</v>
      </c>
      <c r="H9" s="79">
        <f t="shared" si="0"/>
        <v>7716.5</v>
      </c>
      <c r="K9" s="40"/>
    </row>
    <row r="10" spans="1:26" ht="14.25" customHeight="1">
      <c r="A10" s="814" t="s">
        <v>226</v>
      </c>
      <c r="B10" s="666"/>
      <c r="C10" s="666"/>
      <c r="D10" s="667"/>
      <c r="E10" s="7" t="s">
        <v>30</v>
      </c>
      <c r="F10" s="80">
        <v>6300</v>
      </c>
      <c r="G10" s="7">
        <v>0.17</v>
      </c>
      <c r="H10" s="79">
        <f t="shared" si="0"/>
        <v>1071</v>
      </c>
      <c r="K10" s="40"/>
    </row>
    <row r="11" spans="1:26" ht="14.25" customHeight="1">
      <c r="A11" s="814" t="s">
        <v>227</v>
      </c>
      <c r="B11" s="666"/>
      <c r="C11" s="666"/>
      <c r="D11" s="667"/>
      <c r="E11" s="7" t="s">
        <v>30</v>
      </c>
      <c r="F11" s="80">
        <v>4000</v>
      </c>
      <c r="G11" s="7">
        <v>0.33</v>
      </c>
      <c r="H11" s="79">
        <f t="shared" si="0"/>
        <v>1320</v>
      </c>
      <c r="K11" s="40"/>
    </row>
    <row r="12" spans="1:26" ht="14.25" customHeight="1">
      <c r="A12" s="814" t="s">
        <v>228</v>
      </c>
      <c r="B12" s="666"/>
      <c r="C12" s="666"/>
      <c r="D12" s="667"/>
      <c r="E12" s="7" t="s">
        <v>30</v>
      </c>
      <c r="F12" s="80">
        <v>1900</v>
      </c>
      <c r="G12" s="7">
        <v>0.5</v>
      </c>
      <c r="H12" s="79">
        <f t="shared" si="0"/>
        <v>950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4" t="s">
        <v>229</v>
      </c>
      <c r="B13" s="666"/>
      <c r="C13" s="666"/>
      <c r="D13" s="667"/>
      <c r="E13" s="7" t="s">
        <v>30</v>
      </c>
      <c r="F13" s="80">
        <v>5000</v>
      </c>
      <c r="G13" s="7">
        <v>0.5</v>
      </c>
      <c r="H13" s="79">
        <f t="shared" si="0"/>
        <v>2500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s="435" customFormat="1" ht="14.25" customHeight="1">
      <c r="A14" s="814" t="s">
        <v>357</v>
      </c>
      <c r="B14" s="890"/>
      <c r="C14" s="890"/>
      <c r="D14" s="891"/>
      <c r="E14" s="150" t="s">
        <v>30</v>
      </c>
      <c r="F14" s="403">
        <v>3000</v>
      </c>
      <c r="G14" s="150">
        <v>1</v>
      </c>
      <c r="H14" s="91">
        <f t="shared" si="0"/>
        <v>3000</v>
      </c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30" t="s">
        <v>358</v>
      </c>
      <c r="B15" s="686"/>
      <c r="C15" s="686"/>
      <c r="D15" s="687"/>
      <c r="E15" s="89" t="s">
        <v>30</v>
      </c>
      <c r="F15" s="173">
        <v>1800</v>
      </c>
      <c r="G15" s="89">
        <v>1</v>
      </c>
      <c r="H15" s="161">
        <f t="shared" si="0"/>
        <v>1800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7" t="s">
        <v>110</v>
      </c>
      <c r="B16" s="672"/>
      <c r="C16" s="672"/>
      <c r="D16" s="672"/>
      <c r="E16" s="672"/>
      <c r="F16" s="672"/>
      <c r="G16" s="714"/>
      <c r="H16" s="81">
        <f>ROUND(SUM(H8:H15),0)</f>
        <v>27841</v>
      </c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60" t="s">
        <v>112</v>
      </c>
      <c r="B17" s="861"/>
      <c r="C17" s="861"/>
      <c r="D17" s="861"/>
      <c r="E17" s="861"/>
      <c r="F17" s="861"/>
      <c r="G17" s="861"/>
      <c r="H17" s="862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21" t="s">
        <v>103</v>
      </c>
      <c r="B18" s="703"/>
      <c r="C18" s="703"/>
      <c r="D18" s="715"/>
      <c r="E18" s="59" t="s">
        <v>104</v>
      </c>
      <c r="F18" s="59" t="s">
        <v>113</v>
      </c>
      <c r="G18" s="60" t="s">
        <v>106</v>
      </c>
      <c r="H18" s="62" t="s">
        <v>107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4" t="s">
        <v>149</v>
      </c>
      <c r="B19" s="666"/>
      <c r="C19" s="666"/>
      <c r="D19" s="667"/>
      <c r="E19" s="7" t="s">
        <v>61</v>
      </c>
      <c r="F19" s="80">
        <v>350</v>
      </c>
      <c r="G19" s="5">
        <f>G27</f>
        <v>4</v>
      </c>
      <c r="H19" s="79">
        <f>F19/G19</f>
        <v>87.5</v>
      </c>
      <c r="J19" s="40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4" t="s">
        <v>131</v>
      </c>
      <c r="B20" s="666"/>
      <c r="C20" s="666"/>
      <c r="D20" s="667"/>
      <c r="E20" s="7" t="s">
        <v>132</v>
      </c>
      <c r="F20" s="80">
        <v>250</v>
      </c>
      <c r="G20" s="5">
        <f>G27</f>
        <v>4</v>
      </c>
      <c r="H20" s="79">
        <f>F20/G20</f>
        <v>62.5</v>
      </c>
      <c r="J20" s="40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8"/>
      <c r="B21" s="666"/>
      <c r="C21" s="666"/>
      <c r="D21" s="667"/>
      <c r="E21" s="5"/>
      <c r="F21" s="84"/>
      <c r="G21" s="5"/>
      <c r="H21" s="79"/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8"/>
      <c r="B22" s="666"/>
      <c r="C22" s="666"/>
      <c r="D22" s="667"/>
      <c r="E22" s="5"/>
      <c r="F22" s="84"/>
      <c r="G22" s="5"/>
      <c r="H22" s="79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9"/>
      <c r="B23" s="700"/>
      <c r="C23" s="700"/>
      <c r="D23" s="776"/>
      <c r="E23" s="56"/>
      <c r="F23" s="85"/>
      <c r="G23" s="56"/>
      <c r="H23" s="79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7" t="s">
        <v>116</v>
      </c>
      <c r="B24" s="672"/>
      <c r="C24" s="672"/>
      <c r="D24" s="672"/>
      <c r="E24" s="672"/>
      <c r="F24" s="672"/>
      <c r="G24" s="714"/>
      <c r="H24" s="86">
        <f>ROUNDUP(SUM(H19:H23),0)</f>
        <v>150</v>
      </c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1" t="s">
        <v>118</v>
      </c>
      <c r="B25" s="676"/>
      <c r="C25" s="676"/>
      <c r="D25" s="676"/>
      <c r="E25" s="676"/>
      <c r="F25" s="676"/>
      <c r="G25" s="676"/>
      <c r="H25" s="812"/>
      <c r="K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3" t="s">
        <v>119</v>
      </c>
      <c r="B26" s="679"/>
      <c r="C26" s="679"/>
      <c r="D26" s="680"/>
      <c r="E26" s="65" t="s">
        <v>120</v>
      </c>
      <c r="F26" s="66" t="s">
        <v>121</v>
      </c>
      <c r="G26" s="67" t="s">
        <v>106</v>
      </c>
      <c r="H26" s="68" t="s">
        <v>107</v>
      </c>
      <c r="J26" s="40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8" t="str">
        <f>'Analisis de cuadrillas'!C14</f>
        <v xml:space="preserve">Cuadrilla Carpintería Metálica </v>
      </c>
      <c r="B27" s="666"/>
      <c r="C27" s="666"/>
      <c r="D27" s="667"/>
      <c r="E27" s="7">
        <v>1</v>
      </c>
      <c r="F27" s="88">
        <f>'Analisis de cuadrillas'!G14</f>
        <v>48512.248833333331</v>
      </c>
      <c r="G27" s="7">
        <v>4</v>
      </c>
      <c r="H27" s="79">
        <f>(E27*F27)/G27</f>
        <v>12128.062208333333</v>
      </c>
      <c r="I27" s="58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8"/>
      <c r="B28" s="666"/>
      <c r="C28" s="666"/>
      <c r="D28" s="667"/>
      <c r="E28" s="5"/>
      <c r="F28" s="88"/>
      <c r="G28" s="5"/>
      <c r="H28" s="79"/>
      <c r="I28" s="40"/>
      <c r="J28" s="73"/>
      <c r="K28" s="40"/>
      <c r="L28" s="107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A29" s="815"/>
      <c r="B29" s="666"/>
      <c r="C29" s="666"/>
      <c r="D29" s="667"/>
      <c r="E29" s="5"/>
      <c r="F29" s="88"/>
      <c r="G29" s="5"/>
      <c r="H29" s="79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816"/>
      <c r="B30" s="686"/>
      <c r="C30" s="686"/>
      <c r="D30" s="687"/>
      <c r="E30" s="89"/>
      <c r="F30" s="90"/>
      <c r="G30" s="56"/>
      <c r="H30" s="91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A31" s="817" t="s">
        <v>122</v>
      </c>
      <c r="B31" s="672"/>
      <c r="C31" s="672"/>
      <c r="D31" s="672"/>
      <c r="E31" s="672"/>
      <c r="F31" s="672"/>
      <c r="G31" s="714"/>
      <c r="H31" s="86">
        <f>ROUNDUP(SUM(H27:H30),0)</f>
        <v>12129</v>
      </c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K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A33" s="770" t="s">
        <v>123</v>
      </c>
      <c r="B33" s="672"/>
      <c r="C33" s="672"/>
      <c r="D33" s="672"/>
      <c r="E33" s="672"/>
      <c r="F33" s="672"/>
      <c r="G33" s="714"/>
      <c r="H33" s="92">
        <f>+H31+H16+H24</f>
        <v>40120</v>
      </c>
      <c r="J33" s="40"/>
      <c r="K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>
      <c r="J34" s="40"/>
      <c r="K34" s="58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>
      <c r="A35" s="291" t="s">
        <v>1</v>
      </c>
      <c r="B35" s="761" t="str">
        <f>'1.1'!B32</f>
        <v>Johan Sebastian Alvarez, Daniel Eduardo Ochoa Mora</v>
      </c>
      <c r="C35" s="762"/>
      <c r="D35" s="762"/>
      <c r="E35" s="762"/>
      <c r="F35" s="762"/>
      <c r="G35" s="762"/>
      <c r="H35" s="762"/>
      <c r="K35" s="40"/>
    </row>
    <row r="36" spans="1:26" ht="14.25" customHeight="1">
      <c r="A36" s="291" t="s">
        <v>247</v>
      </c>
      <c r="B36" s="761" t="str">
        <f>'1.1'!B33</f>
        <v>ing. Alexander Solarte Benavides</v>
      </c>
      <c r="C36" s="762"/>
      <c r="D36" s="762"/>
      <c r="E36" s="762"/>
      <c r="F36" s="762"/>
      <c r="G36" s="762"/>
      <c r="H36" s="762"/>
      <c r="K36" s="40"/>
    </row>
    <row r="37" spans="1:26" ht="14.25" customHeight="1">
      <c r="A37" s="291" t="s">
        <v>248</v>
      </c>
      <c r="B37" s="761" t="str">
        <f>'1.1'!B34</f>
        <v>ing.Alexander Solarte Benavides</v>
      </c>
      <c r="C37" s="762"/>
      <c r="D37" s="762"/>
      <c r="E37" s="762"/>
      <c r="F37" s="762"/>
      <c r="G37" s="762"/>
      <c r="H37" s="762"/>
      <c r="K37" s="40"/>
    </row>
    <row r="38" spans="1:26" ht="14.25" customHeight="1">
      <c r="A38" s="291" t="s">
        <v>4</v>
      </c>
      <c r="B38" s="761" t="str">
        <f>'1.1'!B35</f>
        <v>12 de Noviembre del 2020</v>
      </c>
      <c r="C38" s="810"/>
      <c r="D38" s="810"/>
      <c r="E38" s="810"/>
      <c r="F38" s="810"/>
      <c r="G38" s="810"/>
      <c r="H38" s="810"/>
      <c r="K38" s="40"/>
    </row>
    <row r="39" spans="1:26" ht="14.25" customHeight="1">
      <c r="K39" s="40"/>
    </row>
    <row r="40" spans="1:26" ht="14.25" customHeight="1">
      <c r="K40" s="40"/>
    </row>
    <row r="41" spans="1:26" ht="14.25" customHeight="1">
      <c r="K41" s="40"/>
    </row>
    <row r="42" spans="1:26" ht="14.25" customHeight="1"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sheetProtection algorithmName="SHA-512" hashValue="/lm+98CAKKo/NOdDXdCUPGR9rIYXi6L/XlAnFbuWii5JBaTQBOliXR04g1boZUuP/wXTRmGHDlR/R2EQGEuFPg==" saltValue="SJqSyecao3fj9uYnGUckog==" spinCount="100000" sheet="1" objects="1" scenarios="1" selectLockedCells="1" selectUnlockedCells="1"/>
  <mergeCells count="39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18:D18"/>
    <mergeCell ref="A19:D19"/>
    <mergeCell ref="A9:D9"/>
    <mergeCell ref="A10:D10"/>
    <mergeCell ref="A11:D11"/>
    <mergeCell ref="A12:D12"/>
    <mergeCell ref="A13:D13"/>
    <mergeCell ref="A14:D14"/>
    <mergeCell ref="A15:D15"/>
    <mergeCell ref="A16:G16"/>
    <mergeCell ref="A17:H17"/>
    <mergeCell ref="A33:G33"/>
    <mergeCell ref="B35:H35"/>
    <mergeCell ref="B36:H36"/>
    <mergeCell ref="B37:H37"/>
    <mergeCell ref="B38:H38"/>
    <mergeCell ref="A30:D30"/>
    <mergeCell ref="A31:G31"/>
    <mergeCell ref="A25:H25"/>
    <mergeCell ref="A26:D26"/>
    <mergeCell ref="A27:D27"/>
    <mergeCell ref="A28:D28"/>
    <mergeCell ref="A29:D29"/>
    <mergeCell ref="A20:D20"/>
    <mergeCell ref="A21:D21"/>
    <mergeCell ref="A22:D22"/>
    <mergeCell ref="A23:D23"/>
    <mergeCell ref="A24:G2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zoomScale="93" zoomScaleNormal="6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6.625" customWidth="1"/>
    <col min="5" max="5" width="11.75" customWidth="1"/>
    <col min="6" max="6" width="13.625" customWidth="1"/>
    <col min="7" max="7" width="12.375" customWidth="1"/>
    <col min="8" max="8" width="13.375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'8.10'!A1:H1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Presupuesto!B70</f>
        <v>9</v>
      </c>
      <c r="B3" s="790" t="str">
        <f>Presupuesto!C70</f>
        <v>APARATOS SANITARIOS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Presupuesto!B71</f>
        <v>9.1</v>
      </c>
      <c r="B5" s="780" t="str">
        <f>Presupuesto!C71</f>
        <v>Taza y cisterna, incluye instalación y prueba</v>
      </c>
      <c r="C5" s="686"/>
      <c r="D5" s="686"/>
      <c r="E5" s="686"/>
      <c r="F5" s="687"/>
      <c r="G5" s="866" t="str">
        <f>Presupuesto!D71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230</v>
      </c>
      <c r="B8" s="666"/>
      <c r="C8" s="666"/>
      <c r="D8" s="667"/>
      <c r="E8" s="7" t="s">
        <v>30</v>
      </c>
      <c r="F8" s="80">
        <f>166900</f>
        <v>166900</v>
      </c>
      <c r="G8" s="7">
        <v>1</v>
      </c>
      <c r="H8" s="79">
        <f>F8*G8</f>
        <v>166900</v>
      </c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166900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148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149</v>
      </c>
      <c r="B17" s="666"/>
      <c r="C17" s="666"/>
      <c r="D17" s="667"/>
      <c r="E17" s="7" t="s">
        <v>61</v>
      </c>
      <c r="F17" s="80">
        <v>350</v>
      </c>
      <c r="G17" s="5">
        <f>G24</f>
        <v>1</v>
      </c>
      <c r="H17" s="79">
        <f>F17/G17</f>
        <v>350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cuadrillas'!C11</f>
        <v>Cuadrilla Hidrosanitaria</v>
      </c>
      <c r="B24" s="666"/>
      <c r="C24" s="666"/>
      <c r="D24" s="667"/>
      <c r="E24" s="7">
        <v>1</v>
      </c>
      <c r="F24" s="88">
        <f>'Analisis de cuadrillas'!G11</f>
        <v>46802.985933333322</v>
      </c>
      <c r="G24" s="5">
        <f>1/1</f>
        <v>1</v>
      </c>
      <c r="H24" s="79">
        <f>(E24*F24)/G24</f>
        <v>46802.985933333322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46803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214403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fFWrduM3A03wx2G/aPEUrkVxVVL8KMmnVwD8/nRQa1jcFl+vIZOx56CGoeoDr7oABGwY2lDc0HzV7vt6NHGKQw==" saltValue="21Yyc9K/AMu1WKsNPMXYA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5" zoomScale="70" zoomScaleNormal="70" workbookViewId="0">
      <selection activeCell="M17" sqref="M17"/>
    </sheetView>
  </sheetViews>
  <sheetFormatPr baseColWidth="10" defaultColWidth="12.625" defaultRowHeight="15" customHeight="1"/>
  <cols>
    <col min="1" max="1" width="10" customWidth="1"/>
    <col min="2" max="2" width="12.75" customWidth="1"/>
    <col min="3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'9.1'!A1:H1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Presupuesto!B70</f>
        <v>9</v>
      </c>
      <c r="B3" s="790" t="str">
        <f>Presupuesto!C70</f>
        <v>APARATOS SANITARIOS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Presupuesto!B72</f>
        <v>9.1999999999999993</v>
      </c>
      <c r="B5" s="780" t="str">
        <f>Presupuesto!C72</f>
        <v>Lavamanos con pedestal blanco, incluye griferia, (incluye instalación y prueba)</v>
      </c>
      <c r="C5" s="686"/>
      <c r="D5" s="686"/>
      <c r="E5" s="686"/>
      <c r="F5" s="687"/>
      <c r="G5" s="866" t="str">
        <f>Presupuesto!D72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5" customHeight="1">
      <c r="A8" s="837" t="s">
        <v>325</v>
      </c>
      <c r="B8" s="666"/>
      <c r="C8" s="666"/>
      <c r="D8" s="667"/>
      <c r="E8" s="94" t="s">
        <v>30</v>
      </c>
      <c r="F8" s="96">
        <v>101700</v>
      </c>
      <c r="G8" s="94">
        <v>1</v>
      </c>
      <c r="H8" s="106">
        <f>F8*G8</f>
        <v>101700</v>
      </c>
      <c r="K8" s="40"/>
    </row>
    <row r="9" spans="1:26" ht="14.25" customHeight="1">
      <c r="A9" s="814" t="s">
        <v>231</v>
      </c>
      <c r="B9" s="666"/>
      <c r="C9" s="666"/>
      <c r="D9" s="667"/>
      <c r="E9" s="7" t="s">
        <v>30</v>
      </c>
      <c r="F9" s="80">
        <v>5000</v>
      </c>
      <c r="G9" s="7">
        <v>1</v>
      </c>
      <c r="H9" s="106">
        <f>F9*G9</f>
        <v>5000</v>
      </c>
      <c r="K9" s="40"/>
    </row>
    <row r="10" spans="1:26" ht="14.25" customHeight="1">
      <c r="A10" s="814"/>
      <c r="B10" s="666"/>
      <c r="C10" s="666"/>
      <c r="D10" s="667"/>
      <c r="E10" s="7"/>
      <c r="F10" s="80"/>
      <c r="G10" s="7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106700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39"/>
      <c r="B17" s="839"/>
      <c r="C17" s="839"/>
      <c r="D17" s="839"/>
      <c r="E17" s="9"/>
      <c r="F17" s="125"/>
      <c r="G17" s="9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cuadrillas'!C11</f>
        <v>Cuadrilla Hidrosanitaria</v>
      </c>
      <c r="B24" s="666"/>
      <c r="C24" s="666"/>
      <c r="D24" s="667"/>
      <c r="E24" s="7">
        <v>1</v>
      </c>
      <c r="F24" s="88">
        <f>'Analisis de cuadrillas'!G11</f>
        <v>46802.985933333322</v>
      </c>
      <c r="G24" s="5">
        <f>1/1</f>
        <v>1</v>
      </c>
      <c r="H24" s="79">
        <f>E24*(F24/G24)</f>
        <v>46802.985933333322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46803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153853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892" t="str">
        <f>'1.1'!B32</f>
        <v>Johan Sebastian Alvarez, Daniel Eduardo Ochoa Mora</v>
      </c>
      <c r="C32" s="893"/>
      <c r="D32" s="893"/>
      <c r="E32" s="893"/>
      <c r="F32" s="893"/>
      <c r="G32" s="893"/>
      <c r="H32" s="894"/>
      <c r="K32" s="40"/>
    </row>
    <row r="33" spans="1:11" ht="14.25" customHeight="1">
      <c r="A33" s="291" t="s">
        <v>247</v>
      </c>
      <c r="B33" s="892" t="str">
        <f>'1.1'!B33</f>
        <v>ing. Alexander Solarte Benavides</v>
      </c>
      <c r="C33" s="893"/>
      <c r="D33" s="893"/>
      <c r="E33" s="893"/>
      <c r="F33" s="893"/>
      <c r="G33" s="893"/>
      <c r="H33" s="894"/>
      <c r="K33" s="40"/>
    </row>
    <row r="34" spans="1:11" ht="14.25" customHeight="1">
      <c r="A34" s="291" t="s">
        <v>248</v>
      </c>
      <c r="B34" s="892" t="str">
        <f>'1.1'!B34</f>
        <v>ing.Alexander Solarte Benavides</v>
      </c>
      <c r="C34" s="893"/>
      <c r="D34" s="893"/>
      <c r="E34" s="893"/>
      <c r="F34" s="893"/>
      <c r="G34" s="893"/>
      <c r="H34" s="894"/>
      <c r="K34" s="40"/>
    </row>
    <row r="35" spans="1:11" ht="14.25" customHeight="1">
      <c r="A35" s="291" t="s">
        <v>4</v>
      </c>
      <c r="B35" s="892" t="str">
        <f>'1.1'!B35</f>
        <v>12 de Noviembre del 2020</v>
      </c>
      <c r="C35" s="895"/>
      <c r="D35" s="895"/>
      <c r="E35" s="895"/>
      <c r="F35" s="895"/>
      <c r="G35" s="895"/>
      <c r="H35" s="896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P0a/UjbIGE5zILZT6AGe4y8l7urUiQaeZZglMEPBtjc652XG19LE2OJE+S8oFiOK82ydakqaGdYgmitAQUMQiA==" saltValue="i9lydD+CA5vN2BmpuAaFW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9" zoomScale="85" zoomScaleNormal="85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'9.2'!A1:H1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Presupuesto!B70</f>
        <v>9</v>
      </c>
      <c r="B3" s="790" t="str">
        <f>Presupuesto!C70</f>
        <v>APARATOS SANITARIOS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Presupuesto!B73</f>
        <v>9.3000000000000007</v>
      </c>
      <c r="B5" s="780" t="str">
        <f>Presupuesto!C73</f>
        <v>Lavamanos dobles, incluye griferia, (incluye instalación y prueba)</v>
      </c>
      <c r="C5" s="686"/>
      <c r="D5" s="686"/>
      <c r="E5" s="686"/>
      <c r="F5" s="687"/>
      <c r="G5" s="866" t="str">
        <f>Presupuesto!D73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359</v>
      </c>
      <c r="B8" s="666"/>
      <c r="C8" s="666"/>
      <c r="D8" s="667"/>
      <c r="E8" s="7" t="s">
        <v>30</v>
      </c>
      <c r="F8" s="80">
        <f>64700*2</f>
        <v>129400</v>
      </c>
      <c r="G8" s="7">
        <v>1</v>
      </c>
      <c r="H8" s="79">
        <f>F8*G8</f>
        <v>129400</v>
      </c>
      <c r="K8" s="40"/>
    </row>
    <row r="9" spans="1:26" ht="14.25" customHeight="1">
      <c r="A9" s="814" t="s">
        <v>231</v>
      </c>
      <c r="B9" s="666"/>
      <c r="C9" s="666"/>
      <c r="D9" s="667"/>
      <c r="E9" s="7" t="s">
        <v>30</v>
      </c>
      <c r="F9" s="80">
        <v>5000</v>
      </c>
      <c r="G9" s="7">
        <v>1</v>
      </c>
      <c r="H9" s="79">
        <f>F9*G9</f>
        <v>5000</v>
      </c>
      <c r="K9" s="40"/>
    </row>
    <row r="10" spans="1:26" ht="14.25" customHeight="1">
      <c r="A10" s="814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134400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72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cuadrillas'!C11</f>
        <v>Cuadrilla Hidrosanitaria</v>
      </c>
      <c r="B24" s="666"/>
      <c r="C24" s="666"/>
      <c r="D24" s="667"/>
      <c r="E24" s="7">
        <v>1</v>
      </c>
      <c r="F24" s="88">
        <f>'Analisis de cuadrillas'!G11</f>
        <v>46802.985933333322</v>
      </c>
      <c r="G24" s="174">
        <v>1</v>
      </c>
      <c r="H24" s="79">
        <f>E24*(F24/G24)</f>
        <v>46802.985933333322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46803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181553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O+Uz4G79ez+/u5+Nh3pXaXqIxw33eSeu5K0A1vlvv1bb459ZePV2e642wnnZLWuOeI2Fr9khq9IZMpDArzUGtw==" saltValue="4cdJhkFTCpD9KHQikytBG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90" zoomScaleNormal="9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3.375" customWidth="1"/>
    <col min="5" max="5" width="15.375" customWidth="1"/>
    <col min="6" max="6" width="14.75" customWidth="1"/>
    <col min="7" max="7" width="12.375" customWidth="1"/>
    <col min="8" max="8" width="15" bestFit="1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Presupuesto!B70</f>
        <v>9</v>
      </c>
      <c r="B3" s="790" t="str">
        <f>Presupuesto!C70</f>
        <v>APARATOS SANITARIOS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Presupuesto!B74</f>
        <v>9.4</v>
      </c>
      <c r="B5" s="780" t="str">
        <f>Presupuesto!C74</f>
        <v>Lavaplatos de insertar en el mesón de acero inoxidable, incluye griferia</v>
      </c>
      <c r="C5" s="686"/>
      <c r="D5" s="686"/>
      <c r="E5" s="686"/>
      <c r="F5" s="687"/>
      <c r="G5" s="866" t="str">
        <f>Presupuesto!D74</f>
        <v>UND</v>
      </c>
      <c r="H5" s="822"/>
      <c r="K5" s="40"/>
    </row>
    <row r="6" spans="1:26" ht="14.25" customHeight="1">
      <c r="A6" s="820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324</v>
      </c>
      <c r="B8" s="666"/>
      <c r="C8" s="666"/>
      <c r="D8" s="667"/>
      <c r="E8" s="7" t="s">
        <v>30</v>
      </c>
      <c r="F8" s="84">
        <v>282500</v>
      </c>
      <c r="G8" s="7">
        <v>1</v>
      </c>
      <c r="H8" s="79">
        <f>F8*G8</f>
        <v>282500</v>
      </c>
      <c r="K8" s="40"/>
    </row>
    <row r="9" spans="1:26" ht="14.25" customHeight="1">
      <c r="A9" s="814" t="s">
        <v>232</v>
      </c>
      <c r="B9" s="666"/>
      <c r="C9" s="666"/>
      <c r="D9" s="667"/>
      <c r="E9" s="7" t="s">
        <v>30</v>
      </c>
      <c r="F9" s="84">
        <f>49900</f>
        <v>49900</v>
      </c>
      <c r="G9" s="7">
        <v>1</v>
      </c>
      <c r="H9" s="79">
        <f>F9*G9</f>
        <v>49900</v>
      </c>
      <c r="K9" s="40"/>
    </row>
    <row r="10" spans="1:26" ht="14.25" customHeight="1">
      <c r="A10" s="814" t="s">
        <v>231</v>
      </c>
      <c r="B10" s="666"/>
      <c r="C10" s="666"/>
      <c r="D10" s="667"/>
      <c r="E10" s="7" t="s">
        <v>30</v>
      </c>
      <c r="F10" s="80">
        <v>15000</v>
      </c>
      <c r="G10" s="7">
        <v>1</v>
      </c>
      <c r="H10" s="79">
        <f>F10*G10</f>
        <v>15000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347400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cuadrillas'!C11</f>
        <v>Cuadrilla Hidrosanitaria</v>
      </c>
      <c r="B24" s="666"/>
      <c r="C24" s="666"/>
      <c r="D24" s="667"/>
      <c r="E24" s="7">
        <v>1</v>
      </c>
      <c r="F24" s="88">
        <f>'Analisis de cuadrillas'!G11</f>
        <v>46802.985933333322</v>
      </c>
      <c r="G24" s="7">
        <v>1</v>
      </c>
      <c r="H24" s="79">
        <f>E24*(F24/G24)</f>
        <v>46802.985933333322</v>
      </c>
      <c r="I24" s="58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46803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394553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Ge/tBmM+DSGkMlJQtpQsoK1xBtS8FN9pOOfGnoNSJh3wx9Jy0Z0B6S3tS4VB/M+vJAspzzVieKHnl6aKb1+yZA==" saltValue="q8FML6za/FedwTDWE6owsA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8D08D"/>
    <pageSetUpPr fitToPage="1"/>
  </sheetPr>
  <dimension ref="A1:X99"/>
  <sheetViews>
    <sheetView showGridLines="0" zoomScale="70" zoomScaleNormal="70" workbookViewId="0">
      <selection activeCell="M23" sqref="M23"/>
    </sheetView>
  </sheetViews>
  <sheetFormatPr baseColWidth="10" defaultColWidth="12.625" defaultRowHeight="15" customHeight="1"/>
  <cols>
    <col min="1" max="1" width="7.125" customWidth="1"/>
    <col min="2" max="2" width="14" customWidth="1"/>
    <col min="3" max="3" width="54.25" customWidth="1"/>
    <col min="4" max="4" width="7.625" customWidth="1"/>
    <col min="5" max="5" width="9.75" customWidth="1"/>
    <col min="6" max="6" width="14.875" customWidth="1"/>
    <col min="7" max="7" width="18" customWidth="1"/>
    <col min="8" max="8" width="14.25" customWidth="1"/>
    <col min="9" max="9" width="11.625" customWidth="1"/>
    <col min="10" max="24" width="10" customWidth="1"/>
  </cols>
  <sheetData>
    <row r="1" spans="1:24" ht="13.5" customHeight="1">
      <c r="A1" s="14"/>
      <c r="B1" s="16"/>
      <c r="C1" s="16"/>
      <c r="D1" s="16"/>
      <c r="E1" s="16"/>
      <c r="F1" s="16"/>
      <c r="G1" s="16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14.25" customHeight="1" thickBot="1">
      <c r="A2" s="14"/>
      <c r="B2" s="18"/>
      <c r="C2" s="18"/>
      <c r="D2" s="18"/>
      <c r="E2" s="18"/>
      <c r="F2" s="18"/>
      <c r="G2" s="18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</row>
    <row r="3" spans="1:24" ht="16.149999999999999" customHeight="1" thickBot="1">
      <c r="A3" s="20"/>
      <c r="B3" s="637" t="str">
        <f>Portada!C6</f>
        <v>PRESUPUESTO PARA LA CONSTRUCCION DE SALON SOCIAL EN LA COMUNIDAD DE NUEVA JERUSALEN</v>
      </c>
      <c r="C3" s="638"/>
      <c r="D3" s="638"/>
      <c r="E3" s="638"/>
      <c r="F3" s="638"/>
      <c r="G3" s="639"/>
      <c r="H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18" customHeight="1" thickBot="1">
      <c r="A4" s="23"/>
      <c r="B4" s="734" t="s">
        <v>81</v>
      </c>
      <c r="C4" s="735"/>
      <c r="D4" s="735"/>
      <c r="E4" s="735"/>
      <c r="F4" s="735"/>
      <c r="G4" s="736"/>
      <c r="H4" s="209"/>
      <c r="I4" s="210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 ht="18" customHeight="1">
      <c r="A5" s="23"/>
      <c r="B5" s="386" t="s">
        <v>13</v>
      </c>
      <c r="C5" s="387" t="s">
        <v>91</v>
      </c>
      <c r="D5" s="388" t="s">
        <v>93</v>
      </c>
      <c r="E5" s="389" t="s">
        <v>69</v>
      </c>
      <c r="F5" s="389" t="s">
        <v>94</v>
      </c>
      <c r="G5" s="390" t="s">
        <v>95</v>
      </c>
      <c r="H5" s="210"/>
      <c r="I5" s="210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 ht="12.75" customHeight="1">
      <c r="A6" s="23"/>
      <c r="B6" s="391">
        <f>' Cuadro Resumen Cantidades Obra'!B5</f>
        <v>1</v>
      </c>
      <c r="C6" s="737" t="s">
        <v>5</v>
      </c>
      <c r="D6" s="666"/>
      <c r="E6" s="666"/>
      <c r="F6" s="666"/>
      <c r="G6" s="711"/>
      <c r="H6" s="210"/>
      <c r="I6" s="210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 ht="12.75" customHeight="1">
      <c r="A7" s="33"/>
      <c r="B7" s="471">
        <f>' Cuadro Resumen Cantidades Obra'!B6</f>
        <v>1.1000000000000001</v>
      </c>
      <c r="C7" s="462" t="str">
        <f>' Cuadro Resumen Cantidades Obra'!C6</f>
        <v>Campamento en lámina de zinc</v>
      </c>
      <c r="D7" s="36" t="str">
        <f>' Cuadro Resumen Cantidades Obra'!D6</f>
        <v>M2</v>
      </c>
      <c r="E7" s="42">
        <f>' Cuadro Resumen Cantidades Obra'!E6</f>
        <v>136</v>
      </c>
      <c r="F7" s="561">
        <f>'1.1'!H30</f>
        <v>89823</v>
      </c>
      <c r="G7" s="548">
        <f>(E7*F7)</f>
        <v>12215928</v>
      </c>
      <c r="H7" s="210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ht="12.75" customHeight="1">
      <c r="A8" s="33"/>
      <c r="B8" s="471">
        <f>' Cuadro Resumen Cantidades Obra'!B7</f>
        <v>1.2</v>
      </c>
      <c r="C8" s="462" t="str">
        <f>' Cuadro Resumen Cantidades Obra'!C7</f>
        <v>Servicios Provisionales hidrosanitarios y de energia</v>
      </c>
      <c r="D8" s="36" t="str">
        <f>' Cuadro Resumen Cantidades Obra'!D7</f>
        <v>GB</v>
      </c>
      <c r="E8" s="37">
        <f>' Cuadro Resumen Cantidades Obra'!E7</f>
        <v>1</v>
      </c>
      <c r="F8" s="561">
        <f>'1.2'!H37</f>
        <v>2649282</v>
      </c>
      <c r="G8" s="548">
        <f t="shared" ref="G8:G11" si="0">(E8*F8)</f>
        <v>2649282</v>
      </c>
      <c r="H8" s="210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 ht="12.75" customHeight="1">
      <c r="A9" s="33"/>
      <c r="B9" s="471">
        <f>' Cuadro Resumen Cantidades Obra'!B8</f>
        <v>1.3</v>
      </c>
      <c r="C9" s="462" t="str">
        <f>' Cuadro Resumen Cantidades Obra'!C8</f>
        <v>Descapote de terreno de 220 m2 de área a 30 cm de profundidad</v>
      </c>
      <c r="D9" s="36" t="str">
        <f>' Cuadro Resumen Cantidades Obra'!D8</f>
        <v>M2</v>
      </c>
      <c r="E9" s="37">
        <f>' Cuadro Resumen Cantidades Obra'!E8</f>
        <v>220</v>
      </c>
      <c r="F9" s="561">
        <f>'1.3'!H30</f>
        <v>7546</v>
      </c>
      <c r="G9" s="548">
        <f t="shared" si="0"/>
        <v>1660120</v>
      </c>
      <c r="H9" s="210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  <row r="10" spans="1:24" ht="12.75" customHeight="1">
      <c r="A10" s="33"/>
      <c r="B10" s="471">
        <f>' Cuadro Resumen Cantidades Obra'!B9</f>
        <v>1.4</v>
      </c>
      <c r="C10" s="462" t="str">
        <f>' Cuadro Resumen Cantidades Obra'!C9</f>
        <v>Replanteo, alineación y nivelación del terreno</v>
      </c>
      <c r="D10" s="36" t="str">
        <f>' Cuadro Resumen Cantidades Obra'!D9</f>
        <v>M2</v>
      </c>
      <c r="E10" s="37">
        <f>' Cuadro Resumen Cantidades Obra'!E9</f>
        <v>220</v>
      </c>
      <c r="F10" s="561">
        <f>'1.4'!H30</f>
        <v>11516</v>
      </c>
      <c r="G10" s="548">
        <f t="shared" si="0"/>
        <v>2533520</v>
      </c>
      <c r="H10" s="383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</row>
    <row r="11" spans="1:24" ht="12.75" customHeight="1" thickBot="1">
      <c r="A11" s="33"/>
      <c r="B11" s="471">
        <f>' Cuadro Resumen Cantidades Obra'!B10</f>
        <v>1.5</v>
      </c>
      <c r="C11" s="462" t="str">
        <f>' Cuadro Resumen Cantidades Obra'!C10</f>
        <v>Cerramiento con postes de madera y lona verde, altura de 2 mts</v>
      </c>
      <c r="D11" s="36" t="str">
        <f>' Cuadro Resumen Cantidades Obra'!D10</f>
        <v>ML</v>
      </c>
      <c r="E11" s="37">
        <f>' Cuadro Resumen Cantidades Obra'!E10</f>
        <v>132</v>
      </c>
      <c r="F11" s="562">
        <f>'1.5'!H30</f>
        <v>12406</v>
      </c>
      <c r="G11" s="548">
        <f t="shared" si="0"/>
        <v>1637592</v>
      </c>
      <c r="H11" s="383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4" ht="12.75" customHeight="1" thickBot="1">
      <c r="A12" s="23"/>
      <c r="B12" s="712"/>
      <c r="C12" s="667"/>
      <c r="D12" s="733" t="s">
        <v>108</v>
      </c>
      <c r="E12" s="672"/>
      <c r="F12" s="714"/>
      <c r="G12" s="565">
        <f>SUM(G7:G11)</f>
        <v>20696442</v>
      </c>
      <c r="H12" s="383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</row>
    <row r="13" spans="1:24" ht="12.75" customHeight="1">
      <c r="A13" s="23"/>
      <c r="B13" s="391">
        <f>' Cuadro Resumen Cantidades Obra'!B11</f>
        <v>2</v>
      </c>
      <c r="C13" s="707" t="str">
        <f>' Cuadro Resumen Cantidades Obra'!C11</f>
        <v>MOVIMIENTO DE TIERRAS</v>
      </c>
      <c r="D13" s="666"/>
      <c r="E13" s="666"/>
      <c r="F13" s="666"/>
      <c r="G13" s="711"/>
      <c r="H13" s="383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4" ht="12.75" customHeight="1">
      <c r="A14" s="33"/>
      <c r="B14" s="471">
        <f>' Cuadro Resumen Cantidades Obra'!B12</f>
        <v>2.1</v>
      </c>
      <c r="C14" s="462" t="str">
        <f>' Cuadro Resumen Cantidades Obra'!C12</f>
        <v>Excavación manual, profundidad inferior a un metro</v>
      </c>
      <c r="D14" s="497" t="str">
        <f>' Cuadro Resumen Cantidades Obra'!D12</f>
        <v>M3</v>
      </c>
      <c r="E14" s="498">
        <f>' Cuadro Resumen Cantidades Obra'!E12</f>
        <v>73.614000000000004</v>
      </c>
      <c r="F14" s="563">
        <f>'2.1'!H30</f>
        <v>33954</v>
      </c>
      <c r="G14" s="548">
        <f>E14*F14</f>
        <v>2499489.7560000001</v>
      </c>
      <c r="H14" s="383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</row>
    <row r="15" spans="1:24" ht="12.75" customHeight="1">
      <c r="A15" s="33"/>
      <c r="B15" s="471">
        <f>' Cuadro Resumen Cantidades Obra'!B13</f>
        <v>2.2000000000000002</v>
      </c>
      <c r="C15" s="462" t="str">
        <f>' Cuadro Resumen Cantidades Obra'!C13</f>
        <v>Cargue manual y retiro de escombro</v>
      </c>
      <c r="D15" s="497" t="str">
        <f>' Cuadro Resumen Cantidades Obra'!D13</f>
        <v>M3</v>
      </c>
      <c r="E15" s="498">
        <f>' Cuadro Resumen Cantidades Obra'!E13</f>
        <v>73.614000000000004</v>
      </c>
      <c r="F15" s="563">
        <f>'2.2'!H30</f>
        <v>37442</v>
      </c>
      <c r="G15" s="548">
        <f t="shared" ref="G15:G16" si="1">E15*F15</f>
        <v>2756255.3880000003</v>
      </c>
      <c r="H15" s="383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12.75" customHeight="1" thickBot="1">
      <c r="A16" s="33"/>
      <c r="B16" s="471">
        <f>' Cuadro Resumen Cantidades Obra'!B14</f>
        <v>2.2999999999999998</v>
      </c>
      <c r="C16" s="462" t="str">
        <f>' Cuadro Resumen Cantidades Obra'!C14</f>
        <v>Rellenos con material de río, compactación manual</v>
      </c>
      <c r="D16" s="497" t="str">
        <f>' Cuadro Resumen Cantidades Obra'!D14</f>
        <v>M3</v>
      </c>
      <c r="E16" s="498">
        <f>' Cuadro Resumen Cantidades Obra'!E14</f>
        <v>17.158999999999999</v>
      </c>
      <c r="F16" s="564">
        <f>'2.3'!H30</f>
        <v>158579</v>
      </c>
      <c r="G16" s="548">
        <f t="shared" si="1"/>
        <v>2721057.0609999998</v>
      </c>
      <c r="H16" s="383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24" ht="12.75" customHeight="1" thickBot="1">
      <c r="A17" s="61"/>
      <c r="B17" s="392"/>
      <c r="C17" s="63"/>
      <c r="D17" s="733" t="s">
        <v>108</v>
      </c>
      <c r="E17" s="672"/>
      <c r="F17" s="714"/>
      <c r="G17" s="565">
        <f>SUM(G14:G16)</f>
        <v>7976802.2050000001</v>
      </c>
      <c r="H17" s="383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</row>
    <row r="18" spans="1:24" ht="12.75" customHeight="1">
      <c r="A18" s="23"/>
      <c r="B18" s="391">
        <f>' Cuadro Resumen Cantidades Obra'!B15</f>
        <v>3</v>
      </c>
      <c r="C18" s="707" t="str">
        <f>' Cuadro Resumen Cantidades Obra'!C15</f>
        <v>RED SANITARIA</v>
      </c>
      <c r="D18" s="666"/>
      <c r="E18" s="666"/>
      <c r="F18" s="666"/>
      <c r="G18" s="711"/>
      <c r="H18" s="383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</row>
    <row r="19" spans="1:24" ht="12.75" customHeight="1">
      <c r="A19" s="33"/>
      <c r="B19" s="471">
        <f>' Cuadro Resumen Cantidades Obra'!B16</f>
        <v>3.1</v>
      </c>
      <c r="C19" s="462" t="str">
        <f>' Cuadro Resumen Cantidades Obra'!C16</f>
        <v>Caja de inspección en concreto 100X100X100</v>
      </c>
      <c r="D19" s="36" t="str">
        <f>' Cuadro Resumen Cantidades Obra'!D16</f>
        <v>UND</v>
      </c>
      <c r="E19" s="64">
        <f>' Cuadro Resumen Cantidades Obra'!E16</f>
        <v>2</v>
      </c>
      <c r="F19" s="561">
        <f>'3.1'!H30</f>
        <v>296550</v>
      </c>
      <c r="G19" s="548">
        <f>E19*F19</f>
        <v>593100</v>
      </c>
      <c r="H19" s="383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ht="12.75" customHeight="1">
      <c r="A20" s="33"/>
      <c r="B20" s="471">
        <f>' Cuadro Resumen Cantidades Obra'!B17</f>
        <v>3.2</v>
      </c>
      <c r="C20" s="462" t="str">
        <f>' Cuadro Resumen Cantidades Obra'!C17</f>
        <v>Red sanitaria tuberia PVC 4"</v>
      </c>
      <c r="D20" s="36" t="str">
        <f>' Cuadro Resumen Cantidades Obra'!D17</f>
        <v>ML</v>
      </c>
      <c r="E20" s="64">
        <f>' Cuadro Resumen Cantidades Obra'!E17</f>
        <v>36.410000000000004</v>
      </c>
      <c r="F20" s="561">
        <f>'3.2'!H31</f>
        <v>70997</v>
      </c>
      <c r="G20" s="548">
        <f t="shared" ref="G20:G25" si="2">E20*F20</f>
        <v>2585000.7700000005</v>
      </c>
      <c r="H20" s="383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spans="1:24" ht="12.75" customHeight="1">
      <c r="A21" s="33"/>
      <c r="B21" s="471">
        <f>' Cuadro Resumen Cantidades Obra'!B18</f>
        <v>3.3</v>
      </c>
      <c r="C21" s="462" t="str">
        <f>' Cuadro Resumen Cantidades Obra'!C18</f>
        <v>Red sanitaria tuberia PVC 2"</v>
      </c>
      <c r="D21" s="36" t="str">
        <f>' Cuadro Resumen Cantidades Obra'!D18</f>
        <v>ML</v>
      </c>
      <c r="E21" s="64">
        <f>' Cuadro Resumen Cantidades Obra'!E18</f>
        <v>34.33</v>
      </c>
      <c r="F21" s="561">
        <f>'3.3'!H31</f>
        <v>59696</v>
      </c>
      <c r="G21" s="548">
        <f t="shared" si="2"/>
        <v>2049363.68</v>
      </c>
      <c r="H21" s="383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spans="1:24" ht="12.75" customHeight="1">
      <c r="A22" s="33"/>
      <c r="B22" s="471">
        <f>' Cuadro Resumen Cantidades Obra'!B19</f>
        <v>3.4</v>
      </c>
      <c r="C22" s="462" t="str">
        <f>' Cuadro Resumen Cantidades Obra'!C19</f>
        <v>Salida sanitaria en PVC de 4"</v>
      </c>
      <c r="D22" s="36" t="str">
        <f>' Cuadro Resumen Cantidades Obra'!D19</f>
        <v>UND</v>
      </c>
      <c r="E22" s="64">
        <f>' Cuadro Resumen Cantidades Obra'!E19</f>
        <v>9</v>
      </c>
      <c r="F22" s="561">
        <f>'3.4'!H32</f>
        <v>97570</v>
      </c>
      <c r="G22" s="548">
        <f t="shared" si="2"/>
        <v>878130</v>
      </c>
      <c r="H22" s="383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spans="1:24" ht="12.75" customHeight="1">
      <c r="A23" s="33"/>
      <c r="B23" s="471">
        <f>' Cuadro Resumen Cantidades Obra'!B20</f>
        <v>3.5</v>
      </c>
      <c r="C23" s="462" t="str">
        <f>' Cuadro Resumen Cantidades Obra'!C20</f>
        <v>Salida sanitaria en PVC de 2"</v>
      </c>
      <c r="D23" s="36" t="str">
        <f>' Cuadro Resumen Cantidades Obra'!D20</f>
        <v>UND</v>
      </c>
      <c r="E23" s="64">
        <f>' Cuadro Resumen Cantidades Obra'!E20</f>
        <v>16</v>
      </c>
      <c r="F23" s="561">
        <f>'3.5'!H32</f>
        <v>74963</v>
      </c>
      <c r="G23" s="548">
        <f t="shared" si="2"/>
        <v>1199408</v>
      </c>
      <c r="H23" s="383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spans="1:24" ht="12.75" customHeight="1">
      <c r="A24" s="33"/>
      <c r="B24" s="471">
        <f>' Cuadro Resumen Cantidades Obra'!B21</f>
        <v>3.6</v>
      </c>
      <c r="C24" s="462" t="str">
        <f>' Cuadro Resumen Cantidades Obra'!C21</f>
        <v>Red de aguas lluvias en tuberia PVC de 3"</v>
      </c>
      <c r="D24" s="36" t="str">
        <f>' Cuadro Resumen Cantidades Obra'!D21</f>
        <v>ML</v>
      </c>
      <c r="E24" s="64">
        <f>' Cuadro Resumen Cantidades Obra'!E21</f>
        <v>7.82</v>
      </c>
      <c r="F24" s="561">
        <f>'3.6'!H30</f>
        <v>56946</v>
      </c>
      <c r="G24" s="548">
        <f t="shared" si="2"/>
        <v>445317.72000000003</v>
      </c>
      <c r="H24" s="383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spans="1:24" ht="12.75" customHeight="1" thickBot="1">
      <c r="A25" s="33"/>
      <c r="B25" s="471">
        <f>' Cuadro Resumen Cantidades Obra'!B22</f>
        <v>3.7</v>
      </c>
      <c r="C25" s="462" t="str">
        <f>' Cuadro Resumen Cantidades Obra'!C22</f>
        <v>Salida de aguas lluvias en tuberia PVC de 3"</v>
      </c>
      <c r="D25" s="36" t="str">
        <f>' Cuadro Resumen Cantidades Obra'!D22</f>
        <v>UND</v>
      </c>
      <c r="E25" s="64">
        <f>' Cuadro Resumen Cantidades Obra'!E22</f>
        <v>6</v>
      </c>
      <c r="F25" s="562">
        <f>'3.7'!H31</f>
        <v>61572.5</v>
      </c>
      <c r="G25" s="548">
        <f t="shared" si="2"/>
        <v>369435</v>
      </c>
      <c r="H25" s="383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spans="1:24" ht="12.75" customHeight="1" thickBot="1">
      <c r="A26" s="23"/>
      <c r="B26" s="712"/>
      <c r="C26" s="667"/>
      <c r="D26" s="713" t="s">
        <v>108</v>
      </c>
      <c r="E26" s="672"/>
      <c r="F26" s="714"/>
      <c r="G26" s="549">
        <f>SUM(G19:G25)</f>
        <v>8119755.1699999999</v>
      </c>
      <c r="H26" s="383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spans="1:24" ht="12.75" customHeight="1">
      <c r="A27" s="23"/>
      <c r="B27" s="391">
        <f>' Cuadro Resumen Cantidades Obra'!B23</f>
        <v>4</v>
      </c>
      <c r="C27" s="707" t="str">
        <f>' Cuadro Resumen Cantidades Obra'!C23</f>
        <v>RED HIDRAULICA</v>
      </c>
      <c r="D27" s="666"/>
      <c r="E27" s="666"/>
      <c r="F27" s="666"/>
      <c r="G27" s="711"/>
      <c r="H27" s="383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spans="1:24" ht="12.75" customHeight="1">
      <c r="A28" s="33"/>
      <c r="B28" s="471">
        <f>' Cuadro Resumen Cantidades Obra'!B24</f>
        <v>4.0999999999999996</v>
      </c>
      <c r="C28" s="462" t="str">
        <f>' Cuadro Resumen Cantidades Obra'!C24</f>
        <v>Red hidraulica en tuberia PVC presión de 1/2 "</v>
      </c>
      <c r="D28" s="74" t="str">
        <f>' Cuadro Resumen Cantidades Obra'!D24</f>
        <v>ML</v>
      </c>
      <c r="E28" s="75">
        <f>' Cuadro Resumen Cantidades Obra'!E24</f>
        <v>37.72999999999999</v>
      </c>
      <c r="F28" s="552">
        <f>'4.1'!H31</f>
        <v>17100</v>
      </c>
      <c r="G28" s="548">
        <f>E28*F28</f>
        <v>645182.99999999977</v>
      </c>
      <c r="H28" s="383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12.75" customHeight="1" thickBot="1">
      <c r="A29" s="33"/>
      <c r="B29" s="471">
        <f>' Cuadro Resumen Cantidades Obra'!B25</f>
        <v>4.2</v>
      </c>
      <c r="C29" s="462" t="str">
        <f>' Cuadro Resumen Cantidades Obra'!C25</f>
        <v>Punto de agua fria en tuberia PVC de 1/2 "</v>
      </c>
      <c r="D29" s="74" t="str">
        <f>' Cuadro Resumen Cantidades Obra'!D25</f>
        <v>UND</v>
      </c>
      <c r="E29" s="75">
        <f>' Cuadro Resumen Cantidades Obra'!E25</f>
        <v>19</v>
      </c>
      <c r="F29" s="552">
        <f>'4.2'!H31</f>
        <v>64749</v>
      </c>
      <c r="G29" s="548">
        <f>E29*F29</f>
        <v>1230231</v>
      </c>
      <c r="H29" s="383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12.75" customHeight="1" thickBot="1">
      <c r="A30" s="23"/>
      <c r="B30" s="712"/>
      <c r="C30" s="667"/>
      <c r="D30" s="713" t="s">
        <v>108</v>
      </c>
      <c r="E30" s="672"/>
      <c r="F30" s="714"/>
      <c r="G30" s="549">
        <f>SUM(G28:G29)</f>
        <v>1875413.9999999998</v>
      </c>
      <c r="H30" s="383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12.75" customHeight="1">
      <c r="A31" s="23"/>
      <c r="B31" s="391">
        <f>' Cuadro Resumen Cantidades Obra'!B26</f>
        <v>5</v>
      </c>
      <c r="C31" s="707" t="str">
        <f>' Cuadro Resumen Cantidades Obra'!C26</f>
        <v>ESTRUCTURA EN CONCRETO REFORZADO</v>
      </c>
      <c r="D31" s="666"/>
      <c r="E31" s="666"/>
      <c r="F31" s="666"/>
      <c r="G31" s="711"/>
      <c r="H31" s="383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12.75" customHeight="1">
      <c r="A32" s="33"/>
      <c r="B32" s="471">
        <f>' Cuadro Resumen Cantidades Obra'!B27</f>
        <v>5.0999999999999996</v>
      </c>
      <c r="C32" s="462" t="str">
        <f>' Cuadro Resumen Cantidades Obra'!C27</f>
        <v>Concreto ciclopeo 60/40</v>
      </c>
      <c r="D32" s="74" t="str">
        <f>' Cuadro Resumen Cantidades Obra'!D27</f>
        <v>M3</v>
      </c>
      <c r="E32" s="75">
        <f>' Cuadro Resumen Cantidades Obra'!E27</f>
        <v>39.86</v>
      </c>
      <c r="F32" s="552">
        <f>'5.1'!H30</f>
        <v>336437</v>
      </c>
      <c r="G32" s="548">
        <f>E32*F32</f>
        <v>13410378.82</v>
      </c>
      <c r="H32" s="383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12.75" customHeight="1">
      <c r="A33" s="33"/>
      <c r="B33" s="471">
        <f>' Cuadro Resumen Cantidades Obra'!B28</f>
        <v>5.2</v>
      </c>
      <c r="C33" s="462" t="str">
        <f>' Cuadro Resumen Cantidades Obra'!C28</f>
        <v>Acero de refuerzo, incluye alambre de amarre</v>
      </c>
      <c r="D33" s="74" t="str">
        <f>' Cuadro Resumen Cantidades Obra'!D28</f>
        <v>KG</v>
      </c>
      <c r="E33" s="75">
        <f>' Cuadro Resumen Cantidades Obra'!E28</f>
        <v>6142.3339999999998</v>
      </c>
      <c r="F33" s="552">
        <f>'5.2'!H30</f>
        <v>5164</v>
      </c>
      <c r="G33" s="548">
        <f t="shared" ref="G33:G40" si="3">E33*F33</f>
        <v>31719012.776000001</v>
      </c>
      <c r="H33" s="383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12.75" customHeight="1">
      <c r="A34" s="33"/>
      <c r="B34" s="471">
        <f>' Cuadro Resumen Cantidades Obra'!B29</f>
        <v>5.3</v>
      </c>
      <c r="C34" s="462" t="str">
        <f>' Cuadro Resumen Cantidades Obra'!C29</f>
        <v xml:space="preserve">Concreto para vigas de cimentación </v>
      </c>
      <c r="D34" s="74" t="str">
        <f>' Cuadro Resumen Cantidades Obra'!D29</f>
        <v>M3</v>
      </c>
      <c r="E34" s="75">
        <f>' Cuadro Resumen Cantidades Obra'!E29</f>
        <v>15</v>
      </c>
      <c r="F34" s="552">
        <f>'5.3'!H34</f>
        <v>377192</v>
      </c>
      <c r="G34" s="548">
        <f t="shared" si="3"/>
        <v>5657880</v>
      </c>
      <c r="H34" s="383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12.75" customHeight="1">
      <c r="A35" s="33"/>
      <c r="B35" s="471">
        <f>' Cuadro Resumen Cantidades Obra'!B30</f>
        <v>5.4</v>
      </c>
      <c r="C35" s="462" t="str">
        <f>' Cuadro Resumen Cantidades Obra'!C30</f>
        <v>Concreto para placa de piso, incluye malla electrosol</v>
      </c>
      <c r="D35" s="74" t="str">
        <f>' Cuadro Resumen Cantidades Obra'!D30</f>
        <v>M2</v>
      </c>
      <c r="E35" s="75">
        <f>' Cuadro Resumen Cantidades Obra'!E30</f>
        <v>220</v>
      </c>
      <c r="F35" s="552">
        <f>'5.4'!H31</f>
        <v>31023</v>
      </c>
      <c r="G35" s="548">
        <f t="shared" si="3"/>
        <v>6825060</v>
      </c>
      <c r="H35" s="383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12.75" customHeight="1">
      <c r="A36" s="33"/>
      <c r="B36" s="471">
        <f>' Cuadro Resumen Cantidades Obra'!B31</f>
        <v>5.5</v>
      </c>
      <c r="C36" s="462" t="str">
        <f>' Cuadro Resumen Cantidades Obra'!C31</f>
        <v>Concreto para columnas</v>
      </c>
      <c r="D36" s="74" t="str">
        <f>' Cuadro Resumen Cantidades Obra'!D31</f>
        <v>M3</v>
      </c>
      <c r="E36" s="75">
        <f>' Cuadro Resumen Cantidades Obra'!E31</f>
        <v>4.25</v>
      </c>
      <c r="F36" s="552">
        <f>'5.5'!H34</f>
        <v>718655</v>
      </c>
      <c r="G36" s="548">
        <f t="shared" si="3"/>
        <v>3054283.75</v>
      </c>
      <c r="H36" s="383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12.75" customHeight="1">
      <c r="A37" s="33"/>
      <c r="B37" s="471">
        <f>' Cuadro Resumen Cantidades Obra'!B32</f>
        <v>5.6</v>
      </c>
      <c r="C37" s="462" t="str">
        <f>' Cuadro Resumen Cantidades Obra'!C32</f>
        <v>Concreto para viga de entrepiso</v>
      </c>
      <c r="D37" s="74" t="str">
        <f>' Cuadro Resumen Cantidades Obra'!D32</f>
        <v>M3</v>
      </c>
      <c r="E37" s="75">
        <f>' Cuadro Resumen Cantidades Obra'!E32</f>
        <v>6.77</v>
      </c>
      <c r="F37" s="552">
        <f>'5.6'!H34</f>
        <v>768641</v>
      </c>
      <c r="G37" s="548">
        <f t="shared" si="3"/>
        <v>5203699.5699999994</v>
      </c>
      <c r="H37" s="383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12.75" customHeight="1">
      <c r="A38" s="33"/>
      <c r="B38" s="471">
        <f>' Cuadro Resumen Cantidades Obra'!B33</f>
        <v>5.7</v>
      </c>
      <c r="C38" s="462" t="str">
        <f>' Cuadro Resumen Cantidades Obra'!C33</f>
        <v>Concreto para viga a nivel de culata</v>
      </c>
      <c r="D38" s="74" t="str">
        <f>' Cuadro Resumen Cantidades Obra'!D33</f>
        <v>M3</v>
      </c>
      <c r="E38" s="75">
        <f>' Cuadro Resumen Cantidades Obra'!E33</f>
        <v>2.3260000000000001</v>
      </c>
      <c r="F38" s="552">
        <f>'5.7'!H35</f>
        <v>435218</v>
      </c>
      <c r="G38" s="548">
        <f t="shared" si="3"/>
        <v>1012317.0680000001</v>
      </c>
      <c r="H38" s="383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12.75" customHeight="1">
      <c r="A39" s="33"/>
      <c r="B39" s="471">
        <f>' Cuadro Resumen Cantidades Obra'!B34</f>
        <v>5.8</v>
      </c>
      <c r="C39" s="462" t="str">
        <f>' Cuadro Resumen Cantidades Obra'!C34</f>
        <v xml:space="preserve">Meson de concreto, e=10 cms, Ancho 60 cm </v>
      </c>
      <c r="D39" s="74" t="str">
        <f>' Cuadro Resumen Cantidades Obra'!D34</f>
        <v>M2</v>
      </c>
      <c r="E39" s="75">
        <f>' Cuadro Resumen Cantidades Obra'!E34</f>
        <v>2.2799999999999998</v>
      </c>
      <c r="F39" s="552">
        <f>'5.8'!H35</f>
        <v>332959</v>
      </c>
      <c r="G39" s="548">
        <f t="shared" si="3"/>
        <v>759146.5199999999</v>
      </c>
      <c r="H39" s="383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s="442" customFormat="1" ht="12.75" customHeight="1" thickBot="1">
      <c r="A40" s="33"/>
      <c r="B40" s="471">
        <f>' Cuadro Resumen Cantidades Obra'!B35</f>
        <v>5.9</v>
      </c>
      <c r="C40" s="462" t="str">
        <f>' Cuadro Resumen Cantidades Obra'!C35</f>
        <v>Estructura placa facil para entrepiso</v>
      </c>
      <c r="D40" s="74" t="str">
        <f>' Cuadro Resumen Cantidades Obra'!D35</f>
        <v>M2</v>
      </c>
      <c r="E40" s="75">
        <f>' Cuadro Resumen Cantidades Obra'!E35</f>
        <v>220</v>
      </c>
      <c r="F40" s="552">
        <f>'5.9'!H32</f>
        <v>123912</v>
      </c>
      <c r="G40" s="548">
        <f t="shared" si="3"/>
        <v>27260640</v>
      </c>
      <c r="H40" s="383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12.75" customHeight="1" thickBot="1">
      <c r="A41" s="23"/>
      <c r="B41" s="712"/>
      <c r="C41" s="667"/>
      <c r="D41" s="713" t="s">
        <v>108</v>
      </c>
      <c r="E41" s="672"/>
      <c r="F41" s="714"/>
      <c r="G41" s="549">
        <f>SUM(G32:G40)</f>
        <v>94902418.504000008</v>
      </c>
      <c r="H41" s="383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12.75" customHeight="1">
      <c r="A42" s="23"/>
      <c r="B42" s="393">
        <f>' Cuadro Resumen Cantidades Obra'!B36</f>
        <v>6</v>
      </c>
      <c r="C42" s="699" t="str">
        <f>' Cuadro Resumen Cantidades Obra'!C36</f>
        <v>MAMPOSTERIA EN BLOQUE DE LADRILLO</v>
      </c>
      <c r="D42" s="700"/>
      <c r="E42" s="700"/>
      <c r="F42" s="700"/>
      <c r="G42" s="701"/>
      <c r="H42" s="383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12.75" customHeight="1">
      <c r="A43" s="33"/>
      <c r="B43" s="499">
        <f>' Cuadro Resumen Cantidades Obra'!B37</f>
        <v>6.1</v>
      </c>
      <c r="C43" s="464" t="str">
        <f>' Cuadro Resumen Cantidades Obra'!C37</f>
        <v xml:space="preserve">Muro en bloque de arcilla, espesor 12 centimetros </v>
      </c>
      <c r="D43" s="381" t="str">
        <f>' Cuadro Resumen Cantidades Obra'!D37</f>
        <v>M2</v>
      </c>
      <c r="E43" s="382">
        <f>' Cuadro Resumen Cantidades Obra'!E37</f>
        <v>371.63499999999999</v>
      </c>
      <c r="F43" s="557">
        <f>'6.1'!H31</f>
        <v>97640</v>
      </c>
      <c r="G43" s="559">
        <f>E43*F43</f>
        <v>36286441.399999999</v>
      </c>
      <c r="H43" s="383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12.75" customHeight="1">
      <c r="A44" s="33"/>
      <c r="B44" s="499">
        <f>' Cuadro Resumen Cantidades Obra'!B38</f>
        <v>6.2</v>
      </c>
      <c r="C44" s="464" t="str">
        <f>' Cuadro Resumen Cantidades Obra'!C38</f>
        <v xml:space="preserve">Pañetes de muros en mortero 1:4 impermeabilizado </v>
      </c>
      <c r="D44" s="381" t="str">
        <f>' Cuadro Resumen Cantidades Obra'!D38</f>
        <v>M2</v>
      </c>
      <c r="E44" s="382">
        <f>' Cuadro Resumen Cantidades Obra'!E38</f>
        <v>743.27</v>
      </c>
      <c r="F44" s="557">
        <f>'6.2'!H31</f>
        <v>54719</v>
      </c>
      <c r="G44" s="559">
        <f t="shared" ref="G44:G45" si="4">E44*F44</f>
        <v>40670991.130000003</v>
      </c>
      <c r="H44" s="383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12.75" customHeight="1" thickBot="1">
      <c r="A45" s="33"/>
      <c r="B45" s="499">
        <f>' Cuadro Resumen Cantidades Obra'!B39</f>
        <v>6.3</v>
      </c>
      <c r="C45" s="464" t="str">
        <f>' Cuadro Resumen Cantidades Obra'!C39</f>
        <v>Enchape ceramico para piso y pared</v>
      </c>
      <c r="D45" s="381" t="str">
        <f>' Cuadro Resumen Cantidades Obra'!D39</f>
        <v>M2</v>
      </c>
      <c r="E45" s="382">
        <f>' Cuadro Resumen Cantidades Obra'!E39</f>
        <v>739.19599999999991</v>
      </c>
      <c r="F45" s="557">
        <f>'6.3'!H30</f>
        <v>70584</v>
      </c>
      <c r="G45" s="559">
        <f t="shared" si="4"/>
        <v>52175410.463999994</v>
      </c>
      <c r="H45" s="383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12.75" customHeight="1" thickBot="1">
      <c r="A46" s="23"/>
      <c r="B46" s="702"/>
      <c r="C46" s="703"/>
      <c r="D46" s="704" t="s">
        <v>108</v>
      </c>
      <c r="E46" s="705"/>
      <c r="F46" s="706"/>
      <c r="G46" s="560">
        <f>SUM(G43:G45)</f>
        <v>129132842.99399999</v>
      </c>
      <c r="H46" s="383"/>
      <c r="I46" s="328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12.75" customHeight="1">
      <c r="A47" s="23"/>
      <c r="B47" s="391">
        <f>' Cuadro Resumen Cantidades Obra'!B40</f>
        <v>7</v>
      </c>
      <c r="C47" s="707" t="str">
        <f>' Cuadro Resumen Cantidades Obra'!C40</f>
        <v>INSTALACIÓN ELECTRICA</v>
      </c>
      <c r="D47" s="703"/>
      <c r="E47" s="703"/>
      <c r="F47" s="703"/>
      <c r="G47" s="708"/>
      <c r="H47" s="383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12.75" customHeight="1">
      <c r="A48" s="33"/>
      <c r="B48" s="500">
        <f>' Cuadro Resumen Cantidades Obra'!B41</f>
        <v>7.1</v>
      </c>
      <c r="C48" s="462" t="str">
        <f>' Cuadro Resumen Cantidades Obra'!C41</f>
        <v>Acometida al contador, incluye contador y accesorios</v>
      </c>
      <c r="D48" s="74" t="str">
        <f>' Cuadro Resumen Cantidades Obra'!D41</f>
        <v>GB</v>
      </c>
      <c r="E48" s="75">
        <f>' Cuadro Resumen Cantidades Obra'!E41</f>
        <v>1</v>
      </c>
      <c r="F48" s="552">
        <f>'7.1'!H33</f>
        <v>2029348</v>
      </c>
      <c r="G48" s="548">
        <f>E48*F48</f>
        <v>2029348</v>
      </c>
      <c r="H48" s="383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12.75" customHeight="1">
      <c r="A49" s="33"/>
      <c r="B49" s="471">
        <f>' Cuadro Resumen Cantidades Obra'!B42</f>
        <v>7.2</v>
      </c>
      <c r="C49" s="462" t="str">
        <f>' Cuadro Resumen Cantidades Obra'!C42</f>
        <v>Acometida del contador al tablero general</v>
      </c>
      <c r="D49" s="74" t="str">
        <f>' Cuadro Resumen Cantidades Obra'!D42</f>
        <v>ML</v>
      </c>
      <c r="E49" s="75">
        <f>' Cuadro Resumen Cantidades Obra'!E42</f>
        <v>10</v>
      </c>
      <c r="F49" s="552">
        <f>'7.2'!H30</f>
        <v>56291</v>
      </c>
      <c r="G49" s="548">
        <f t="shared" ref="G49:G56" si="5">E49*F49</f>
        <v>562910</v>
      </c>
      <c r="H49" s="383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12.75" customHeight="1">
      <c r="A50" s="33"/>
      <c r="B50" s="471">
        <f>' Cuadro Resumen Cantidades Obra'!B43</f>
        <v>7.3</v>
      </c>
      <c r="C50" s="462" t="str">
        <f>' Cuadro Resumen Cantidades Obra'!C43</f>
        <v>Puesta a tierra del tablero</v>
      </c>
      <c r="D50" s="74" t="str">
        <f>' Cuadro Resumen Cantidades Obra'!D43</f>
        <v>UND</v>
      </c>
      <c r="E50" s="75">
        <f>' Cuadro Resumen Cantidades Obra'!E43</f>
        <v>5</v>
      </c>
      <c r="F50" s="552">
        <f>'7.3'!H30</f>
        <v>322583</v>
      </c>
      <c r="G50" s="548">
        <f t="shared" si="5"/>
        <v>1612915</v>
      </c>
      <c r="H50" s="383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12.75" customHeight="1">
      <c r="A51" s="33"/>
      <c r="B51" s="471">
        <f>' Cuadro Resumen Cantidades Obra'!B44</f>
        <v>7.4</v>
      </c>
      <c r="C51" s="462" t="str">
        <f>' Cuadro Resumen Cantidades Obra'!C44</f>
        <v xml:space="preserve">Tablero general de distribución de 3 circuitos </v>
      </c>
      <c r="D51" s="74" t="str">
        <f>' Cuadro Resumen Cantidades Obra'!D44</f>
        <v>GB</v>
      </c>
      <c r="E51" s="75">
        <f>' Cuadro Resumen Cantidades Obra'!E44</f>
        <v>1</v>
      </c>
      <c r="F51" s="552">
        <f>'7.4'!H30</f>
        <v>650488</v>
      </c>
      <c r="G51" s="548">
        <f t="shared" si="5"/>
        <v>650488</v>
      </c>
      <c r="H51" s="383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12.75" customHeight="1">
      <c r="A52" s="33"/>
      <c r="B52" s="471">
        <f>' Cuadro Resumen Cantidades Obra'!B45</f>
        <v>7.5</v>
      </c>
      <c r="C52" s="462" t="str">
        <f>' Cuadro Resumen Cantidades Obra'!C45</f>
        <v xml:space="preserve">Red electrica de distribución, incluye accesorios </v>
      </c>
      <c r="D52" s="74" t="str">
        <f>' Cuadro Resumen Cantidades Obra'!D45</f>
        <v>ML</v>
      </c>
      <c r="E52" s="75">
        <f>' Cuadro Resumen Cantidades Obra'!E45</f>
        <v>220.09200000000001</v>
      </c>
      <c r="F52" s="552">
        <f>'7.5'!H30</f>
        <v>38688</v>
      </c>
      <c r="G52" s="548">
        <f t="shared" si="5"/>
        <v>8514919.2960000001</v>
      </c>
      <c r="H52" s="383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ht="12.75" customHeight="1">
      <c r="A53" s="33"/>
      <c r="B53" s="471">
        <f>' Cuadro Resumen Cantidades Obra'!B46</f>
        <v>7.6</v>
      </c>
      <c r="C53" s="462" t="str">
        <f>' Cuadro Resumen Cantidades Obra'!C46</f>
        <v>Salida toma trifilar para la estufa, incluye aparato</v>
      </c>
      <c r="D53" s="74" t="str">
        <f>' Cuadro Resumen Cantidades Obra'!D46</f>
        <v>UND</v>
      </c>
      <c r="E53" s="75">
        <f>' Cuadro Resumen Cantidades Obra'!E46</f>
        <v>1</v>
      </c>
      <c r="F53" s="552">
        <f>'7.6'!H30</f>
        <v>38257</v>
      </c>
      <c r="G53" s="548">
        <f t="shared" si="5"/>
        <v>38257</v>
      </c>
      <c r="H53" s="383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12.75" customHeight="1">
      <c r="A54" s="33"/>
      <c r="B54" s="471">
        <f>' Cuadro Resumen Cantidades Obra'!B47</f>
        <v>7.7</v>
      </c>
      <c r="C54" s="462" t="str">
        <f>' Cuadro Resumen Cantidades Obra'!C47</f>
        <v>Salida toma doble con polo a tierra, incluye aparato</v>
      </c>
      <c r="D54" s="74" t="str">
        <f>' Cuadro Resumen Cantidades Obra'!D47</f>
        <v>UND</v>
      </c>
      <c r="E54" s="75">
        <f>' Cuadro Resumen Cantidades Obra'!E47</f>
        <v>18</v>
      </c>
      <c r="F54" s="552">
        <f>'7.7'!H30</f>
        <v>68406</v>
      </c>
      <c r="G54" s="548">
        <f t="shared" si="5"/>
        <v>1231308</v>
      </c>
      <c r="H54" s="383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12.75" customHeight="1">
      <c r="A55" s="33"/>
      <c r="B55" s="471">
        <f>' Cuadro Resumen Cantidades Obra'!B48</f>
        <v>7.8</v>
      </c>
      <c r="C55" s="462" t="str">
        <f>' Cuadro Resumen Cantidades Obra'!C48</f>
        <v>Salida para iluminación, incluye aparato</v>
      </c>
      <c r="D55" s="74" t="str">
        <f>' Cuadro Resumen Cantidades Obra'!D48</f>
        <v>UND</v>
      </c>
      <c r="E55" s="75">
        <f>' Cuadro Resumen Cantidades Obra'!E48</f>
        <v>28</v>
      </c>
      <c r="F55" s="552">
        <f>'7.8'!H30</f>
        <v>66390</v>
      </c>
      <c r="G55" s="548">
        <f t="shared" si="5"/>
        <v>1858920</v>
      </c>
      <c r="H55" s="383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ht="12.75" customHeight="1" thickBot="1">
      <c r="A56" s="33"/>
      <c r="B56" s="471">
        <f>' Cuadro Resumen Cantidades Obra'!B49</f>
        <v>7.9</v>
      </c>
      <c r="C56" s="462" t="str">
        <f>' Cuadro Resumen Cantidades Obra'!C49</f>
        <v>Salida para interruptor, incluye aparato</v>
      </c>
      <c r="D56" s="82" t="str">
        <f>' Cuadro Resumen Cantidades Obra'!D49</f>
        <v>UND</v>
      </c>
      <c r="E56" s="83">
        <f>' Cuadro Resumen Cantidades Obra'!E49</f>
        <v>17</v>
      </c>
      <c r="F56" s="556">
        <f>'7.9'!H30</f>
        <v>67031</v>
      </c>
      <c r="G56" s="548">
        <f t="shared" si="5"/>
        <v>1139527</v>
      </c>
      <c r="H56" s="383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ht="12.75" customHeight="1" thickBot="1">
      <c r="A57" s="23"/>
      <c r="B57" s="712"/>
      <c r="C57" s="667"/>
      <c r="D57" s="713" t="s">
        <v>108</v>
      </c>
      <c r="E57" s="672"/>
      <c r="F57" s="714"/>
      <c r="G57" s="549">
        <f>SUM(G48:G56)</f>
        <v>17638592.296</v>
      </c>
      <c r="H57" s="383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ht="12.75" customHeight="1">
      <c r="A58" s="23"/>
      <c r="B58" s="391">
        <f>' Cuadro Resumen Cantidades Obra'!B50</f>
        <v>8</v>
      </c>
      <c r="C58" s="707" t="str">
        <f>' Cuadro Resumen Cantidades Obra'!C50</f>
        <v>CARPINTERIA METALICA</v>
      </c>
      <c r="D58" s="666"/>
      <c r="E58" s="666"/>
      <c r="F58" s="666"/>
      <c r="G58" s="711"/>
      <c r="H58" s="383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ht="12.75" customHeight="1">
      <c r="A59" s="33"/>
      <c r="B59" s="471">
        <f>' Cuadro Resumen Cantidades Obra'!B51</f>
        <v>8.1</v>
      </c>
      <c r="C59" s="462" t="str">
        <f>' Cuadro Resumen Cantidades Obra'!C51</f>
        <v>Ventaneria metalica, según diseño, inc. instalación</v>
      </c>
      <c r="D59" s="74" t="str">
        <f>' Cuadro Resumen Cantidades Obra'!D51</f>
        <v>M2</v>
      </c>
      <c r="E59" s="75">
        <f>' Cuadro Resumen Cantidades Obra'!E51</f>
        <v>28.6</v>
      </c>
      <c r="F59" s="552">
        <f>'8.1'!H30</f>
        <v>334599</v>
      </c>
      <c r="G59" s="548">
        <f>E59*F59</f>
        <v>9569531.4000000004</v>
      </c>
      <c r="H59" s="383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12.75" customHeight="1">
      <c r="A60" s="33"/>
      <c r="B60" s="471">
        <f>' Cuadro Resumen Cantidades Obra'!B52</f>
        <v>8.1999999999999993</v>
      </c>
      <c r="C60" s="462" t="str">
        <f>' Cuadro Resumen Cantidades Obra'!C52</f>
        <v>Puerta lámina / marco metalico,para Interiores incluye instalación</v>
      </c>
      <c r="D60" s="74" t="str">
        <f>' Cuadro Resumen Cantidades Obra'!D52</f>
        <v>UND</v>
      </c>
      <c r="E60" s="75">
        <f>' Cuadro Resumen Cantidades Obra'!E52</f>
        <v>6</v>
      </c>
      <c r="F60" s="552">
        <f>'8.2'!H30</f>
        <v>424613</v>
      </c>
      <c r="G60" s="548">
        <f t="shared" ref="G60:G68" si="6">E60*F60</f>
        <v>2547678</v>
      </c>
      <c r="H60" s="383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s="398" customFormat="1" ht="12.75" customHeight="1">
      <c r="A61" s="33"/>
      <c r="B61" s="471">
        <f>' Cuadro Resumen Cantidades Obra'!B53</f>
        <v>8.3000000000000007</v>
      </c>
      <c r="C61" s="462" t="str">
        <f>' Cuadro Resumen Cantidades Obra'!C53</f>
        <v>Puerta lámina porton doble para exteriores incluye instalación</v>
      </c>
      <c r="D61" s="74" t="str">
        <f>' Cuadro Resumen Cantidades Obra'!D53</f>
        <v>UND</v>
      </c>
      <c r="E61" s="75">
        <f>' Cuadro Resumen Cantidades Obra'!E53</f>
        <v>2</v>
      </c>
      <c r="F61" s="552">
        <f>'8.3'!H30</f>
        <v>884613</v>
      </c>
      <c r="G61" s="548">
        <f t="shared" si="6"/>
        <v>1769226</v>
      </c>
      <c r="H61" s="383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ht="12.75" customHeight="1">
      <c r="A62" s="33"/>
      <c r="B62" s="471">
        <f>' Cuadro Resumen Cantidades Obra'!B54</f>
        <v>8.4</v>
      </c>
      <c r="C62" s="462" t="str">
        <f>' Cuadro Resumen Cantidades Obra'!C54</f>
        <v xml:space="preserve">Divisiones sanitarias en acero inoxidable (Altura 1.80m) incluye instalación </v>
      </c>
      <c r="D62" s="74" t="str">
        <f>' Cuadro Resumen Cantidades Obra'!D54</f>
        <v>M2</v>
      </c>
      <c r="E62" s="75">
        <f>' Cuadro Resumen Cantidades Obra'!E54</f>
        <v>10.948</v>
      </c>
      <c r="F62" s="552">
        <f>'8.4'!H30</f>
        <v>488863</v>
      </c>
      <c r="G62" s="548">
        <f t="shared" si="6"/>
        <v>5352072.1239999998</v>
      </c>
      <c r="H62" s="383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ht="12.75" customHeight="1">
      <c r="A63" s="33"/>
      <c r="B63" s="471">
        <f>' Cuadro Resumen Cantidades Obra'!B55</f>
        <v>8.5</v>
      </c>
      <c r="C63" s="462" t="str">
        <f>' Cuadro Resumen Cantidades Obra'!C55</f>
        <v xml:space="preserve">Ventana tipo corredera de 4 hojas en aluminio, incluye instalación </v>
      </c>
      <c r="D63" s="74" t="str">
        <f>' Cuadro Resumen Cantidades Obra'!D55</f>
        <v>UND</v>
      </c>
      <c r="E63" s="75">
        <f>' Cuadro Resumen Cantidades Obra'!E55</f>
        <v>2</v>
      </c>
      <c r="F63" s="552">
        <f>'8.5'!H30</f>
        <v>868863</v>
      </c>
      <c r="G63" s="548">
        <f t="shared" si="6"/>
        <v>1737726</v>
      </c>
      <c r="H63" s="383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12.75" customHeight="1">
      <c r="A64" s="33"/>
      <c r="B64" s="471">
        <f>' Cuadro Resumen Cantidades Obra'!B56</f>
        <v>8.6</v>
      </c>
      <c r="C64" s="462" t="str">
        <f>' Cuadro Resumen Cantidades Obra'!C56</f>
        <v xml:space="preserve">Pasamano tipo barandal para balcon en acero inoxidable, incluye instalación </v>
      </c>
      <c r="D64" s="74" t="str">
        <f>' Cuadro Resumen Cantidades Obra'!D56</f>
        <v>ML</v>
      </c>
      <c r="E64" s="75">
        <f>' Cuadro Resumen Cantidades Obra'!E56</f>
        <v>10</v>
      </c>
      <c r="F64" s="552">
        <f>'8.6'!H30</f>
        <v>400432</v>
      </c>
      <c r="G64" s="548">
        <f t="shared" si="6"/>
        <v>4004320</v>
      </c>
      <c r="H64" s="383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s="398" customFormat="1" ht="12.75" customHeight="1">
      <c r="A65" s="33"/>
      <c r="B65" s="471">
        <f>' Cuadro Resumen Cantidades Obra'!B57</f>
        <v>8.6999999999999993</v>
      </c>
      <c r="C65" s="462" t="str">
        <f>' Cuadro Resumen Cantidades Obra'!C57</f>
        <v>Estructura metalica de cubierta, perfiles A500 Grado C para cercha</v>
      </c>
      <c r="D65" s="74" t="str">
        <f>' Cuadro Resumen Cantidades Obra'!D57</f>
        <v>ML</v>
      </c>
      <c r="E65" s="75">
        <f>' Cuadro Resumen Cantidades Obra'!E57</f>
        <v>188.85999999999999</v>
      </c>
      <c r="F65" s="552">
        <f>'8.7'!H30</f>
        <v>81625</v>
      </c>
      <c r="G65" s="548">
        <f t="shared" si="6"/>
        <v>15415697.499999998</v>
      </c>
      <c r="H65" s="383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12.75" customHeight="1">
      <c r="A66" s="33"/>
      <c r="B66" s="471">
        <f>' Cuadro Resumen Cantidades Obra'!B58</f>
        <v>8.8000000000000007</v>
      </c>
      <c r="C66" s="462" t="str">
        <f>' Cuadro Resumen Cantidades Obra'!C58</f>
        <v>Estructura metalica de cubierta, correas perfil C (espesor 1.5 mm)</v>
      </c>
      <c r="D66" s="74" t="str">
        <f>' Cuadro Resumen Cantidades Obra'!D58</f>
        <v>ML</v>
      </c>
      <c r="E66" s="75">
        <f>' Cuadro Resumen Cantidades Obra'!E58</f>
        <v>240</v>
      </c>
      <c r="F66" s="552">
        <f>'8.8'!H30</f>
        <v>23241</v>
      </c>
      <c r="G66" s="548">
        <f t="shared" si="6"/>
        <v>5577840</v>
      </c>
      <c r="H66" s="383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ht="12.75" customHeight="1">
      <c r="A67" s="33"/>
      <c r="B67" s="472">
        <f>' Cuadro Resumen Cantidades Obra'!B59</f>
        <v>8.9</v>
      </c>
      <c r="C67" s="463" t="str">
        <f>' Cuadro Resumen Cantidades Obra'!C59</f>
        <v xml:space="preserve">Cubierta de teja de fibro cemento ondulada perfil 7, inc instalación </v>
      </c>
      <c r="D67" s="82" t="str">
        <f>' Cuadro Resumen Cantidades Obra'!D59</f>
        <v>M2</v>
      </c>
      <c r="E67" s="83">
        <f>' Cuadro Resumen Cantidades Obra'!E59</f>
        <v>220</v>
      </c>
      <c r="F67" s="556">
        <f>'8.9'!H30</f>
        <v>59801</v>
      </c>
      <c r="G67" s="548">
        <f t="shared" si="6"/>
        <v>13156220</v>
      </c>
      <c r="H67" s="383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ht="12.75" customHeight="1">
      <c r="A68" s="33"/>
      <c r="B68" s="473">
        <f>' Cuadro Resumen Cantidades Obra'!B60</f>
        <v>8.1</v>
      </c>
      <c r="C68" s="464" t="str">
        <f>' Cuadro Resumen Cantidades Obra'!C60</f>
        <v xml:space="preserve">Canales y bajantes, incluye instalación </v>
      </c>
      <c r="D68" s="381" t="str">
        <f>' Cuadro Resumen Cantidades Obra'!D60</f>
        <v>ML</v>
      </c>
      <c r="E68" s="382">
        <f>' Cuadro Resumen Cantidades Obra'!E60</f>
        <v>60</v>
      </c>
      <c r="F68" s="557">
        <f>'8.10'!H33</f>
        <v>40120</v>
      </c>
      <c r="G68" s="548">
        <f t="shared" si="6"/>
        <v>2407200</v>
      </c>
      <c r="H68" s="383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ht="12.75" customHeight="1" thickBot="1">
      <c r="A69" s="23"/>
      <c r="B69" s="702"/>
      <c r="C69" s="715"/>
      <c r="D69" s="716" t="s">
        <v>108</v>
      </c>
      <c r="E69" s="717"/>
      <c r="F69" s="718"/>
      <c r="G69" s="558">
        <f>SUM(G59:G68)</f>
        <v>61537511.023999996</v>
      </c>
      <c r="H69" s="383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ht="12.75" customHeight="1">
      <c r="A70" s="23"/>
      <c r="B70" s="391">
        <f>' Cuadro Resumen Cantidades Obra'!B61</f>
        <v>9</v>
      </c>
      <c r="C70" s="707" t="str">
        <f>' Cuadro Resumen Cantidades Obra'!C61</f>
        <v>APARATOS SANITARIOS</v>
      </c>
      <c r="D70" s="666"/>
      <c r="E70" s="666"/>
      <c r="F70" s="666"/>
      <c r="G70" s="711"/>
      <c r="H70" s="383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12.75" customHeight="1">
      <c r="A71" s="33"/>
      <c r="B71" s="471">
        <f>' Cuadro Resumen Cantidades Obra'!B62</f>
        <v>9.1</v>
      </c>
      <c r="C71" s="462" t="str">
        <f>' Cuadro Resumen Cantidades Obra'!C62</f>
        <v>Taza y cisterna, incluye instalación y prueba</v>
      </c>
      <c r="D71" s="74" t="str">
        <f>' Cuadro Resumen Cantidades Obra'!D62</f>
        <v>UND</v>
      </c>
      <c r="E71" s="75">
        <f>' Cuadro Resumen Cantidades Obra'!E62</f>
        <v>9</v>
      </c>
      <c r="F71" s="552">
        <f>'9.1'!H30</f>
        <v>214403</v>
      </c>
      <c r="G71" s="548">
        <f>E71*F71</f>
        <v>1929627</v>
      </c>
      <c r="H71" s="383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13.15" customHeight="1">
      <c r="A72" s="33"/>
      <c r="B72" s="471">
        <f>' Cuadro Resumen Cantidades Obra'!B63</f>
        <v>9.1999999999999993</v>
      </c>
      <c r="C72" s="462" t="str">
        <f>' Cuadro Resumen Cantidades Obra'!C63</f>
        <v>Lavamanos con pedestal blanco, incluye griferia, (incluye instalación y prueba)</v>
      </c>
      <c r="D72" s="353" t="str">
        <f>' Cuadro Resumen Cantidades Obra'!D63</f>
        <v>UND</v>
      </c>
      <c r="E72" s="354">
        <f>' Cuadro Resumen Cantidades Obra'!E63</f>
        <v>3</v>
      </c>
      <c r="F72" s="555">
        <f>'9.2'!H30</f>
        <v>153853</v>
      </c>
      <c r="G72" s="548">
        <f>E72*F72</f>
        <v>461559</v>
      </c>
      <c r="H72" s="383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ht="12.75" customHeight="1">
      <c r="A73" s="33"/>
      <c r="B73" s="471">
        <f>' Cuadro Resumen Cantidades Obra'!B64</f>
        <v>9.3000000000000007</v>
      </c>
      <c r="C73" s="462" t="str">
        <f>' Cuadro Resumen Cantidades Obra'!C64</f>
        <v>Lavamanos dobles, incluye griferia, (incluye instalación y prueba)</v>
      </c>
      <c r="D73" s="353" t="str">
        <f>' Cuadro Resumen Cantidades Obra'!D64</f>
        <v>UND</v>
      </c>
      <c r="E73" s="354">
        <f>' Cuadro Resumen Cantidades Obra'!E64</f>
        <v>2</v>
      </c>
      <c r="F73" s="555">
        <f>'9.3'!H30</f>
        <v>181553</v>
      </c>
      <c r="G73" s="548">
        <f>E73*F73</f>
        <v>363106</v>
      </c>
      <c r="H73" s="383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12.75" customHeight="1" thickBot="1">
      <c r="A74" s="33"/>
      <c r="B74" s="471">
        <f>' Cuadro Resumen Cantidades Obra'!B65</f>
        <v>9.4</v>
      </c>
      <c r="C74" s="462" t="str">
        <f>' Cuadro Resumen Cantidades Obra'!C65</f>
        <v>Lavaplatos de insertar en el mesón de acero inoxidable, incluye griferia</v>
      </c>
      <c r="D74" s="353" t="str">
        <f>' Cuadro Resumen Cantidades Obra'!D65</f>
        <v>UND</v>
      </c>
      <c r="E74" s="354">
        <f>' Cuadro Resumen Cantidades Obra'!E65</f>
        <v>1</v>
      </c>
      <c r="F74" s="555">
        <f>'9.4'!H30</f>
        <v>394553</v>
      </c>
      <c r="G74" s="548">
        <f>E74*F74</f>
        <v>394553</v>
      </c>
      <c r="H74" s="383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12.75" customHeight="1" thickBot="1">
      <c r="A75" s="23"/>
      <c r="B75" s="712"/>
      <c r="C75" s="667"/>
      <c r="D75" s="713" t="s">
        <v>108</v>
      </c>
      <c r="E75" s="672"/>
      <c r="F75" s="714"/>
      <c r="G75" s="549">
        <f>SUM(G71:G74)</f>
        <v>3148845</v>
      </c>
      <c r="H75" s="383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12.75" customHeight="1">
      <c r="A76" s="23"/>
      <c r="B76" s="391">
        <f>' Cuadro Resumen Cantidades Obra'!B66</f>
        <v>10</v>
      </c>
      <c r="C76" s="707" t="str">
        <f>' Cuadro Resumen Cantidades Obra'!C66</f>
        <v>ACABADOS</v>
      </c>
      <c r="D76" s="666"/>
      <c r="E76" s="666"/>
      <c r="F76" s="666"/>
      <c r="G76" s="711"/>
      <c r="H76" s="383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12.75" customHeight="1">
      <c r="A77" s="33"/>
      <c r="B77" s="471">
        <v>10.1</v>
      </c>
      <c r="C77" s="460" t="str">
        <f>' Cuadro Resumen Cantidades Obra'!C67</f>
        <v>Espejo para el baño, incluye instalación (120x70 cm)</v>
      </c>
      <c r="D77" s="74" t="str">
        <f>' Cuadro Resumen Cantidades Obra'!D67</f>
        <v>UND</v>
      </c>
      <c r="E77" s="75">
        <f>' Cuadro Resumen Cantidades Obra'!E67</f>
        <v>2</v>
      </c>
      <c r="F77" s="552">
        <f>'10.1'!H30</f>
        <v>374421</v>
      </c>
      <c r="G77" s="548">
        <f t="shared" ref="G77:G85" si="7">E77*F77</f>
        <v>748842</v>
      </c>
      <c r="H77" s="383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s="323" customFormat="1" ht="12.75" customHeight="1">
      <c r="A78" s="33"/>
      <c r="B78" s="471">
        <v>10.199999999999999</v>
      </c>
      <c r="C78" s="460" t="str">
        <f>' Cuadro Resumen Cantidades Obra'!C68</f>
        <v>Espejo para el baño, incluye instalación (75x70 cm)</v>
      </c>
      <c r="D78" s="74" t="str">
        <f>' Cuadro Resumen Cantidades Obra'!D68</f>
        <v>UND</v>
      </c>
      <c r="E78" s="75">
        <f>' Cuadro Resumen Cantidades Obra'!E68</f>
        <v>3</v>
      </c>
      <c r="F78" s="552">
        <f>'10.2'!H30</f>
        <v>129263</v>
      </c>
      <c r="G78" s="548">
        <f t="shared" si="7"/>
        <v>387789</v>
      </c>
      <c r="H78" s="383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12.75" customHeight="1">
      <c r="A79" s="33"/>
      <c r="B79" s="471">
        <v>10.3</v>
      </c>
      <c r="C79" s="460" t="str">
        <f>' Cuadro Resumen Cantidades Obra'!C69</f>
        <v>Pintura puertas en esmalte, incluye hoja y marco</v>
      </c>
      <c r="D79" s="74" t="str">
        <f>' Cuadro Resumen Cantidades Obra'!D69</f>
        <v>UND</v>
      </c>
      <c r="E79" s="75">
        <f>' Cuadro Resumen Cantidades Obra'!E69</f>
        <v>1</v>
      </c>
      <c r="F79" s="552">
        <f>'10.3'!H30</f>
        <v>23750</v>
      </c>
      <c r="G79" s="548">
        <f t="shared" si="7"/>
        <v>23750</v>
      </c>
      <c r="H79" s="383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12.75" customHeight="1">
      <c r="A80" s="33"/>
      <c r="B80" s="471">
        <v>10.4</v>
      </c>
      <c r="C80" s="460" t="str">
        <f>' Cuadro Resumen Cantidades Obra'!C70</f>
        <v>Pintura estructura metálica de cubierta</v>
      </c>
      <c r="D80" s="74" t="str">
        <f>' Cuadro Resumen Cantidades Obra'!D70</f>
        <v>ML</v>
      </c>
      <c r="E80" s="75">
        <f>' Cuadro Resumen Cantidades Obra'!E70</f>
        <v>188.85999999999999</v>
      </c>
      <c r="F80" s="552">
        <f>'10.4'!H30</f>
        <v>11548</v>
      </c>
      <c r="G80" s="548">
        <f t="shared" si="7"/>
        <v>2180955.2799999998</v>
      </c>
      <c r="H80" s="383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12.75" customHeight="1">
      <c r="A81" s="33"/>
      <c r="B81" s="471">
        <v>10.5</v>
      </c>
      <c r="C81" s="460" t="str">
        <f>' Cuadro Resumen Cantidades Obra'!C71</f>
        <v>Pintura fachada en vinilo para exteriores</v>
      </c>
      <c r="D81" s="74" t="str">
        <f>' Cuadro Resumen Cantidades Obra'!D71</f>
        <v>M2</v>
      </c>
      <c r="E81" s="75">
        <f>' Cuadro Resumen Cantidades Obra'!E71</f>
        <v>226.26000000000002</v>
      </c>
      <c r="F81" s="552">
        <f>'10.5'!H30</f>
        <v>15381</v>
      </c>
      <c r="G81" s="548">
        <f t="shared" si="7"/>
        <v>3480105.0600000005</v>
      </c>
      <c r="H81" s="383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s="323" customFormat="1" ht="12.75" customHeight="1">
      <c r="A82" s="33"/>
      <c r="B82" s="471">
        <v>10.6</v>
      </c>
      <c r="C82" s="460" t="str">
        <f>' Cuadro Resumen Cantidades Obra'!C72</f>
        <v>Pintura en vinilo para interiores, 3 manos</v>
      </c>
      <c r="D82" s="74" t="str">
        <f>' Cuadro Resumen Cantidades Obra'!D72</f>
        <v>M2</v>
      </c>
      <c r="E82" s="75">
        <f>' Cuadro Resumen Cantidades Obra'!E72</f>
        <v>145.375</v>
      </c>
      <c r="F82" s="552">
        <f>'10.6'!H30</f>
        <v>13202</v>
      </c>
      <c r="G82" s="548">
        <f t="shared" si="7"/>
        <v>1919240.75</v>
      </c>
      <c r="H82" s="383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12.75" customHeight="1">
      <c r="A83" s="33"/>
      <c r="B83" s="471">
        <v>10.7</v>
      </c>
      <c r="C83" s="460" t="str">
        <f>' Cuadro Resumen Cantidades Obra'!C73</f>
        <v>Aseo grueso y diario</v>
      </c>
      <c r="D83" s="74" t="str">
        <f>' Cuadro Resumen Cantidades Obra'!D73</f>
        <v>GB</v>
      </c>
      <c r="E83" s="75">
        <f>' Cuadro Resumen Cantidades Obra'!E73</f>
        <v>1</v>
      </c>
      <c r="F83" s="552">
        <f>'10.7'!H30</f>
        <v>6790667</v>
      </c>
      <c r="G83" s="548">
        <f t="shared" si="7"/>
        <v>6790667</v>
      </c>
      <c r="H83" s="475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12.75" customHeight="1">
      <c r="A84" s="33"/>
      <c r="B84" s="471">
        <v>10.8</v>
      </c>
      <c r="C84" s="460" t="str">
        <f>' Cuadro Resumen Cantidades Obra'!C74</f>
        <v>Aseo fino para entrega de la obra</v>
      </c>
      <c r="D84" s="74" t="str">
        <f>' Cuadro Resumen Cantidades Obra'!D74</f>
        <v>GB</v>
      </c>
      <c r="E84" s="75">
        <f>' Cuadro Resumen Cantidades Obra'!E74</f>
        <v>1</v>
      </c>
      <c r="F84" s="552">
        <f>'10.8'!H30</f>
        <v>126195</v>
      </c>
      <c r="G84" s="548">
        <f t="shared" si="7"/>
        <v>126195</v>
      </c>
      <c r="H84" s="383"/>
      <c r="I84" s="328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12.75" customHeight="1" thickBot="1">
      <c r="A85" s="33"/>
      <c r="B85" s="471">
        <v>10.9</v>
      </c>
      <c r="C85" s="461" t="str">
        <f>' Cuadro Resumen Cantidades Obra'!C75</f>
        <v>Manual de mantenimiento del salon comunal</v>
      </c>
      <c r="D85" s="394" t="str">
        <f>' Cuadro Resumen Cantidades Obra'!D75</f>
        <v>GB</v>
      </c>
      <c r="E85" s="395">
        <f>' Cuadro Resumen Cantidades Obra'!E75</f>
        <v>1</v>
      </c>
      <c r="F85" s="553">
        <f>'10.9'!H30</f>
        <v>0</v>
      </c>
      <c r="G85" s="548">
        <f t="shared" si="7"/>
        <v>0</v>
      </c>
      <c r="H85" s="383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15" customHeight="1" thickBot="1">
      <c r="A86" s="33"/>
      <c r="B86" s="384"/>
      <c r="C86" s="385"/>
      <c r="D86" s="724" t="s">
        <v>108</v>
      </c>
      <c r="E86" s="725"/>
      <c r="F86" s="726"/>
      <c r="G86" s="554">
        <f>SUM(G77:G85)</f>
        <v>15657544.09</v>
      </c>
      <c r="H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15" customHeight="1" thickBot="1">
      <c r="A87" s="33"/>
      <c r="B87" s="93"/>
      <c r="C87" s="95"/>
      <c r="D87" s="273"/>
      <c r="E87" s="273"/>
      <c r="F87" s="273"/>
      <c r="G87" s="274"/>
      <c r="H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15" customHeight="1" thickBot="1">
      <c r="A88" s="97"/>
      <c r="B88" s="98"/>
      <c r="C88" s="719" t="s">
        <v>143</v>
      </c>
      <c r="D88" s="705"/>
      <c r="E88" s="705"/>
      <c r="F88" s="727"/>
      <c r="G88" s="550">
        <f>G12+G17+G26+G30+G41+G46+G57+G69+G75+G86</f>
        <v>360686167.28299993</v>
      </c>
      <c r="H88" s="476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s="485" customFormat="1" ht="15" customHeight="1" thickBot="1">
      <c r="A89" s="97"/>
      <c r="B89" s="98"/>
      <c r="C89" s="719" t="s">
        <v>385</v>
      </c>
      <c r="D89" s="720"/>
      <c r="E89" s="720"/>
      <c r="F89" s="721"/>
      <c r="G89" s="551">
        <f>ROUNDUP(G88,0)</f>
        <v>360686168</v>
      </c>
      <c r="H89" s="476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15" customHeight="1" thickBot="1">
      <c r="A90" s="97"/>
      <c r="B90" s="98"/>
      <c r="C90" s="728" t="str">
        <f>+CONCATENATE("AIU"," ",ROUND((AIU!G44*100),0),"%")</f>
        <v>AIU 25%</v>
      </c>
      <c r="D90" s="729"/>
      <c r="E90" s="729"/>
      <c r="F90" s="730"/>
      <c r="G90" s="551">
        <f>G89*AIU!G44</f>
        <v>91236790.217233598</v>
      </c>
      <c r="H90" s="445"/>
      <c r="I90" s="446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12.75" customHeight="1" thickBot="1">
      <c r="A91" s="97"/>
      <c r="B91" s="98"/>
      <c r="C91" s="719" t="s">
        <v>147</v>
      </c>
      <c r="D91" s="705"/>
      <c r="E91" s="705"/>
      <c r="F91" s="727"/>
      <c r="G91" s="551">
        <f>G89+G90</f>
        <v>451922958.2172336</v>
      </c>
      <c r="H91" s="17"/>
      <c r="I91" s="486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s="485" customFormat="1" ht="12.75" customHeight="1" thickBot="1">
      <c r="A92" s="97"/>
      <c r="B92" s="98"/>
      <c r="C92" s="719" t="s">
        <v>386</v>
      </c>
      <c r="D92" s="720"/>
      <c r="E92" s="720"/>
      <c r="F92" s="721"/>
      <c r="G92" s="551">
        <f>ROUNDUP(G91,0)</f>
        <v>451922959</v>
      </c>
      <c r="H92" s="17"/>
      <c r="I92" s="486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12.75" customHeight="1" thickBot="1">
      <c r="A93" s="33"/>
      <c r="B93" s="93"/>
      <c r="C93" s="99"/>
      <c r="D93" s="99"/>
      <c r="E93" s="99"/>
      <c r="F93" s="99"/>
      <c r="G93" s="100"/>
      <c r="H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12.75" customHeight="1">
      <c r="A94" s="76"/>
      <c r="B94" s="501" t="str">
        <f>Portada!C8</f>
        <v>ELABORO:</v>
      </c>
      <c r="C94" s="731" t="str">
        <f>Portada!D8</f>
        <v>Johan Sebastian Alvarez, Daniel Eduardo Ochoa Mora</v>
      </c>
      <c r="D94" s="731"/>
      <c r="E94" s="731"/>
      <c r="F94" s="731"/>
      <c r="G94" s="732"/>
      <c r="H94" s="101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12.75" customHeight="1">
      <c r="A95" s="76"/>
      <c r="B95" s="502" t="str">
        <f>Portada!C9</f>
        <v>REVISÓ:</v>
      </c>
      <c r="C95" s="709" t="str">
        <f>Portada!D9</f>
        <v>ing. Alexander Solarte Benavides</v>
      </c>
      <c r="D95" s="709"/>
      <c r="E95" s="709"/>
      <c r="F95" s="709"/>
      <c r="G95" s="710"/>
      <c r="H95" s="101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12.75" customHeight="1">
      <c r="A96" s="76"/>
      <c r="B96" s="502" t="str">
        <f>Portada!C10</f>
        <v>APROBÓ</v>
      </c>
      <c r="C96" s="709" t="str">
        <f>Portada!D10</f>
        <v>ing.Alexander Solarte Benavides</v>
      </c>
      <c r="D96" s="709"/>
      <c r="E96" s="709"/>
      <c r="F96" s="709"/>
      <c r="G96" s="710"/>
      <c r="H96" s="101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12.75" customHeight="1" thickBot="1">
      <c r="A97" s="76"/>
      <c r="B97" s="503" t="str">
        <f>Portada!C11</f>
        <v>FECHA:</v>
      </c>
      <c r="C97" s="722" t="str">
        <f>Portada!D11</f>
        <v>12 de Noviembre del 2020</v>
      </c>
      <c r="D97" s="722"/>
      <c r="E97" s="722"/>
      <c r="F97" s="722"/>
      <c r="G97" s="723"/>
      <c r="H97" s="101"/>
      <c r="I97" s="546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12.75" customHeight="1">
      <c r="A98" s="33"/>
      <c r="B98" s="93"/>
      <c r="C98" s="102"/>
      <c r="D98" s="93"/>
      <c r="E98" s="103"/>
      <c r="F98" s="103"/>
      <c r="G98" s="104"/>
      <c r="H98" s="17"/>
      <c r="I98" s="546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12.75" customHeight="1">
      <c r="A99" s="33"/>
      <c r="B99" s="93"/>
      <c r="C99" s="102"/>
      <c r="D99" s="93"/>
      <c r="E99" s="103"/>
      <c r="F99" s="103"/>
      <c r="G99" s="104"/>
      <c r="H99" s="17"/>
      <c r="I99" s="546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</sheetData>
  <sheetProtection algorithmName="SHA-512" hashValue="6y6UcNqc4tiKrN/ofzCii82x8xo6bJrcvp4VRKviVUiTjn7HsWmLUAH8CrfDhQYLnR60apI1UaZ9keCM7hTAdw==" saltValue="EQ3HYch3i8Ti9sNOr5ZiYg==" spinCount="100000" sheet="1" objects="1" scenarios="1" selectLockedCells="1" selectUnlockedCells="1"/>
  <mergeCells count="39">
    <mergeCell ref="B12:C12"/>
    <mergeCell ref="D12:F12"/>
    <mergeCell ref="C13:G13"/>
    <mergeCell ref="B3:G3"/>
    <mergeCell ref="B4:G4"/>
    <mergeCell ref="C6:G6"/>
    <mergeCell ref="B26:C26"/>
    <mergeCell ref="D26:F26"/>
    <mergeCell ref="C27:G27"/>
    <mergeCell ref="D17:F17"/>
    <mergeCell ref="C18:G18"/>
    <mergeCell ref="B41:C41"/>
    <mergeCell ref="D41:F41"/>
    <mergeCell ref="B30:C30"/>
    <mergeCell ref="D30:F30"/>
    <mergeCell ref="C31:G31"/>
    <mergeCell ref="C96:G96"/>
    <mergeCell ref="C97:G97"/>
    <mergeCell ref="D86:F86"/>
    <mergeCell ref="C88:F88"/>
    <mergeCell ref="C90:F90"/>
    <mergeCell ref="C91:F91"/>
    <mergeCell ref="C94:G94"/>
    <mergeCell ref="C42:G42"/>
    <mergeCell ref="B46:C46"/>
    <mergeCell ref="D46:F46"/>
    <mergeCell ref="C47:G47"/>
    <mergeCell ref="C95:G95"/>
    <mergeCell ref="C76:G76"/>
    <mergeCell ref="B75:C75"/>
    <mergeCell ref="D75:F75"/>
    <mergeCell ref="B69:C69"/>
    <mergeCell ref="D69:F69"/>
    <mergeCell ref="C70:G70"/>
    <mergeCell ref="B57:C57"/>
    <mergeCell ref="D57:F57"/>
    <mergeCell ref="C58:G58"/>
    <mergeCell ref="C89:F89"/>
    <mergeCell ref="C92:F92"/>
  </mergeCells>
  <hyperlinks>
    <hyperlink ref="B7" location="'1.1'!A1" display="'1.1'!A1"/>
    <hyperlink ref="B8" location="'1.2'!A1" display="'1.2'!A1"/>
    <hyperlink ref="B9" location="'1.3'!A1" display="'1.3'!A1"/>
    <hyperlink ref="B10" location="'1.4'!A1" display="'1.4'!A1"/>
    <hyperlink ref="B11" location="'1.5'!A1" display="'1.5'!A1"/>
    <hyperlink ref="B14" location="'2.1'!A1" display="'2.1'!A1"/>
    <hyperlink ref="B15" location="'2.2'!A1" display="'2.2'!A1"/>
    <hyperlink ref="B16" location="'2.3'!A1" display="'2.3'!A1"/>
    <hyperlink ref="B19" location="'3.1'!A1" display="'3.1'!A1"/>
    <hyperlink ref="B20" location="'3.2'!A1" display="'3.2'!A1"/>
    <hyperlink ref="B21" location="'3.3'!A1" display="'3.3'!A1"/>
    <hyperlink ref="B22" location="'3.4'!A1" display="'3.4'!A1"/>
    <hyperlink ref="B23" location="'3.5'!A1" display="'3.5'!A1"/>
    <hyperlink ref="B24" location="'3.6'!A1" display="'3.6'!A1"/>
    <hyperlink ref="B25" location="'3.7'!A1" display="'3.7'!A1"/>
    <hyperlink ref="B28" location="'4.1'!A1" display="'4.1'!A1"/>
    <hyperlink ref="B29" location="'4.2'!A1" display="'4.2'!A1"/>
    <hyperlink ref="B32" location="'5.1'!A1" display="'5.1'!A1"/>
    <hyperlink ref="B33" location="'5.2'!A1" display="'5.2'!A1"/>
    <hyperlink ref="B34" location="'5.3'!A1" display="'5.3'!A1"/>
    <hyperlink ref="B35" location="'5.4'!A1" display="'5.4'!A1"/>
    <hyperlink ref="B36" location="'5.5'!A1" display="'5.5'!A1"/>
    <hyperlink ref="B37" location="'5.6'!A1" display="'5.6'!A1"/>
    <hyperlink ref="B38" location="'5.7'!A1" display="'5.7'!A1"/>
    <hyperlink ref="B39" location="'5.8'!A1" display="'5.8'!A1"/>
    <hyperlink ref="B43" location="'6.1'!A1" display="'6.1'!A1"/>
    <hyperlink ref="B44" location="'6.2'!A1" display="'6.2'!A1"/>
    <hyperlink ref="B45" location="'6.3'!A1" display="'6.3'!A1"/>
    <hyperlink ref="B48" location="'7.1'!A1" display="'7.1'!A1"/>
    <hyperlink ref="B49" location="'7.2'!A1" display="'7.2'!A1"/>
    <hyperlink ref="B50" location="'7.3'!A1" display="'7.3'!A1"/>
    <hyperlink ref="B51" location="'7.4'!A1" display="'7.4'!A1"/>
    <hyperlink ref="B52" location="'7.5'!A1" display="'7.5'!A1"/>
    <hyperlink ref="B53" location="'7.6'!A1" display="'7.6'!A1"/>
    <hyperlink ref="B54" location="'7.7'!A1" display="'7.7'!A1"/>
    <hyperlink ref="B55" location="'7.8'!A1" display="'7.8'!A1"/>
    <hyperlink ref="B56" location="'7.9'!A1" display="'7.9'!A1"/>
    <hyperlink ref="B59" location="'8.1'!A1" display="'8.1'!A1"/>
    <hyperlink ref="B60" location="'8.2'!A1" display="'8.2'!A1"/>
    <hyperlink ref="B62" location="'8.4'!A1" display="'8.4'!A1"/>
    <hyperlink ref="B63" location="'8.5'!A1" display="'8.5'!A1"/>
    <hyperlink ref="B64" location="'8.6'!A1" display="'8.6'!A1"/>
    <hyperlink ref="B66" location="'8.8'!A1" display="'8.8'!A1"/>
    <hyperlink ref="B67" location="'8.9'!A1" display="'8.9'!A1"/>
    <hyperlink ref="B68" location="'8.10'!A1" display="'8.10'!A1"/>
    <hyperlink ref="B71" location="'9.1'!A1" display="'9.1'!A1"/>
    <hyperlink ref="B72" location="'9.2'!A1" display="'9.2'!A1"/>
    <hyperlink ref="B73" location="'9.3'!A1" display="'9.3'!A1"/>
    <hyperlink ref="B74" location="'9.4'!A1" display="'9.4'!A1"/>
    <hyperlink ref="B77" location="'10.1'!A1" display="'10.1'!A1"/>
    <hyperlink ref="C90:F90" location="AIU!A1" display="AIU 15%"/>
    <hyperlink ref="B78" location="'10.2'!A1" display="'10.2'!A1"/>
    <hyperlink ref="B61" location="'8.3'!A1" display="'8.3'!A1"/>
    <hyperlink ref="B65" location="'8.7'!A1" display="'8.7'!A1"/>
    <hyperlink ref="B40" location="'5.9'!A1" display="'5.9'!A1"/>
    <hyperlink ref="B79" location="'10.3'!A1" display="'10.3'!A1"/>
    <hyperlink ref="B81" location="'10.5'!A1" display="'10.5'!A1"/>
    <hyperlink ref="B83" location="'10.7'!A1" display="'10.7'!A1"/>
    <hyperlink ref="B85" location="'10.9'!A1" display="'10.9'!A1"/>
    <hyperlink ref="B80" location="'10.4'!A1" display="'10.4'!A1"/>
    <hyperlink ref="B82" location="'10.6'!A1" display="'10.6'!A1"/>
    <hyperlink ref="B84" location="'10.8'!A1" display="'10.8'!A1"/>
  </hyperlinks>
  <pageMargins left="0.37" right="0.28000000000000003" top="0.75" bottom="0.75" header="0" footer="0"/>
  <pageSetup scale="65" fitToHeight="0" orientation="portrait" r:id="rId1"/>
  <rowBreaks count="1" manualBreakCount="1">
    <brk id="75" max="7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abSelected="1" topLeftCell="A21" zoomScale="115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Presupuesto!B77</f>
        <v>10.1</v>
      </c>
      <c r="B5" s="780" t="str">
        <f>Presupuesto!C77</f>
        <v>Espejo para el baño, incluye instalación (120x70 cm)</v>
      </c>
      <c r="C5" s="686"/>
      <c r="D5" s="686"/>
      <c r="E5" s="686"/>
      <c r="F5" s="687"/>
      <c r="G5" s="866" t="str">
        <f>Presupuesto!D77</f>
        <v>UND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323</v>
      </c>
      <c r="B8" s="666"/>
      <c r="C8" s="666"/>
      <c r="D8" s="667"/>
      <c r="E8" s="7" t="s">
        <v>30</v>
      </c>
      <c r="F8" s="80">
        <f>325058+500</f>
        <v>325558</v>
      </c>
      <c r="G8" s="7">
        <v>1</v>
      </c>
      <c r="H8" s="79">
        <f>F8*G8</f>
        <v>325558</v>
      </c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325558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130</v>
      </c>
      <c r="B16" s="666"/>
      <c r="C16" s="666"/>
      <c r="D16" s="667"/>
      <c r="E16" s="7" t="s">
        <v>30</v>
      </c>
      <c r="F16" s="80">
        <v>350</v>
      </c>
      <c r="G16" s="5">
        <f>G24</f>
        <v>1</v>
      </c>
      <c r="H16" s="79">
        <f>F16/G16</f>
        <v>350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58"/>
      <c r="P20" s="58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  <c r="K21" s="40"/>
      <c r="M21" s="40"/>
      <c r="N21" s="40"/>
      <c r="O21" s="40"/>
      <c r="P21" s="58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1</v>
      </c>
      <c r="H24" s="79">
        <f>E24*(F24/G24)</f>
        <v>48512.248833333331</v>
      </c>
      <c r="I24" s="40"/>
      <c r="J24" s="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374421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algorithmName="SHA-512" hashValue="J9BWgnbRnZRMyyu09Se5IL94chWeMQJDwF/JnhhSP0RuDLPlNS5VRBCTm/co9ErNuu/CiJ1cnhuCz2A/z+o7Yw==" saltValue="DEzkZ7A59M/4NZNMDLwIyg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H35"/>
  <sheetViews>
    <sheetView showGridLines="0" topLeftCell="A25" zoomScale="130" zoomScaleNormal="130" workbookViewId="0">
      <selection activeCell="I8" sqref="I8"/>
    </sheetView>
  </sheetViews>
  <sheetFormatPr baseColWidth="10" defaultRowHeight="14.25"/>
  <sheetData>
    <row r="1" spans="1:8" ht="15" thickBot="1">
      <c r="A1" s="843" t="str">
        <f>Presupuesto!B3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</row>
    <row r="2" spans="1:8" ht="15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</row>
    <row r="3" spans="1:8" ht="15.75" thickBo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</row>
    <row r="4" spans="1:8" ht="15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</row>
    <row r="5" spans="1:8" ht="15.75" thickBot="1">
      <c r="A5" s="49">
        <f>Presupuesto!B78</f>
        <v>10.199999999999999</v>
      </c>
      <c r="B5" s="780" t="str">
        <f>Presupuesto!C78</f>
        <v>Espejo para el baño, incluye instalación (75x70 cm)</v>
      </c>
      <c r="C5" s="686"/>
      <c r="D5" s="686"/>
      <c r="E5" s="686"/>
      <c r="F5" s="687"/>
      <c r="G5" s="866" t="str">
        <f>Presupuesto!D78</f>
        <v>UND</v>
      </c>
      <c r="H5" s="822"/>
    </row>
    <row r="6" spans="1:8" ht="15.75" thickBot="1">
      <c r="A6" s="897" t="s">
        <v>102</v>
      </c>
      <c r="B6" s="672"/>
      <c r="C6" s="672"/>
      <c r="D6" s="672"/>
      <c r="E6" s="672"/>
      <c r="F6" s="672"/>
      <c r="G6" s="672"/>
      <c r="H6" s="673"/>
    </row>
    <row r="7" spans="1:8" ht="15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</row>
    <row r="8" spans="1:8" ht="15">
      <c r="A8" s="814" t="s">
        <v>234</v>
      </c>
      <c r="B8" s="666"/>
      <c r="C8" s="666"/>
      <c r="D8" s="667"/>
      <c r="E8" s="7" t="s">
        <v>30</v>
      </c>
      <c r="F8" s="80">
        <f>79900+500</f>
        <v>80400</v>
      </c>
      <c r="G8" s="7">
        <v>1</v>
      </c>
      <c r="H8" s="79">
        <f>F8*G8</f>
        <v>80400</v>
      </c>
    </row>
    <row r="9" spans="1:8" ht="15">
      <c r="A9" s="818"/>
      <c r="B9" s="666"/>
      <c r="C9" s="666"/>
      <c r="D9" s="667"/>
      <c r="E9" s="141"/>
      <c r="F9" s="84"/>
      <c r="G9" s="141"/>
      <c r="H9" s="79"/>
    </row>
    <row r="10" spans="1:8" ht="15">
      <c r="A10" s="818"/>
      <c r="B10" s="666"/>
      <c r="C10" s="666"/>
      <c r="D10" s="667"/>
      <c r="E10" s="141"/>
      <c r="F10" s="84"/>
      <c r="G10" s="141"/>
      <c r="H10" s="79"/>
    </row>
    <row r="11" spans="1:8" ht="15">
      <c r="A11" s="818"/>
      <c r="B11" s="666"/>
      <c r="C11" s="666"/>
      <c r="D11" s="667"/>
      <c r="E11" s="141"/>
      <c r="F11" s="84"/>
      <c r="G11" s="141"/>
      <c r="H11" s="79"/>
    </row>
    <row r="12" spans="1:8" ht="15.75" thickBot="1">
      <c r="A12" s="819"/>
      <c r="B12" s="700"/>
      <c r="C12" s="700"/>
      <c r="D12" s="776"/>
      <c r="E12" s="56"/>
      <c r="F12" s="85"/>
      <c r="G12" s="56"/>
      <c r="H12" s="79"/>
    </row>
    <row r="13" spans="1:8" ht="15.75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80400</v>
      </c>
    </row>
    <row r="14" spans="1:8" ht="15.75" thickBot="1">
      <c r="A14" s="820" t="s">
        <v>112</v>
      </c>
      <c r="B14" s="672"/>
      <c r="C14" s="672"/>
      <c r="D14" s="672"/>
      <c r="E14" s="672"/>
      <c r="F14" s="672"/>
      <c r="G14" s="672"/>
      <c r="H14" s="673"/>
    </row>
    <row r="15" spans="1:8" ht="15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</row>
    <row r="16" spans="1:8" ht="15">
      <c r="A16" s="814" t="s">
        <v>130</v>
      </c>
      <c r="B16" s="666"/>
      <c r="C16" s="666"/>
      <c r="D16" s="667"/>
      <c r="E16" s="7" t="s">
        <v>30</v>
      </c>
      <c r="F16" s="80">
        <v>350</v>
      </c>
      <c r="G16" s="141">
        <f>G24</f>
        <v>1</v>
      </c>
      <c r="H16" s="79">
        <f>F16/G16</f>
        <v>350</v>
      </c>
    </row>
    <row r="17" spans="1:8" ht="15">
      <c r="A17" s="818"/>
      <c r="B17" s="666"/>
      <c r="C17" s="666"/>
      <c r="D17" s="667"/>
      <c r="E17" s="141"/>
      <c r="F17" s="84"/>
      <c r="G17" s="141"/>
      <c r="H17" s="79"/>
    </row>
    <row r="18" spans="1:8" ht="15">
      <c r="A18" s="818"/>
      <c r="B18" s="666"/>
      <c r="C18" s="666"/>
      <c r="D18" s="667"/>
      <c r="E18" s="141"/>
      <c r="F18" s="84"/>
      <c r="G18" s="141"/>
      <c r="H18" s="79"/>
    </row>
    <row r="19" spans="1:8" ht="15">
      <c r="A19" s="818"/>
      <c r="B19" s="666"/>
      <c r="C19" s="666"/>
      <c r="D19" s="667"/>
      <c r="E19" s="141"/>
      <c r="F19" s="84"/>
      <c r="G19" s="141"/>
      <c r="H19" s="79"/>
    </row>
    <row r="20" spans="1:8" ht="15.75" thickBot="1">
      <c r="A20" s="819"/>
      <c r="B20" s="700"/>
      <c r="C20" s="700"/>
      <c r="D20" s="776"/>
      <c r="E20" s="56"/>
      <c r="F20" s="85"/>
      <c r="G20" s="56"/>
      <c r="H20" s="79"/>
    </row>
    <row r="21" spans="1:8" ht="15.75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350</v>
      </c>
    </row>
    <row r="22" spans="1:8" ht="15.75" thickBot="1">
      <c r="A22" s="811" t="s">
        <v>118</v>
      </c>
      <c r="B22" s="676"/>
      <c r="C22" s="676"/>
      <c r="D22" s="676"/>
      <c r="E22" s="676"/>
      <c r="F22" s="676"/>
      <c r="G22" s="676"/>
      <c r="H22" s="812"/>
    </row>
    <row r="23" spans="1:8" ht="15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</row>
    <row r="24" spans="1:8" ht="15">
      <c r="A24" s="818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8">
        <f>'Analisis de cuadrillas'!G14</f>
        <v>48512.248833333331</v>
      </c>
      <c r="G24" s="7">
        <v>1</v>
      </c>
      <c r="H24" s="79">
        <f>E24*(F24/G24)</f>
        <v>48512.248833333331</v>
      </c>
    </row>
    <row r="25" spans="1:8" ht="15">
      <c r="A25" s="818"/>
      <c r="B25" s="666"/>
      <c r="C25" s="666"/>
      <c r="D25" s="667"/>
      <c r="E25" s="141"/>
      <c r="F25" s="88"/>
      <c r="G25" s="141"/>
      <c r="H25" s="79"/>
    </row>
    <row r="26" spans="1:8" ht="15">
      <c r="A26" s="815"/>
      <c r="B26" s="666"/>
      <c r="C26" s="666"/>
      <c r="D26" s="667"/>
      <c r="E26" s="141"/>
      <c r="F26" s="88"/>
      <c r="G26" s="141"/>
      <c r="H26" s="79"/>
    </row>
    <row r="27" spans="1:8" ht="15.75" thickBot="1">
      <c r="A27" s="816"/>
      <c r="B27" s="686"/>
      <c r="C27" s="686"/>
      <c r="D27" s="687"/>
      <c r="E27" s="89"/>
      <c r="F27" s="90"/>
      <c r="G27" s="56"/>
      <c r="H27" s="91"/>
    </row>
    <row r="28" spans="1:8" ht="15.75" thickBo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48513</v>
      </c>
    </row>
    <row r="29" spans="1:8" ht="15" thickBot="1">
      <c r="A29" s="323"/>
      <c r="B29" s="323"/>
      <c r="C29" s="323"/>
      <c r="D29" s="323"/>
      <c r="E29" s="323"/>
      <c r="F29" s="323"/>
      <c r="G29" s="323"/>
      <c r="H29" s="323"/>
    </row>
    <row r="30" spans="1:8" ht="15.75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129263</v>
      </c>
    </row>
    <row r="31" spans="1:8">
      <c r="A31" s="323"/>
      <c r="B31" s="323"/>
      <c r="C31" s="323"/>
      <c r="D31" s="323"/>
      <c r="E31" s="323"/>
      <c r="F31" s="323"/>
      <c r="G31" s="323"/>
      <c r="H31" s="323"/>
    </row>
    <row r="32" spans="1:8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</row>
    <row r="33" spans="1:8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</row>
    <row r="34" spans="1:8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</row>
    <row r="35" spans="1:8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</row>
  </sheetData>
  <mergeCells count="36">
    <mergeCell ref="A9:D9"/>
    <mergeCell ref="A1:H1"/>
    <mergeCell ref="B2:F2"/>
    <mergeCell ref="G2:H3"/>
    <mergeCell ref="B3:F3"/>
    <mergeCell ref="B4:F4"/>
    <mergeCell ref="G4:H4"/>
    <mergeCell ref="B5:F5"/>
    <mergeCell ref="G5:H5"/>
    <mergeCell ref="A6:H6"/>
    <mergeCell ref="A7:D7"/>
    <mergeCell ref="A8:D8"/>
    <mergeCell ref="A21:G21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  <mergeCell ref="B32:H32"/>
    <mergeCell ref="B33:H33"/>
    <mergeCell ref="B34:H3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30" zoomScaleNormal="13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'10.1'!A1:H1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Presupuesto!B79</f>
        <v>10.3</v>
      </c>
      <c r="B5" s="780" t="str">
        <f>Presupuesto!C79</f>
        <v>Pintura puertas en esmalte, incluye hoja y marco</v>
      </c>
      <c r="C5" s="686"/>
      <c r="D5" s="686"/>
      <c r="E5" s="686"/>
      <c r="F5" s="687"/>
      <c r="G5" s="866" t="str">
        <f>Presupuesto!D79</f>
        <v>UND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360</v>
      </c>
      <c r="B8" s="666"/>
      <c r="C8" s="666"/>
      <c r="D8" s="667"/>
      <c r="E8" s="7" t="s">
        <v>235</v>
      </c>
      <c r="F8" s="80">
        <f>75900+500</f>
        <v>76400</v>
      </c>
      <c r="G8" s="7">
        <v>0.1</v>
      </c>
      <c r="H8" s="79">
        <f>F8*G8</f>
        <v>7640</v>
      </c>
      <c r="K8" s="40"/>
    </row>
    <row r="9" spans="1:26" ht="14.25" customHeight="1">
      <c r="A9" s="814" t="s">
        <v>236</v>
      </c>
      <c r="B9" s="666"/>
      <c r="C9" s="666"/>
      <c r="D9" s="667"/>
      <c r="E9" s="7" t="s">
        <v>30</v>
      </c>
      <c r="F9" s="80">
        <f>8700+500</f>
        <v>9200</v>
      </c>
      <c r="G9" s="7">
        <v>0.1</v>
      </c>
      <c r="H9" s="79">
        <f>F9*G9</f>
        <v>920</v>
      </c>
      <c r="K9" s="40"/>
    </row>
    <row r="10" spans="1:26" ht="14.25" customHeight="1">
      <c r="A10" s="814" t="s">
        <v>361</v>
      </c>
      <c r="B10" s="666"/>
      <c r="C10" s="666"/>
      <c r="D10" s="667"/>
      <c r="E10" s="7" t="s">
        <v>235</v>
      </c>
      <c r="F10" s="80">
        <f>35000+500</f>
        <v>35500</v>
      </c>
      <c r="G10" s="7">
        <v>0.1</v>
      </c>
      <c r="H10" s="79">
        <f>F10*G10</f>
        <v>3550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12110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7">
        <f>G24</f>
        <v>4</v>
      </c>
      <c r="H16" s="79">
        <f>F16/G16</f>
        <v>87.5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150</v>
      </c>
      <c r="B17" s="666"/>
      <c r="C17" s="666"/>
      <c r="D17" s="667"/>
      <c r="E17" s="7" t="s">
        <v>137</v>
      </c>
      <c r="F17" s="80">
        <v>350</v>
      </c>
      <c r="G17" s="5">
        <f>G24</f>
        <v>4</v>
      </c>
      <c r="H17" s="79">
        <f>F17/G17</f>
        <v>87.5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58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58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175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cuadrillas'!C13</f>
        <v>Cuadrilla Pinturas y Acabados</v>
      </c>
      <c r="B24" s="666"/>
      <c r="C24" s="666"/>
      <c r="D24" s="667"/>
      <c r="E24" s="7">
        <v>1</v>
      </c>
      <c r="F24" s="88">
        <f>'Analisis de cuadrillas'!G13</f>
        <v>45858.88223333333</v>
      </c>
      <c r="G24" s="7">
        <v>4</v>
      </c>
      <c r="H24" s="79">
        <f>E24*(F24/G24)</f>
        <v>11464.720558333333</v>
      </c>
      <c r="I24" s="40"/>
      <c r="J24" s="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11465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23750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3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'10.3'!A1:H1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Presupuesto!B80</f>
        <v>10.4</v>
      </c>
      <c r="B5" s="780" t="str">
        <f>Presupuesto!C80</f>
        <v>Pintura estructura metálica de cubierta</v>
      </c>
      <c r="C5" s="686"/>
      <c r="D5" s="686"/>
      <c r="E5" s="686"/>
      <c r="F5" s="687"/>
      <c r="G5" s="866" t="str">
        <f>Presupuesto!D80</f>
        <v>ML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  <c r="Q7" s="2"/>
      <c r="R7" s="2"/>
    </row>
    <row r="8" spans="1:26" ht="14.25" customHeight="1">
      <c r="A8" s="814" t="s">
        <v>237</v>
      </c>
      <c r="B8" s="666"/>
      <c r="C8" s="666"/>
      <c r="D8" s="667"/>
      <c r="E8" s="7" t="s">
        <v>235</v>
      </c>
      <c r="F8" s="80">
        <v>66900</v>
      </c>
      <c r="G8" s="7">
        <v>0.1</v>
      </c>
      <c r="H8" s="79">
        <f>F8*G8</f>
        <v>6690</v>
      </c>
      <c r="K8" s="40"/>
      <c r="Q8" s="2"/>
    </row>
    <row r="9" spans="1:26" ht="14.25" customHeight="1">
      <c r="A9" s="814" t="s">
        <v>238</v>
      </c>
      <c r="B9" s="666"/>
      <c r="C9" s="666"/>
      <c r="D9" s="667"/>
      <c r="E9" s="7" t="s">
        <v>30</v>
      </c>
      <c r="F9" s="80">
        <v>8900</v>
      </c>
      <c r="G9" s="7">
        <v>0.1</v>
      </c>
      <c r="H9" s="79">
        <f>F9*G9</f>
        <v>890</v>
      </c>
      <c r="K9" s="40"/>
    </row>
    <row r="10" spans="1:26" ht="14.25" customHeight="1">
      <c r="A10" s="814" t="s">
        <v>236</v>
      </c>
      <c r="B10" s="666"/>
      <c r="C10" s="666"/>
      <c r="D10" s="667"/>
      <c r="E10" s="7" t="s">
        <v>30</v>
      </c>
      <c r="F10" s="80">
        <v>8700</v>
      </c>
      <c r="G10" s="7">
        <v>0.1</v>
      </c>
      <c r="H10" s="79">
        <f>F10*G10</f>
        <v>870</v>
      </c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8450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5">
        <f>G24</f>
        <v>15</v>
      </c>
      <c r="H16" s="79">
        <f>F16/G16</f>
        <v>23.333333333333332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131</v>
      </c>
      <c r="B17" s="666"/>
      <c r="C17" s="666"/>
      <c r="D17" s="667"/>
      <c r="E17" s="7" t="s">
        <v>132</v>
      </c>
      <c r="F17" s="80">
        <v>250</v>
      </c>
      <c r="G17" s="5">
        <f>G24</f>
        <v>15</v>
      </c>
      <c r="H17" s="79">
        <f>F17/G17</f>
        <v>16.666666666666668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58"/>
      <c r="N19" s="40"/>
      <c r="O19" s="58"/>
      <c r="P19" s="58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J20" s="2"/>
      <c r="K20" s="58"/>
      <c r="L20" s="2"/>
      <c r="M20" s="58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40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58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58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cuadrillas'!C13</f>
        <v>Cuadrilla Pinturas y Acabados</v>
      </c>
      <c r="B24" s="666"/>
      <c r="C24" s="666"/>
      <c r="D24" s="667"/>
      <c r="E24" s="7">
        <v>1</v>
      </c>
      <c r="F24" s="88">
        <f>'Analisis de cuadrillas'!G13</f>
        <v>45858.88223333333</v>
      </c>
      <c r="G24" s="7">
        <v>15</v>
      </c>
      <c r="H24" s="79">
        <f>E24*(F24/G24)</f>
        <v>3057.2588155555554</v>
      </c>
      <c r="I24" s="40"/>
      <c r="J24" s="2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3058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11548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9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8" width="15" bestFit="1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I4" s="2"/>
      <c r="J4" s="2"/>
      <c r="K4" s="40"/>
    </row>
    <row r="5" spans="1:26" ht="14.25" customHeight="1">
      <c r="A5" s="49">
        <f>Presupuesto!B81</f>
        <v>10.5</v>
      </c>
      <c r="B5" s="780" t="str">
        <f>Presupuesto!C81</f>
        <v>Pintura fachada en vinilo para exteriores</v>
      </c>
      <c r="C5" s="686"/>
      <c r="D5" s="686"/>
      <c r="E5" s="686"/>
      <c r="F5" s="687"/>
      <c r="G5" s="866" t="str">
        <f>Presupuesto!D81</f>
        <v>M2</v>
      </c>
      <c r="H5" s="822"/>
      <c r="I5" s="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363</v>
      </c>
      <c r="B8" s="666"/>
      <c r="C8" s="666"/>
      <c r="D8" s="667"/>
      <c r="E8" s="7" t="s">
        <v>235</v>
      </c>
      <c r="F8" s="80">
        <v>67600</v>
      </c>
      <c r="G8" s="7">
        <v>0.05</v>
      </c>
      <c r="H8" s="79">
        <f>F8*G8</f>
        <v>3380</v>
      </c>
      <c r="I8" s="333"/>
      <c r="J8" s="257"/>
      <c r="K8" s="329"/>
      <c r="L8" s="330"/>
    </row>
    <row r="9" spans="1:26" ht="14.25" customHeight="1">
      <c r="A9" s="814" t="s">
        <v>239</v>
      </c>
      <c r="B9" s="666"/>
      <c r="C9" s="666"/>
      <c r="D9" s="667"/>
      <c r="E9" s="7" t="s">
        <v>30</v>
      </c>
      <c r="F9" s="80">
        <v>29900</v>
      </c>
      <c r="G9" s="350">
        <v>0.01</v>
      </c>
      <c r="H9" s="79">
        <f>F9*G9</f>
        <v>299</v>
      </c>
      <c r="I9" s="349"/>
      <c r="K9" s="331"/>
      <c r="L9" s="332"/>
    </row>
    <row r="10" spans="1:26" ht="14.25" customHeight="1">
      <c r="A10" s="814" t="s">
        <v>236</v>
      </c>
      <c r="B10" s="666"/>
      <c r="C10" s="666"/>
      <c r="D10" s="667"/>
      <c r="E10" s="7" t="s">
        <v>30</v>
      </c>
      <c r="F10" s="80">
        <v>8700</v>
      </c>
      <c r="G10" s="7">
        <v>0.01</v>
      </c>
      <c r="H10" s="79">
        <f>F10*G10</f>
        <v>87</v>
      </c>
      <c r="I10" s="257"/>
      <c r="K10" s="332"/>
      <c r="L10" s="332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3766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 thickBot="1">
      <c r="A15" s="901" t="s">
        <v>103</v>
      </c>
      <c r="B15" s="621"/>
      <c r="C15" s="621"/>
      <c r="D15" s="848"/>
      <c r="E15" s="335" t="s">
        <v>104</v>
      </c>
      <c r="F15" s="335" t="s">
        <v>113</v>
      </c>
      <c r="G15" s="336" t="s">
        <v>106</v>
      </c>
      <c r="H15" s="337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902" t="s">
        <v>149</v>
      </c>
      <c r="B16" s="903"/>
      <c r="C16" s="903"/>
      <c r="D16" s="903"/>
      <c r="E16" s="341" t="s">
        <v>61</v>
      </c>
      <c r="F16" s="342">
        <v>350</v>
      </c>
      <c r="G16" s="322">
        <f>G24</f>
        <v>4</v>
      </c>
      <c r="H16" s="343">
        <f>F16/G16</f>
        <v>87.5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904" t="s">
        <v>131</v>
      </c>
      <c r="B17" s="802"/>
      <c r="C17" s="802"/>
      <c r="D17" s="802"/>
      <c r="E17" s="338" t="s">
        <v>132</v>
      </c>
      <c r="F17" s="339">
        <v>250</v>
      </c>
      <c r="G17" s="321">
        <f>G24</f>
        <v>4</v>
      </c>
      <c r="H17" s="344">
        <f>F17/G17</f>
        <v>62.5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900"/>
      <c r="B18" s="762"/>
      <c r="C18" s="762"/>
      <c r="D18" s="762"/>
      <c r="E18" s="291"/>
      <c r="F18" s="291"/>
      <c r="G18" s="291"/>
      <c r="H18" s="345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905"/>
      <c r="B19" s="802"/>
      <c r="C19" s="802"/>
      <c r="D19" s="802"/>
      <c r="E19" s="321"/>
      <c r="F19" s="340"/>
      <c r="G19" s="321"/>
      <c r="H19" s="344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98"/>
      <c r="B20" s="899"/>
      <c r="C20" s="899"/>
      <c r="D20" s="899"/>
      <c r="E20" s="346"/>
      <c r="F20" s="347"/>
      <c r="G20" s="346"/>
      <c r="H20" s="348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67" t="s">
        <v>116</v>
      </c>
      <c r="B21" s="717"/>
      <c r="C21" s="717"/>
      <c r="D21" s="717"/>
      <c r="E21" s="717"/>
      <c r="F21" s="717"/>
      <c r="G21" s="718"/>
      <c r="H21" s="163">
        <f>ROUNDUP(SUM(H16:H20),0)</f>
        <v>150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cuadrillas'!C13</f>
        <v>Cuadrilla Pinturas y Acabados</v>
      </c>
      <c r="B24" s="666"/>
      <c r="C24" s="666"/>
      <c r="D24" s="667"/>
      <c r="E24" s="7">
        <v>1</v>
      </c>
      <c r="F24" s="88">
        <f>'Analisis de cuadrillas'!G13</f>
        <v>45858.88223333333</v>
      </c>
      <c r="G24" s="7">
        <v>4</v>
      </c>
      <c r="H24" s="79">
        <f>E24*(F24/G24)</f>
        <v>11464.720558333333</v>
      </c>
      <c r="I24" s="334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108"/>
      <c r="M27" s="122"/>
      <c r="N27" s="122"/>
      <c r="O27" s="12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11465</v>
      </c>
      <c r="K28" s="122"/>
      <c r="M28" s="122"/>
      <c r="N28" s="122"/>
      <c r="O28" s="122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J29" s="2"/>
      <c r="K29" s="108"/>
      <c r="M29" s="175"/>
      <c r="N29" s="122"/>
      <c r="O29" s="122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15381</v>
      </c>
      <c r="J30" s="108"/>
      <c r="K30" s="108"/>
      <c r="M30" s="122"/>
      <c r="N30" s="122"/>
      <c r="O30" s="12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122"/>
      <c r="K31" s="122"/>
      <c r="M31" s="122"/>
      <c r="N31" s="122"/>
      <c r="O31" s="122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122"/>
      <c r="L32" s="177"/>
      <c r="M32" s="177"/>
      <c r="N32" s="177"/>
      <c r="O32" s="177"/>
    </row>
    <row r="33" spans="1:15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122"/>
      <c r="L33" s="177"/>
      <c r="M33" s="177"/>
      <c r="N33" s="177"/>
      <c r="O33" s="177"/>
    </row>
    <row r="34" spans="1:15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122"/>
      <c r="L34" s="177"/>
      <c r="M34" s="177"/>
      <c r="N34" s="177"/>
      <c r="O34" s="177"/>
    </row>
    <row r="35" spans="1:15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J35" s="177"/>
      <c r="K35" s="122"/>
      <c r="L35" s="177"/>
      <c r="M35" s="177"/>
      <c r="N35" s="177"/>
      <c r="O35" s="177"/>
    </row>
    <row r="36" spans="1:15" ht="14.25" customHeight="1">
      <c r="J36" s="177"/>
      <c r="K36" s="122"/>
      <c r="L36" s="177"/>
      <c r="M36" s="177"/>
      <c r="N36" s="177"/>
      <c r="O36" s="177"/>
    </row>
    <row r="37" spans="1:15" ht="14.25" customHeight="1">
      <c r="J37" s="177"/>
      <c r="K37" s="122"/>
      <c r="L37" s="177"/>
      <c r="M37" s="177"/>
      <c r="N37" s="177"/>
      <c r="O37" s="177"/>
    </row>
    <row r="38" spans="1:15" ht="14.25" customHeight="1">
      <c r="J38" s="177"/>
      <c r="K38" s="122"/>
      <c r="L38" s="177"/>
      <c r="M38" s="177"/>
      <c r="N38" s="177"/>
      <c r="O38" s="177"/>
    </row>
    <row r="39" spans="1:15" ht="14.25" customHeight="1">
      <c r="J39" s="177"/>
      <c r="K39" s="122"/>
      <c r="L39" s="177"/>
      <c r="M39" s="177"/>
      <c r="N39" s="177"/>
      <c r="O39" s="177"/>
    </row>
    <row r="40" spans="1:15" ht="14.25" customHeight="1">
      <c r="J40" s="177"/>
      <c r="K40" s="122"/>
      <c r="L40" s="177"/>
      <c r="M40" s="177"/>
      <c r="N40" s="177"/>
      <c r="O40" s="177"/>
    </row>
    <row r="41" spans="1:15" ht="14.25" customHeight="1">
      <c r="J41" s="177"/>
      <c r="K41" s="122"/>
      <c r="L41" s="177"/>
      <c r="M41" s="177"/>
      <c r="N41" s="177"/>
      <c r="O41" s="177"/>
    </row>
    <row r="42" spans="1:15" ht="14.25" customHeight="1">
      <c r="J42" s="177"/>
      <c r="K42" s="122"/>
      <c r="L42" s="177"/>
      <c r="M42" s="177"/>
      <c r="N42" s="177"/>
      <c r="O42" s="177"/>
    </row>
    <row r="43" spans="1:15" ht="14.25" customHeight="1">
      <c r="J43" s="177"/>
      <c r="K43" s="122"/>
      <c r="L43" s="177"/>
      <c r="M43" s="177"/>
      <c r="N43" s="177"/>
      <c r="O43" s="177"/>
    </row>
    <row r="44" spans="1:15" ht="14.25" customHeight="1">
      <c r="K44" s="40"/>
    </row>
    <row r="45" spans="1:15" ht="14.25" customHeight="1">
      <c r="K45" s="40"/>
    </row>
    <row r="46" spans="1:15" ht="14.25" customHeight="1">
      <c r="K46" s="40"/>
    </row>
    <row r="47" spans="1:15" ht="14.25" customHeight="1">
      <c r="K47" s="40"/>
    </row>
    <row r="48" spans="1:15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9:D19"/>
    <mergeCell ref="A20:D20"/>
    <mergeCell ref="A21:G21"/>
    <mergeCell ref="A18:D18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Z1000"/>
  <sheetViews>
    <sheetView showGridLines="0" topLeftCell="A25" workbookViewId="0">
      <selection activeCell="G2" sqref="G2:H3"/>
    </sheetView>
  </sheetViews>
  <sheetFormatPr baseColWidth="10" defaultColWidth="12.625" defaultRowHeight="14.25"/>
  <cols>
    <col min="1" max="3" width="10" style="323" customWidth="1"/>
    <col min="4" max="4" width="11.125" style="323" customWidth="1"/>
    <col min="5" max="5" width="15.375" style="323" customWidth="1"/>
    <col min="6" max="6" width="14.75" style="323" customWidth="1"/>
    <col min="7" max="7" width="12.375" style="323" customWidth="1"/>
    <col min="8" max="8" width="15" style="323" bestFit="1" customWidth="1"/>
    <col min="9" max="10" width="11.375" style="323" customWidth="1"/>
    <col min="11" max="11" width="12.75" style="323" customWidth="1"/>
    <col min="12" max="12" width="10.5" style="323" customWidth="1"/>
    <col min="13" max="26" width="10" style="323" customWidth="1"/>
    <col min="27" max="16384" width="12.625" style="323"/>
  </cols>
  <sheetData>
    <row r="1" spans="1:26" ht="15" customHeight="1" thickBot="1">
      <c r="A1" s="843" t="str">
        <f>'10.4'!A1:H1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 thickBo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I4" s="325"/>
      <c r="J4" s="325"/>
      <c r="K4" s="40"/>
    </row>
    <row r="5" spans="1:26" ht="14.25" customHeight="1" thickBot="1">
      <c r="A5" s="49">
        <f>Presupuesto!B82</f>
        <v>10.6</v>
      </c>
      <c r="B5" s="780" t="str">
        <f>Presupuesto!C82</f>
        <v>Pintura en vinilo para interiores, 3 manos</v>
      </c>
      <c r="C5" s="686"/>
      <c r="D5" s="686"/>
      <c r="E5" s="686"/>
      <c r="F5" s="687"/>
      <c r="G5" s="866" t="str">
        <f>Presupuesto!D82</f>
        <v>M2</v>
      </c>
      <c r="H5" s="822"/>
      <c r="I5" s="325"/>
      <c r="K5" s="40"/>
    </row>
    <row r="6" spans="1:26" ht="14.25" customHeight="1" thickBo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321</v>
      </c>
      <c r="B8" s="666"/>
      <c r="C8" s="666"/>
      <c r="D8" s="667"/>
      <c r="E8" s="7" t="s">
        <v>235</v>
      </c>
      <c r="F8" s="80">
        <v>58800</v>
      </c>
      <c r="G8" s="7">
        <v>0.02</v>
      </c>
      <c r="H8" s="79">
        <f>F8*G8</f>
        <v>1176</v>
      </c>
      <c r="I8" s="325"/>
      <c r="K8" s="40"/>
    </row>
    <row r="9" spans="1:26" ht="14.25" customHeight="1">
      <c r="A9" s="814" t="s">
        <v>239</v>
      </c>
      <c r="B9" s="666"/>
      <c r="C9" s="666"/>
      <c r="D9" s="667"/>
      <c r="E9" s="7" t="s">
        <v>30</v>
      </c>
      <c r="F9" s="80">
        <v>29900</v>
      </c>
      <c r="G9" s="7">
        <v>0.01</v>
      </c>
      <c r="H9" s="79">
        <f>F9*G9</f>
        <v>299</v>
      </c>
      <c r="K9" s="40"/>
    </row>
    <row r="10" spans="1:26" ht="14.25" customHeight="1">
      <c r="A10" s="814" t="s">
        <v>236</v>
      </c>
      <c r="B10" s="666"/>
      <c r="C10" s="666"/>
      <c r="D10" s="667"/>
      <c r="E10" s="7" t="s">
        <v>30</v>
      </c>
      <c r="F10" s="80">
        <v>8700</v>
      </c>
      <c r="G10" s="7">
        <v>0.01</v>
      </c>
      <c r="H10" s="79">
        <f>F10*G10</f>
        <v>87</v>
      </c>
      <c r="K10" s="40"/>
    </row>
    <row r="11" spans="1:26" ht="14.25" customHeight="1">
      <c r="A11" s="818"/>
      <c r="B11" s="666"/>
      <c r="C11" s="666"/>
      <c r="D11" s="667"/>
      <c r="E11" s="141"/>
      <c r="F11" s="84"/>
      <c r="G11" s="141"/>
      <c r="H11" s="79"/>
      <c r="K11" s="40"/>
    </row>
    <row r="12" spans="1:26" ht="14.25" customHeight="1" thickBo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1562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149</v>
      </c>
      <c r="B16" s="666"/>
      <c r="C16" s="666"/>
      <c r="D16" s="667"/>
      <c r="E16" s="7" t="s">
        <v>61</v>
      </c>
      <c r="F16" s="80">
        <v>350</v>
      </c>
      <c r="G16" s="141">
        <f>G24</f>
        <v>4</v>
      </c>
      <c r="H16" s="79">
        <f>F16/G16</f>
        <v>87.5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240</v>
      </c>
      <c r="B17" s="666"/>
      <c r="C17" s="666"/>
      <c r="D17" s="667"/>
      <c r="E17" s="7" t="s">
        <v>137</v>
      </c>
      <c r="F17" s="80">
        <v>350</v>
      </c>
      <c r="G17" s="141">
        <f>G24</f>
        <v>4</v>
      </c>
      <c r="H17" s="79">
        <f>F17/G17</f>
        <v>87.5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141"/>
      <c r="F18" s="84"/>
      <c r="G18" s="141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141"/>
      <c r="F19" s="84"/>
      <c r="G19" s="141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175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cuadrillas'!C13</f>
        <v>Cuadrilla Pinturas y Acabados</v>
      </c>
      <c r="B24" s="666"/>
      <c r="C24" s="666"/>
      <c r="D24" s="667"/>
      <c r="E24" s="7">
        <v>1</v>
      </c>
      <c r="F24" s="88">
        <f>'Analisis de cuadrillas'!G13</f>
        <v>45858.88223333333</v>
      </c>
      <c r="G24" s="7">
        <v>4</v>
      </c>
      <c r="H24" s="79">
        <f>E24*(F24/G24)</f>
        <v>11464.720558333333</v>
      </c>
      <c r="I24" s="58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141"/>
      <c r="F25" s="88"/>
      <c r="G25" s="141"/>
      <c r="H25" s="79"/>
      <c r="I25" s="40"/>
      <c r="J25" s="73"/>
      <c r="K25" s="40"/>
      <c r="L25" s="324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141"/>
      <c r="F26" s="88"/>
      <c r="G26" s="141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816"/>
      <c r="B27" s="686"/>
      <c r="C27" s="686"/>
      <c r="D27" s="687"/>
      <c r="E27" s="89"/>
      <c r="F27" s="90"/>
      <c r="G27" s="56"/>
      <c r="H27" s="91"/>
      <c r="K27" s="327"/>
      <c r="M27" s="122"/>
      <c r="N27" s="122"/>
      <c r="O27" s="122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11465</v>
      </c>
      <c r="K28" s="122"/>
      <c r="M28" s="122"/>
      <c r="N28" s="122"/>
      <c r="O28" s="122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J29" s="325"/>
      <c r="K29" s="327"/>
      <c r="M29" s="175"/>
      <c r="N29" s="122"/>
      <c r="O29" s="122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13202</v>
      </c>
      <c r="J30" s="327"/>
      <c r="K30" s="327"/>
      <c r="M30" s="122"/>
      <c r="N30" s="122"/>
      <c r="O30" s="122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122"/>
      <c r="K31" s="122"/>
      <c r="M31" s="122"/>
      <c r="N31" s="122"/>
      <c r="O31" s="122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122"/>
      <c r="L32" s="326"/>
      <c r="M32" s="326"/>
      <c r="N32" s="326"/>
      <c r="O32" s="326"/>
    </row>
    <row r="33" spans="1:15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122"/>
      <c r="L33" s="326"/>
      <c r="M33" s="326"/>
      <c r="N33" s="326"/>
      <c r="O33" s="326"/>
    </row>
    <row r="34" spans="1:15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122"/>
      <c r="L34" s="326"/>
      <c r="M34" s="326"/>
      <c r="N34" s="326"/>
      <c r="O34" s="326"/>
    </row>
    <row r="35" spans="1:15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J35" s="326"/>
      <c r="K35" s="122"/>
      <c r="L35" s="326"/>
      <c r="M35" s="326"/>
      <c r="N35" s="326"/>
      <c r="O35" s="326"/>
    </row>
    <row r="36" spans="1:15" ht="14.25" customHeight="1">
      <c r="J36" s="326"/>
      <c r="K36" s="122"/>
      <c r="L36" s="326"/>
      <c r="M36" s="326"/>
      <c r="N36" s="326"/>
      <c r="O36" s="326"/>
    </row>
    <row r="37" spans="1:15" ht="14.25" customHeight="1">
      <c r="J37" s="326"/>
      <c r="K37" s="122"/>
      <c r="L37" s="326"/>
      <c r="M37" s="326"/>
      <c r="N37" s="326"/>
      <c r="O37" s="326"/>
    </row>
    <row r="38" spans="1:15" ht="14.25" customHeight="1">
      <c r="J38" s="326"/>
      <c r="K38" s="122"/>
      <c r="L38" s="326"/>
      <c r="M38" s="326"/>
      <c r="N38" s="326"/>
      <c r="O38" s="326"/>
    </row>
    <row r="39" spans="1:15" ht="14.25" customHeight="1">
      <c r="J39" s="326"/>
      <c r="K39" s="122"/>
      <c r="L39" s="326"/>
      <c r="M39" s="326"/>
      <c r="N39" s="326"/>
      <c r="O39" s="326"/>
    </row>
    <row r="40" spans="1:15" ht="14.25" customHeight="1">
      <c r="J40" s="326"/>
      <c r="K40" s="122"/>
      <c r="L40" s="326"/>
      <c r="M40" s="326"/>
      <c r="N40" s="326"/>
      <c r="O40" s="326"/>
    </row>
    <row r="41" spans="1:15" ht="14.25" customHeight="1">
      <c r="J41" s="326"/>
      <c r="K41" s="122"/>
      <c r="L41" s="326"/>
      <c r="M41" s="326"/>
      <c r="N41" s="326"/>
      <c r="O41" s="326"/>
    </row>
    <row r="42" spans="1:15" ht="14.25" customHeight="1">
      <c r="J42" s="326"/>
      <c r="K42" s="122"/>
      <c r="L42" s="326"/>
      <c r="M42" s="326"/>
      <c r="N42" s="326"/>
      <c r="O42" s="326"/>
    </row>
    <row r="43" spans="1:15" ht="14.25" customHeight="1">
      <c r="J43" s="326"/>
      <c r="K43" s="122"/>
      <c r="L43" s="326"/>
      <c r="M43" s="326"/>
      <c r="N43" s="326"/>
      <c r="O43" s="326"/>
    </row>
    <row r="44" spans="1:15" ht="14.25" customHeight="1">
      <c r="K44" s="40"/>
    </row>
    <row r="45" spans="1:15" ht="14.25" customHeight="1">
      <c r="K45" s="40"/>
    </row>
    <row r="46" spans="1:15" ht="14.25" customHeight="1">
      <c r="K46" s="40"/>
    </row>
    <row r="47" spans="1:15" ht="14.25" customHeight="1">
      <c r="K47" s="40"/>
    </row>
    <row r="48" spans="1:15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9:D9"/>
    <mergeCell ref="A1:H1"/>
    <mergeCell ref="B2:F2"/>
    <mergeCell ref="G2:H3"/>
    <mergeCell ref="B3:F3"/>
    <mergeCell ref="B4:F4"/>
    <mergeCell ref="G4:H4"/>
    <mergeCell ref="B5:F5"/>
    <mergeCell ref="G5:H5"/>
    <mergeCell ref="A6:H6"/>
    <mergeCell ref="A7:D7"/>
    <mergeCell ref="A8:D8"/>
    <mergeCell ref="A21:G21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B35:H35"/>
    <mergeCell ref="A22:H22"/>
    <mergeCell ref="A23:D23"/>
    <mergeCell ref="A24:D24"/>
    <mergeCell ref="A25:D25"/>
    <mergeCell ref="A26:D26"/>
    <mergeCell ref="A27:D27"/>
    <mergeCell ref="A28:G28"/>
    <mergeCell ref="A30:G30"/>
    <mergeCell ref="B32:H32"/>
    <mergeCell ref="B33:H33"/>
    <mergeCell ref="B34:H34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="110" zoomScaleNormal="11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'10.5'!A1:H1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Presupuesto!B83</f>
        <v>10.7</v>
      </c>
      <c r="B5" s="780" t="str">
        <f>Presupuesto!C83</f>
        <v>Aseo grueso y diario</v>
      </c>
      <c r="C5" s="686"/>
      <c r="D5" s="686"/>
      <c r="E5" s="686"/>
      <c r="F5" s="687"/>
      <c r="G5" s="866" t="str">
        <f>Presupuesto!D83</f>
        <v>GB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/>
      <c r="B8" s="666"/>
      <c r="C8" s="666"/>
      <c r="D8" s="667"/>
      <c r="E8" s="7"/>
      <c r="F8" s="80"/>
      <c r="G8" s="7"/>
      <c r="H8" s="79"/>
      <c r="K8" s="40"/>
    </row>
    <row r="9" spans="1:26" ht="14.25" customHeight="1">
      <c r="A9" s="814"/>
      <c r="B9" s="666"/>
      <c r="C9" s="666"/>
      <c r="D9" s="667"/>
      <c r="E9" s="7"/>
      <c r="F9" s="80"/>
      <c r="G9" s="7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148</v>
      </c>
      <c r="B16" s="666"/>
      <c r="C16" s="666"/>
      <c r="D16" s="667"/>
      <c r="E16" s="7" t="s">
        <v>61</v>
      </c>
      <c r="F16" s="80">
        <v>350</v>
      </c>
      <c r="G16" s="176">
        <f>G24</f>
        <v>5.0000000000000001E-3</v>
      </c>
      <c r="H16" s="79">
        <f>F16/G16</f>
        <v>70000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 t="s">
        <v>149</v>
      </c>
      <c r="B17" s="666"/>
      <c r="C17" s="666"/>
      <c r="D17" s="667"/>
      <c r="E17" s="7" t="s">
        <v>61</v>
      </c>
      <c r="F17" s="80">
        <v>350</v>
      </c>
      <c r="G17" s="176">
        <f>G24</f>
        <v>5.0000000000000001E-3</v>
      </c>
      <c r="H17" s="79">
        <f>F17/G17</f>
        <v>70000</v>
      </c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4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140000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cuadrillas'!C8</f>
        <v>Cuadrilla Oficios Varios</v>
      </c>
      <c r="B24" s="666"/>
      <c r="C24" s="666"/>
      <c r="D24" s="667"/>
      <c r="E24" s="7">
        <v>1</v>
      </c>
      <c r="F24" s="88">
        <f>'Analisis de cuadrillas'!G8</f>
        <v>33253.333333333336</v>
      </c>
      <c r="G24" s="115">
        <v>5.0000000000000001E-3</v>
      </c>
      <c r="H24" s="79">
        <f>E24*(F24/G24)</f>
        <v>6650666.666666667</v>
      </c>
      <c r="I24" s="58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6650667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6790667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17" zoomScaleNormal="10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8" width="15" bestFit="1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'10.7'!A1:H1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49">
        <f>Presupuesto!B84</f>
        <v>10.8</v>
      </c>
      <c r="B5" s="780" t="str">
        <f>Presupuesto!C84</f>
        <v>Aseo fino para entrega de la obra</v>
      </c>
      <c r="C5" s="686"/>
      <c r="D5" s="686"/>
      <c r="E5" s="686"/>
      <c r="F5" s="687"/>
      <c r="G5" s="866" t="str">
        <f>Presupuesto!D84</f>
        <v>GB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 t="s">
        <v>241</v>
      </c>
      <c r="B8" s="666"/>
      <c r="C8" s="666"/>
      <c r="D8" s="667"/>
      <c r="E8" s="7" t="s">
        <v>185</v>
      </c>
      <c r="F8" s="80">
        <v>13.45</v>
      </c>
      <c r="G8" s="7">
        <v>185</v>
      </c>
      <c r="H8" s="79">
        <f>F8*G8</f>
        <v>2488.25</v>
      </c>
      <c r="K8" s="40"/>
    </row>
    <row r="9" spans="1:26" ht="14.25" customHeight="1">
      <c r="A9" s="814" t="s">
        <v>242</v>
      </c>
      <c r="B9" s="666"/>
      <c r="C9" s="666"/>
      <c r="D9" s="667"/>
      <c r="E9" s="7" t="s">
        <v>30</v>
      </c>
      <c r="F9" s="80">
        <v>24000</v>
      </c>
      <c r="G9" s="7">
        <v>1</v>
      </c>
      <c r="H9" s="79">
        <f>F9*G9</f>
        <v>24000</v>
      </c>
      <c r="K9" s="40"/>
    </row>
    <row r="10" spans="1:26" ht="14.25" customHeight="1">
      <c r="A10" s="818" t="s">
        <v>319</v>
      </c>
      <c r="B10" s="666"/>
      <c r="C10" s="666"/>
      <c r="D10" s="667"/>
      <c r="E10" s="5" t="s">
        <v>30</v>
      </c>
      <c r="F10" s="84">
        <v>32500</v>
      </c>
      <c r="G10" s="5">
        <v>1</v>
      </c>
      <c r="H10" s="79">
        <f>F10*G10</f>
        <v>32500</v>
      </c>
    </row>
    <row r="11" spans="1:26" ht="14.25" customHeight="1">
      <c r="A11" s="818"/>
      <c r="B11" s="666"/>
      <c r="C11" s="666"/>
      <c r="D11" s="667"/>
      <c r="E11" s="5"/>
      <c r="F11" s="84"/>
      <c r="G11" s="5"/>
      <c r="H11" s="79">
        <f>F11*G11</f>
        <v>0</v>
      </c>
      <c r="K11" s="40"/>
    </row>
    <row r="12" spans="1:26" ht="14.25" customHeight="1" thickBot="1">
      <c r="A12" s="819"/>
      <c r="B12" s="700"/>
      <c r="C12" s="700"/>
      <c r="D12" s="776"/>
      <c r="E12" s="56"/>
      <c r="F12" s="85"/>
      <c r="G12" s="56"/>
      <c r="H12" s="79">
        <f>F12*G12</f>
        <v>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58988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4" t="s">
        <v>243</v>
      </c>
      <c r="B16" s="666"/>
      <c r="C16" s="666"/>
      <c r="D16" s="667"/>
      <c r="E16" s="7" t="s">
        <v>61</v>
      </c>
      <c r="F16" s="80">
        <v>350</v>
      </c>
      <c r="G16" s="176">
        <f>G24</f>
        <v>0.5</v>
      </c>
      <c r="H16" s="79">
        <f>F16/G16</f>
        <v>700</v>
      </c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4"/>
      <c r="B17" s="666"/>
      <c r="C17" s="666"/>
      <c r="D17" s="667"/>
      <c r="E17" s="7"/>
      <c r="F17" s="80"/>
      <c r="G17" s="176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700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 t="str">
        <f>'Analisis de cuadrillas'!C8</f>
        <v>Cuadrilla Oficios Varios</v>
      </c>
      <c r="B24" s="666"/>
      <c r="C24" s="666"/>
      <c r="D24" s="667"/>
      <c r="E24" s="7">
        <v>1</v>
      </c>
      <c r="F24" s="88">
        <f>'Analisis de cuadrillas'!G8</f>
        <v>33253.333333333336</v>
      </c>
      <c r="G24" s="115">
        <v>0.5</v>
      </c>
      <c r="H24" s="79">
        <f>E24*(F24/G24)</f>
        <v>66506.666666666672</v>
      </c>
      <c r="I24" s="58"/>
      <c r="K24" s="58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66507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126195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Z1000"/>
  <sheetViews>
    <sheetView showGridLines="0" topLeftCell="A21" zoomScale="70" zoomScaleNormal="70" workbookViewId="0">
      <selection sqref="A1:H1"/>
    </sheetView>
  </sheetViews>
  <sheetFormatPr baseColWidth="10" defaultColWidth="12.625" defaultRowHeight="15" customHeight="1"/>
  <cols>
    <col min="1" max="3" width="10" customWidth="1"/>
    <col min="4" max="4" width="11.125" customWidth="1"/>
    <col min="5" max="5" width="15.375" customWidth="1"/>
    <col min="6" max="6" width="14.75" customWidth="1"/>
    <col min="7" max="7" width="12.375" customWidth="1"/>
    <col min="8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>
      <c r="A1" s="843" t="str">
        <f>'10.8'!A1:H1</f>
        <v>PRESUPUESTO PARA LA CONSTRUCCION DE SALON SOCIAL EN LA COMUNIDAD DE NUEVA JERUSALEN</v>
      </c>
      <c r="B1" s="717"/>
      <c r="C1" s="717"/>
      <c r="D1" s="717"/>
      <c r="E1" s="717"/>
      <c r="F1" s="717"/>
      <c r="G1" s="717"/>
      <c r="H1" s="654"/>
      <c r="K1" s="40"/>
    </row>
    <row r="2" spans="1:26" ht="14.25" customHeight="1">
      <c r="A2" s="43" t="s">
        <v>99</v>
      </c>
      <c r="B2" s="785" t="s">
        <v>100</v>
      </c>
      <c r="C2" s="679"/>
      <c r="D2" s="679"/>
      <c r="E2" s="679"/>
      <c r="F2" s="679"/>
      <c r="G2" s="835" t="s">
        <v>75</v>
      </c>
      <c r="H2" s="836"/>
      <c r="K2" s="40"/>
    </row>
    <row r="3" spans="1:26" ht="15.75" customHeight="1">
      <c r="A3" s="44">
        <f>Presupuesto!B76</f>
        <v>10</v>
      </c>
      <c r="B3" s="790" t="str">
        <f>Presupuesto!C76</f>
        <v>ACABADOS</v>
      </c>
      <c r="C3" s="686"/>
      <c r="D3" s="686"/>
      <c r="E3" s="686"/>
      <c r="F3" s="686"/>
      <c r="G3" s="788"/>
      <c r="H3" s="828"/>
      <c r="K3" s="40"/>
    </row>
    <row r="4" spans="1:26" ht="14.25" customHeight="1">
      <c r="A4" s="165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829"/>
      <c r="K4" s="40"/>
    </row>
    <row r="5" spans="1:26" ht="14.25" customHeight="1">
      <c r="A5" s="164">
        <f>Presupuesto!B85</f>
        <v>10.9</v>
      </c>
      <c r="B5" s="780" t="str">
        <f>Presupuesto!C85</f>
        <v>Manual de mantenimiento del salon comunal</v>
      </c>
      <c r="C5" s="686"/>
      <c r="D5" s="686"/>
      <c r="E5" s="686"/>
      <c r="F5" s="687"/>
      <c r="G5" s="866" t="str">
        <f>Presupuesto!D85</f>
        <v>GB</v>
      </c>
      <c r="H5" s="822"/>
      <c r="K5" s="40"/>
    </row>
    <row r="6" spans="1:26" ht="14.25" customHeight="1">
      <c r="A6" s="897" t="s">
        <v>102</v>
      </c>
      <c r="B6" s="672"/>
      <c r="C6" s="672"/>
      <c r="D6" s="672"/>
      <c r="E6" s="672"/>
      <c r="F6" s="672"/>
      <c r="G6" s="672"/>
      <c r="H6" s="673"/>
      <c r="K6" s="40"/>
    </row>
    <row r="7" spans="1:26" ht="14.25" customHeight="1">
      <c r="A7" s="823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52" t="s">
        <v>107</v>
      </c>
      <c r="K7" s="40"/>
    </row>
    <row r="8" spans="1:26" ht="14.25" customHeight="1">
      <c r="A8" s="814"/>
      <c r="B8" s="666"/>
      <c r="C8" s="666"/>
      <c r="D8" s="667"/>
      <c r="E8" s="7"/>
      <c r="F8" s="80"/>
      <c r="G8" s="7"/>
      <c r="H8" s="79"/>
      <c r="K8" s="40"/>
    </row>
    <row r="9" spans="1:26" ht="14.25" customHeight="1">
      <c r="A9" s="818"/>
      <c r="B9" s="666"/>
      <c r="C9" s="666"/>
      <c r="D9" s="667"/>
      <c r="E9" s="5"/>
      <c r="F9" s="84"/>
      <c r="G9" s="5"/>
      <c r="H9" s="79"/>
      <c r="K9" s="40"/>
    </row>
    <row r="10" spans="1:26" ht="14.25" customHeight="1">
      <c r="A10" s="818"/>
      <c r="B10" s="666"/>
      <c r="C10" s="666"/>
      <c r="D10" s="667"/>
      <c r="E10" s="5"/>
      <c r="F10" s="84"/>
      <c r="G10" s="5"/>
      <c r="H10" s="79"/>
      <c r="K10" s="40"/>
    </row>
    <row r="11" spans="1:26" ht="14.25" customHeight="1">
      <c r="A11" s="818"/>
      <c r="B11" s="666"/>
      <c r="C11" s="666"/>
      <c r="D11" s="667"/>
      <c r="E11" s="5"/>
      <c r="F11" s="84"/>
      <c r="G11" s="5"/>
      <c r="H11" s="79"/>
      <c r="K11" s="40"/>
    </row>
    <row r="12" spans="1:26" ht="14.25" customHeight="1">
      <c r="A12" s="819"/>
      <c r="B12" s="700"/>
      <c r="C12" s="700"/>
      <c r="D12" s="776"/>
      <c r="E12" s="56"/>
      <c r="F12" s="85"/>
      <c r="G12" s="56"/>
      <c r="H12" s="79"/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817" t="s">
        <v>110</v>
      </c>
      <c r="B13" s="672"/>
      <c r="C13" s="672"/>
      <c r="D13" s="672"/>
      <c r="E13" s="672"/>
      <c r="F13" s="672"/>
      <c r="G13" s="714"/>
      <c r="H13" s="81">
        <f>ROUND(SUM(H8:H12),0)</f>
        <v>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 ht="14.25" customHeight="1">
      <c r="A14" s="820" t="s">
        <v>112</v>
      </c>
      <c r="B14" s="672"/>
      <c r="C14" s="672"/>
      <c r="D14" s="672"/>
      <c r="E14" s="672"/>
      <c r="F14" s="672"/>
      <c r="G14" s="672"/>
      <c r="H14" s="673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821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62" t="s">
        <v>107</v>
      </c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818"/>
      <c r="B16" s="666"/>
      <c r="C16" s="666"/>
      <c r="D16" s="667"/>
      <c r="E16" s="5"/>
      <c r="F16" s="84"/>
      <c r="G16" s="5"/>
      <c r="H16" s="79"/>
      <c r="J16" s="40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818"/>
      <c r="B17" s="666"/>
      <c r="C17" s="666"/>
      <c r="D17" s="667"/>
      <c r="E17" s="5"/>
      <c r="F17" s="84"/>
      <c r="G17" s="5"/>
      <c r="H17" s="79"/>
      <c r="J17" s="40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818"/>
      <c r="B18" s="666"/>
      <c r="C18" s="666"/>
      <c r="D18" s="667"/>
      <c r="E18" s="5"/>
      <c r="F18" s="84"/>
      <c r="G18" s="5"/>
      <c r="H18" s="79"/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818"/>
      <c r="B19" s="666"/>
      <c r="C19" s="666"/>
      <c r="D19" s="667"/>
      <c r="E19" s="5"/>
      <c r="F19" s="84"/>
      <c r="G19" s="5"/>
      <c r="H19" s="79"/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819"/>
      <c r="B20" s="700"/>
      <c r="C20" s="700"/>
      <c r="D20" s="776"/>
      <c r="E20" s="56"/>
      <c r="F20" s="85"/>
      <c r="G20" s="56"/>
      <c r="H20" s="79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817" t="s">
        <v>116</v>
      </c>
      <c r="B21" s="672"/>
      <c r="C21" s="672"/>
      <c r="D21" s="672"/>
      <c r="E21" s="672"/>
      <c r="F21" s="672"/>
      <c r="G21" s="714"/>
      <c r="H21" s="86">
        <f>ROUNDUP(SUM(H16:H20),0)</f>
        <v>0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>
      <c r="A22" s="811" t="s">
        <v>118</v>
      </c>
      <c r="B22" s="676"/>
      <c r="C22" s="676"/>
      <c r="D22" s="676"/>
      <c r="E22" s="676"/>
      <c r="F22" s="676"/>
      <c r="G22" s="676"/>
      <c r="H22" s="812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81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68" t="s">
        <v>107</v>
      </c>
      <c r="J23" s="40"/>
      <c r="K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818"/>
      <c r="B24" s="666"/>
      <c r="C24" s="666"/>
      <c r="D24" s="667"/>
      <c r="E24" s="5"/>
      <c r="F24" s="88"/>
      <c r="G24" s="5"/>
      <c r="H24" s="79"/>
      <c r="I24" s="40"/>
      <c r="K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818"/>
      <c r="B25" s="666"/>
      <c r="C25" s="666"/>
      <c r="D25" s="667"/>
      <c r="E25" s="5"/>
      <c r="F25" s="88"/>
      <c r="G25" s="5"/>
      <c r="H25" s="79"/>
      <c r="I25" s="40"/>
      <c r="J25" s="73"/>
      <c r="K25" s="40"/>
      <c r="L25" s="107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815"/>
      <c r="B26" s="666"/>
      <c r="C26" s="666"/>
      <c r="D26" s="667"/>
      <c r="E26" s="5"/>
      <c r="F26" s="88"/>
      <c r="G26" s="5"/>
      <c r="H26" s="79"/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>
      <c r="A27" s="816"/>
      <c r="B27" s="686"/>
      <c r="C27" s="686"/>
      <c r="D27" s="687"/>
      <c r="E27" s="89"/>
      <c r="F27" s="90"/>
      <c r="G27" s="56"/>
      <c r="H27" s="91"/>
      <c r="K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>
      <c r="A28" s="817" t="s">
        <v>122</v>
      </c>
      <c r="B28" s="672"/>
      <c r="C28" s="672"/>
      <c r="D28" s="672"/>
      <c r="E28" s="672"/>
      <c r="F28" s="672"/>
      <c r="G28" s="714"/>
      <c r="H28" s="86">
        <f>ROUNDUP(SUM(H24:H27),0)</f>
        <v>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70" t="s">
        <v>123</v>
      </c>
      <c r="B30" s="672"/>
      <c r="C30" s="672"/>
      <c r="D30" s="672"/>
      <c r="E30" s="672"/>
      <c r="F30" s="672"/>
      <c r="G30" s="714"/>
      <c r="H30" s="92">
        <f>+H28+H13+H21</f>
        <v>0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J31" s="40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'1.1'!B32</f>
        <v>Johan Sebastian Alvarez, Daniel Eduardo Ochoa Mora</v>
      </c>
      <c r="C32" s="762"/>
      <c r="D32" s="762"/>
      <c r="E32" s="762"/>
      <c r="F32" s="762"/>
      <c r="G32" s="762"/>
      <c r="H32" s="762"/>
      <c r="K32" s="40"/>
    </row>
    <row r="33" spans="1:11" ht="14.25" customHeight="1">
      <c r="A33" s="291" t="s">
        <v>247</v>
      </c>
      <c r="B33" s="761" t="str">
        <f>'1.1'!B33</f>
        <v>ing. Alexander Solarte Benavides</v>
      </c>
      <c r="C33" s="762"/>
      <c r="D33" s="762"/>
      <c r="E33" s="762"/>
      <c r="F33" s="762"/>
      <c r="G33" s="762"/>
      <c r="H33" s="762"/>
      <c r="K33" s="40"/>
    </row>
    <row r="34" spans="1:11" ht="14.25" customHeight="1">
      <c r="A34" s="291" t="s">
        <v>248</v>
      </c>
      <c r="B34" s="761" t="str">
        <f>'1.1'!B34</f>
        <v>ing.Alexander Solarte Benavides</v>
      </c>
      <c r="C34" s="762"/>
      <c r="D34" s="762"/>
      <c r="E34" s="762"/>
      <c r="F34" s="762"/>
      <c r="G34" s="762"/>
      <c r="H34" s="762"/>
      <c r="K34" s="40"/>
    </row>
    <row r="35" spans="1:11" ht="14.25" customHeight="1">
      <c r="A35" s="291" t="s">
        <v>4</v>
      </c>
      <c r="B35" s="761" t="str">
        <f>'1.1'!B35</f>
        <v>12 de Noviembre del 2020</v>
      </c>
      <c r="C35" s="810"/>
      <c r="D35" s="810"/>
      <c r="E35" s="810"/>
      <c r="F35" s="810"/>
      <c r="G35" s="810"/>
      <c r="H35" s="810"/>
      <c r="K35" s="40"/>
    </row>
    <row r="36" spans="1:11" ht="14.25" customHeight="1">
      <c r="K36" s="40"/>
    </row>
    <row r="37" spans="1:11" ht="14.25" customHeight="1">
      <c r="K37" s="40"/>
    </row>
    <row r="38" spans="1:11" ht="14.25" customHeight="1">
      <c r="K38" s="40"/>
    </row>
    <row r="39" spans="1:11" ht="14.25" customHeight="1">
      <c r="K39" s="40"/>
    </row>
    <row r="40" spans="1:11" ht="14.25" customHeight="1">
      <c r="K40" s="40"/>
    </row>
    <row r="41" spans="1:11" ht="14.25" customHeight="1">
      <c r="K41" s="40"/>
    </row>
    <row r="42" spans="1:11" ht="14.25" customHeight="1">
      <c r="K42" s="40"/>
    </row>
    <row r="43" spans="1:11" ht="14.25" customHeight="1">
      <c r="K43" s="40"/>
    </row>
    <row r="44" spans="1:11" ht="14.25" customHeight="1">
      <c r="K44" s="40"/>
    </row>
    <row r="45" spans="1:11" ht="14.25" customHeight="1">
      <c r="K45" s="40"/>
    </row>
    <row r="46" spans="1:11" ht="14.25" customHeight="1">
      <c r="K46" s="40"/>
    </row>
    <row r="47" spans="1:11" ht="14.25" customHeight="1">
      <c r="K47" s="40"/>
    </row>
    <row r="48" spans="1:11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7:D7"/>
    <mergeCell ref="A8:D8"/>
    <mergeCell ref="A9:D9"/>
    <mergeCell ref="A10:D10"/>
    <mergeCell ref="A11:D11"/>
    <mergeCell ref="A12:D12"/>
    <mergeCell ref="A13:G13"/>
    <mergeCell ref="A14:H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B33:H33"/>
    <mergeCell ref="B34:H34"/>
    <mergeCell ref="B35:H35"/>
    <mergeCell ref="A24:D24"/>
    <mergeCell ref="A25:D25"/>
    <mergeCell ref="A26:D26"/>
    <mergeCell ref="A27:D27"/>
    <mergeCell ref="A28:G28"/>
    <mergeCell ref="A30:G30"/>
    <mergeCell ref="B32:H32"/>
  </mergeCells>
  <hyperlinks>
    <hyperlink ref="G2:H3" location="Presupuesto!A1" display="Click aquí para volver a PRESUPUESTO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BA558"/>
    <outlinePr summaryBelow="0" summaryRight="0"/>
  </sheetPr>
  <dimension ref="A1:L54"/>
  <sheetViews>
    <sheetView showGridLines="0" topLeftCell="A9" zoomScale="80" zoomScaleNormal="80" workbookViewId="0">
      <selection activeCell="I29" sqref="I29"/>
    </sheetView>
  </sheetViews>
  <sheetFormatPr baseColWidth="10" defaultColWidth="12.625" defaultRowHeight="15" customHeight="1"/>
  <cols>
    <col min="1" max="1" width="12.625" style="311"/>
    <col min="3" max="3" width="53.375" customWidth="1"/>
    <col min="4" max="4" width="20.75" customWidth="1"/>
    <col min="5" max="5" width="19.75" customWidth="1"/>
    <col min="6" max="6" width="19.25" customWidth="1"/>
    <col min="7" max="7" width="17.5" bestFit="1" customWidth="1"/>
    <col min="9" max="9" width="14.875" bestFit="1" customWidth="1"/>
    <col min="11" max="11" width="15.75" customWidth="1"/>
    <col min="12" max="12" width="16.25" customWidth="1"/>
  </cols>
  <sheetData>
    <row r="1" spans="2:12" s="311" customFormat="1" ht="15" customHeight="1" thickBot="1"/>
    <row r="2" spans="2:12" ht="15" customHeight="1" thickBot="1">
      <c r="C2" s="747" t="str">
        <f>Portada!C6</f>
        <v>PRESUPUESTO PARA LA CONSTRUCCION DE SALON SOCIAL EN LA COMUNIDAD DE NUEVA JERUSALEN</v>
      </c>
      <c r="D2" s="748"/>
      <c r="E2" s="748"/>
      <c r="F2" s="748"/>
      <c r="G2" s="749"/>
    </row>
    <row r="3" spans="2:12" ht="15" customHeight="1" thickBot="1">
      <c r="C3" s="750" t="s">
        <v>252</v>
      </c>
      <c r="D3" s="751"/>
      <c r="E3" s="751"/>
      <c r="F3" s="751"/>
      <c r="G3" s="752"/>
    </row>
    <row r="4" spans="2:12" ht="15" customHeight="1" thickBot="1">
      <c r="C4" s="504" t="s">
        <v>253</v>
      </c>
      <c r="D4" s="505">
        <v>6</v>
      </c>
      <c r="E4" s="506">
        <f>D4*26</f>
        <v>156</v>
      </c>
      <c r="F4" s="753" t="s">
        <v>286</v>
      </c>
      <c r="G4" s="754"/>
    </row>
    <row r="5" spans="2:12" ht="15" customHeight="1">
      <c r="C5" s="507"/>
      <c r="D5" s="507"/>
      <c r="E5" s="507"/>
      <c r="F5" s="507"/>
      <c r="G5" s="507"/>
    </row>
    <row r="6" spans="2:12" ht="15" customHeight="1">
      <c r="C6" s="508" t="s">
        <v>254</v>
      </c>
      <c r="D6" s="509" t="s">
        <v>255</v>
      </c>
      <c r="E6" s="509" t="s">
        <v>256</v>
      </c>
      <c r="F6" s="509" t="s">
        <v>257</v>
      </c>
      <c r="G6" s="509" t="s">
        <v>377</v>
      </c>
    </row>
    <row r="7" spans="2:12" ht="9" customHeight="1">
      <c r="C7" s="745" t="s">
        <v>258</v>
      </c>
      <c r="D7" s="745"/>
      <c r="E7" s="745"/>
      <c r="F7" s="745"/>
      <c r="G7" s="745"/>
    </row>
    <row r="8" spans="2:12" ht="11.45" customHeight="1">
      <c r="C8" s="745"/>
      <c r="D8" s="745"/>
      <c r="E8" s="745"/>
      <c r="F8" s="745"/>
      <c r="G8" s="745"/>
      <c r="H8" s="178"/>
    </row>
    <row r="9" spans="2:12" ht="15" customHeight="1">
      <c r="C9" s="510" t="s">
        <v>259</v>
      </c>
      <c r="D9" s="511">
        <v>1</v>
      </c>
      <c r="E9" s="512">
        <f>2405902*2</f>
        <v>4811804</v>
      </c>
      <c r="F9" s="512">
        <f t="shared" ref="F9:F11" si="0">+D9*E9</f>
        <v>4811804</v>
      </c>
      <c r="G9" s="512">
        <f>+F9*$D$4</f>
        <v>28870824</v>
      </c>
      <c r="H9" s="477"/>
      <c r="K9" s="465"/>
      <c r="L9" s="466"/>
    </row>
    <row r="10" spans="2:12" ht="15" customHeight="1">
      <c r="C10" s="510" t="s">
        <v>260</v>
      </c>
      <c r="D10" s="511">
        <v>1</v>
      </c>
      <c r="E10" s="512">
        <f>1500000*2</f>
        <v>3000000</v>
      </c>
      <c r="F10" s="512">
        <f>+D10*E10</f>
        <v>3000000</v>
      </c>
      <c r="G10" s="512">
        <f t="shared" ref="G10:G11" si="1">+F10*$D$4</f>
        <v>18000000</v>
      </c>
      <c r="H10" s="477"/>
      <c r="K10" s="465"/>
      <c r="L10" s="478"/>
    </row>
    <row r="11" spans="2:12" ht="15" customHeight="1" thickBot="1">
      <c r="C11" s="513" t="s">
        <v>261</v>
      </c>
      <c r="D11" s="514">
        <v>1</v>
      </c>
      <c r="E11" s="515">
        <f>1074227*2</f>
        <v>2148454</v>
      </c>
      <c r="F11" s="515">
        <f t="shared" si="0"/>
        <v>2148454</v>
      </c>
      <c r="G11" s="515">
        <f t="shared" si="1"/>
        <v>12890724</v>
      </c>
      <c r="H11" s="477"/>
    </row>
    <row r="12" spans="2:12" ht="15" customHeight="1" thickBot="1">
      <c r="B12" s="178"/>
      <c r="C12" s="741" t="s">
        <v>262</v>
      </c>
      <c r="D12" s="742"/>
      <c r="E12" s="743"/>
      <c r="F12" s="516">
        <f>+SUM(F9:F11)</f>
        <v>9960258</v>
      </c>
      <c r="G12" s="517">
        <f>+SUM(G9:G11)</f>
        <v>59761548</v>
      </c>
      <c r="H12" s="178"/>
    </row>
    <row r="13" spans="2:12" ht="15" customHeight="1">
      <c r="C13" s="744" t="s">
        <v>263</v>
      </c>
      <c r="D13" s="744"/>
      <c r="E13" s="744"/>
      <c r="F13" s="744"/>
      <c r="G13" s="744"/>
    </row>
    <row r="14" spans="2:12" ht="15" customHeight="1">
      <c r="C14" s="745"/>
      <c r="D14" s="745"/>
      <c r="E14" s="745"/>
      <c r="F14" s="745"/>
      <c r="G14" s="745"/>
      <c r="K14" s="446"/>
      <c r="L14" s="481"/>
    </row>
    <row r="15" spans="2:12" ht="15" customHeight="1">
      <c r="C15" s="510" t="s">
        <v>264</v>
      </c>
      <c r="D15" s="511">
        <v>1</v>
      </c>
      <c r="E15" s="512">
        <v>200000</v>
      </c>
      <c r="F15" s="512">
        <f>+E15*D15</f>
        <v>200000</v>
      </c>
      <c r="G15" s="512">
        <f>+F15*$D$4</f>
        <v>1200000</v>
      </c>
      <c r="K15" s="446"/>
      <c r="L15" s="482"/>
    </row>
    <row r="16" spans="2:12" ht="15" customHeight="1">
      <c r="C16" s="510" t="s">
        <v>265</v>
      </c>
      <c r="D16" s="511">
        <v>1</v>
      </c>
      <c r="E16" s="512">
        <v>100000</v>
      </c>
      <c r="F16" s="512">
        <f>+E16*D16</f>
        <v>100000</v>
      </c>
      <c r="G16" s="512">
        <f>+F16*$D$4</f>
        <v>600000</v>
      </c>
    </row>
    <row r="17" spans="3:8" ht="15" customHeight="1" thickBot="1">
      <c r="C17" s="510" t="s">
        <v>266</v>
      </c>
      <c r="D17" s="511">
        <v>1</v>
      </c>
      <c r="E17" s="512">
        <v>150000</v>
      </c>
      <c r="F17" s="512">
        <f>+E17*D17</f>
        <v>150000</v>
      </c>
      <c r="G17" s="512">
        <f>+F17*$D$4</f>
        <v>900000</v>
      </c>
    </row>
    <row r="18" spans="3:8" ht="15" customHeight="1" thickBot="1">
      <c r="C18" s="741" t="s">
        <v>267</v>
      </c>
      <c r="D18" s="742"/>
      <c r="E18" s="743"/>
      <c r="F18" s="516">
        <f>+SUM(F15:F17)</f>
        <v>450000</v>
      </c>
      <c r="G18" s="517">
        <f>+SUM(G15:G17)</f>
        <v>2700000</v>
      </c>
    </row>
    <row r="19" spans="3:8" ht="15" customHeight="1">
      <c r="C19" s="744" t="s">
        <v>268</v>
      </c>
      <c r="D19" s="744"/>
      <c r="E19" s="744"/>
      <c r="F19" s="744"/>
      <c r="G19" s="744"/>
    </row>
    <row r="20" spans="3:8" ht="15" customHeight="1">
      <c r="C20" s="745"/>
      <c r="D20" s="745"/>
      <c r="E20" s="745"/>
      <c r="F20" s="745"/>
      <c r="G20" s="745"/>
    </row>
    <row r="21" spans="3:8" ht="15" customHeight="1" thickBot="1">
      <c r="C21" s="513" t="s">
        <v>382</v>
      </c>
      <c r="D21" s="518">
        <v>0.16667000000000001</v>
      </c>
      <c r="E21" s="519">
        <f>+(E39*0.01)*D21</f>
        <v>601155.63620560011</v>
      </c>
      <c r="F21" s="515">
        <f>+E21</f>
        <v>601155.63620560011</v>
      </c>
      <c r="G21" s="515">
        <f>+F21*$D$4</f>
        <v>3606933.8172336007</v>
      </c>
      <c r="H21" s="309"/>
    </row>
    <row r="22" spans="3:8" ht="15" customHeight="1" thickBot="1">
      <c r="C22" s="741" t="s">
        <v>269</v>
      </c>
      <c r="D22" s="742"/>
      <c r="E22" s="743"/>
      <c r="F22" s="516">
        <f>+SUM(F21)</f>
        <v>601155.63620560011</v>
      </c>
      <c r="G22" s="520">
        <f>+SUM(G21)</f>
        <v>3606933.8172336007</v>
      </c>
    </row>
    <row r="23" spans="3:8" ht="15" customHeight="1" thickBot="1">
      <c r="C23" s="755"/>
      <c r="D23" s="755"/>
      <c r="E23" s="755"/>
      <c r="F23" s="755"/>
      <c r="G23" s="755"/>
    </row>
    <row r="24" spans="3:8" ht="15" customHeight="1" thickBot="1">
      <c r="C24" s="756" t="s">
        <v>378</v>
      </c>
      <c r="D24" s="757"/>
      <c r="E24" s="757"/>
      <c r="F24" s="521">
        <f>+F12+F18+F22</f>
        <v>11011413.636205601</v>
      </c>
      <c r="G24" s="522">
        <f>+G12+G18+G22</f>
        <v>66068481.8172336</v>
      </c>
    </row>
    <row r="25" spans="3:8" ht="15" customHeight="1">
      <c r="C25" s="523"/>
      <c r="D25" s="523"/>
      <c r="E25" s="523"/>
      <c r="F25" s="507"/>
      <c r="G25" s="507"/>
    </row>
    <row r="26" spans="3:8" ht="15" customHeight="1">
      <c r="C26" s="507"/>
      <c r="D26" s="507"/>
      <c r="E26" s="507"/>
      <c r="F26" s="507"/>
      <c r="G26" s="507"/>
    </row>
    <row r="27" spans="3:8" ht="15" customHeight="1">
      <c r="C27" s="508" t="s">
        <v>270</v>
      </c>
      <c r="D27" s="524" t="s">
        <v>271</v>
      </c>
      <c r="E27" s="524" t="s">
        <v>256</v>
      </c>
      <c r="F27" s="524" t="s">
        <v>257</v>
      </c>
      <c r="G27" s="509" t="s">
        <v>377</v>
      </c>
    </row>
    <row r="28" spans="3:8" ht="15" customHeight="1">
      <c r="C28" s="510" t="s">
        <v>272</v>
      </c>
      <c r="D28" s="511">
        <v>0.2</v>
      </c>
      <c r="E28" s="512">
        <v>2000000</v>
      </c>
      <c r="F28" s="512">
        <f>+E28*D28</f>
        <v>400000</v>
      </c>
      <c r="G28" s="512">
        <f>+F28*$D$4</f>
        <v>2400000</v>
      </c>
      <c r="H28" s="310"/>
    </row>
    <row r="29" spans="3:8" ht="15" customHeight="1">
      <c r="C29" s="510" t="s">
        <v>273</v>
      </c>
      <c r="D29" s="511">
        <v>0.3</v>
      </c>
      <c r="E29" s="512">
        <v>1130000</v>
      </c>
      <c r="F29" s="512">
        <f>+E29*D29</f>
        <v>339000</v>
      </c>
      <c r="G29" s="512">
        <f>+F29*$D$4</f>
        <v>2034000</v>
      </c>
      <c r="H29" s="310"/>
    </row>
    <row r="30" spans="3:8" ht="15" customHeight="1">
      <c r="C30" s="510" t="s">
        <v>274</v>
      </c>
      <c r="D30" s="511">
        <v>0.25</v>
      </c>
      <c r="E30" s="512">
        <v>1000000</v>
      </c>
      <c r="F30" s="512">
        <f>+E30*D30</f>
        <v>250000</v>
      </c>
      <c r="G30" s="512">
        <f>+F30*$D$4</f>
        <v>1500000</v>
      </c>
      <c r="H30" s="310"/>
    </row>
    <row r="31" spans="3:8" ht="15" customHeight="1" thickBot="1">
      <c r="C31" s="513" t="s">
        <v>275</v>
      </c>
      <c r="D31" s="514">
        <v>0.2</v>
      </c>
      <c r="E31" s="515">
        <v>1000000</v>
      </c>
      <c r="F31" s="515">
        <f>+E31*D31</f>
        <v>200000</v>
      </c>
      <c r="G31" s="515">
        <f>+F31*$D$4</f>
        <v>1200000</v>
      </c>
      <c r="H31" s="310"/>
    </row>
    <row r="32" spans="3:8" ht="15" customHeight="1" thickBot="1">
      <c r="C32" s="758" t="s">
        <v>379</v>
      </c>
      <c r="D32" s="759"/>
      <c r="E32" s="760"/>
      <c r="F32" s="516">
        <f>+SUM(F28:F31)</f>
        <v>1189000</v>
      </c>
      <c r="G32" s="517">
        <f>+SUM(G28:G31)</f>
        <v>7134000</v>
      </c>
    </row>
    <row r="33" spans="1:10" ht="15" customHeight="1">
      <c r="C33" s="507"/>
      <c r="D33" s="525"/>
      <c r="E33" s="507"/>
      <c r="F33" s="507"/>
      <c r="G33" s="507"/>
    </row>
    <row r="34" spans="1:10" ht="15" customHeight="1">
      <c r="C34" s="508" t="s">
        <v>276</v>
      </c>
      <c r="D34" s="524" t="s">
        <v>89</v>
      </c>
      <c r="E34" s="524" t="s">
        <v>256</v>
      </c>
      <c r="F34" s="524" t="s">
        <v>257</v>
      </c>
      <c r="G34" s="509" t="s">
        <v>377</v>
      </c>
    </row>
    <row r="35" spans="1:10" ht="15" customHeight="1" thickBot="1">
      <c r="C35" s="513" t="s">
        <v>277</v>
      </c>
      <c r="D35" s="514">
        <v>0.05</v>
      </c>
      <c r="E35" s="526">
        <f>+(E39*D35)/D4</f>
        <v>3005718.0666666669</v>
      </c>
      <c r="F35" s="515">
        <f>+E35</f>
        <v>3005718.0666666669</v>
      </c>
      <c r="G35" s="515">
        <f>+F35*$D$4</f>
        <v>18034308.400000002</v>
      </c>
      <c r="I35" s="465"/>
      <c r="J35" s="466"/>
    </row>
    <row r="36" spans="1:10" ht="15" customHeight="1" thickBot="1">
      <c r="C36" s="758" t="s">
        <v>380</v>
      </c>
      <c r="D36" s="759"/>
      <c r="E36" s="760"/>
      <c r="F36" s="516">
        <f>+SUM(F35)</f>
        <v>3005718.0666666669</v>
      </c>
      <c r="G36" s="517">
        <f>+SUM(G35)</f>
        <v>18034308.400000002</v>
      </c>
      <c r="I36" s="465"/>
      <c r="J36" s="547"/>
    </row>
    <row r="37" spans="1:10" ht="15" customHeight="1">
      <c r="C37" s="507"/>
      <c r="D37" s="507"/>
      <c r="E37" s="507"/>
      <c r="F37" s="507"/>
      <c r="G37" s="507"/>
    </row>
    <row r="38" spans="1:10" ht="15" customHeight="1">
      <c r="C38" s="755" t="s">
        <v>278</v>
      </c>
      <c r="D38" s="755"/>
      <c r="E38" s="527"/>
      <c r="F38" s="507"/>
      <c r="G38" s="507"/>
    </row>
    <row r="39" spans="1:10" ht="15" customHeight="1">
      <c r="C39" s="746" t="s">
        <v>279</v>
      </c>
      <c r="D39" s="746"/>
      <c r="E39" s="528">
        <f>Presupuesto!G89</f>
        <v>360686168</v>
      </c>
      <c r="F39" s="529">
        <v>1</v>
      </c>
      <c r="G39" s="507"/>
    </row>
    <row r="40" spans="1:10" ht="15" customHeight="1">
      <c r="C40" s="530" t="s">
        <v>280</v>
      </c>
      <c r="D40" s="531">
        <f>+E39</f>
        <v>360686168</v>
      </c>
      <c r="E40" s="507"/>
      <c r="F40" s="507"/>
      <c r="G40" s="532" t="s">
        <v>281</v>
      </c>
    </row>
    <row r="41" spans="1:10" ht="15" customHeight="1">
      <c r="C41" s="533" t="s">
        <v>282</v>
      </c>
      <c r="D41" s="531">
        <f>+G24</f>
        <v>66068481.8172336</v>
      </c>
      <c r="E41" s="534">
        <f>+$E$39</f>
        <v>360686168</v>
      </c>
      <c r="F41" s="535">
        <f>+D41/E41</f>
        <v>0.18317442607678153</v>
      </c>
      <c r="G41" s="536">
        <f>+F41</f>
        <v>0.18317442607678153</v>
      </c>
    </row>
    <row r="42" spans="1:10" ht="15" customHeight="1">
      <c r="C42" s="533" t="s">
        <v>283</v>
      </c>
      <c r="D42" s="531">
        <f>+G32</f>
        <v>7134000</v>
      </c>
      <c r="E42" s="534">
        <f>+$D$40</f>
        <v>360686168</v>
      </c>
      <c r="F42" s="535">
        <f>+D42/E42</f>
        <v>1.9778967515050368E-2</v>
      </c>
      <c r="G42" s="536">
        <f>+F42</f>
        <v>1.9778967515050368E-2</v>
      </c>
    </row>
    <row r="43" spans="1:10" ht="15" customHeight="1" thickBot="1">
      <c r="C43" s="533" t="s">
        <v>284</v>
      </c>
      <c r="D43" s="531">
        <f>+G36</f>
        <v>18034308.400000002</v>
      </c>
      <c r="E43" s="534">
        <f>+$D$40</f>
        <v>360686168</v>
      </c>
      <c r="F43" s="535">
        <f>+D43/E43</f>
        <v>0.05</v>
      </c>
      <c r="G43" s="536">
        <f>+F43</f>
        <v>0.05</v>
      </c>
    </row>
    <row r="44" spans="1:10" ht="15" customHeight="1" thickBot="1">
      <c r="C44" s="507"/>
      <c r="D44" s="507"/>
      <c r="E44" s="507"/>
      <c r="F44" s="507"/>
      <c r="G44" s="537">
        <f>+SUM(G41:G43)</f>
        <v>0.25295339359183189</v>
      </c>
    </row>
    <row r="45" spans="1:10" s="307" customFormat="1" ht="15" customHeight="1">
      <c r="A45" s="311"/>
      <c r="C45" s="507"/>
      <c r="D45" s="507"/>
      <c r="E45" s="507"/>
      <c r="F45" s="507"/>
      <c r="G45" s="538"/>
    </row>
    <row r="46" spans="1:10" ht="15" customHeight="1" thickBot="1">
      <c r="C46" s="539"/>
      <c r="D46" s="540"/>
      <c r="E46" s="507"/>
      <c r="F46" s="507"/>
      <c r="G46" s="507"/>
    </row>
    <row r="47" spans="1:10" ht="15" customHeight="1" thickBot="1">
      <c r="C47" s="541" t="s">
        <v>285</v>
      </c>
      <c r="D47" s="542">
        <v>0.19</v>
      </c>
      <c r="E47" s="543">
        <f>+G36</f>
        <v>18034308.400000002</v>
      </c>
      <c r="F47" s="544">
        <f>+E47*D47</f>
        <v>3426518.5960000004</v>
      </c>
      <c r="G47" s="507"/>
    </row>
    <row r="48" spans="1:10" ht="15" customHeight="1">
      <c r="C48" s="257"/>
      <c r="D48" s="257"/>
      <c r="E48" s="257"/>
      <c r="F48" s="257"/>
      <c r="G48" s="257"/>
    </row>
    <row r="49" spans="3:8" ht="15" customHeight="1" thickBot="1">
      <c r="C49" s="257"/>
      <c r="D49" s="257"/>
      <c r="E49" s="257"/>
      <c r="F49" s="257"/>
      <c r="G49" s="257"/>
    </row>
    <row r="50" spans="3:8" ht="15" customHeight="1" thickBot="1">
      <c r="C50" s="738" t="s">
        <v>370</v>
      </c>
      <c r="D50" s="739"/>
      <c r="E50" s="740"/>
      <c r="F50" s="545">
        <f>+E39+(E39*G44)</f>
        <v>451922958.2172336</v>
      </c>
      <c r="G50" s="257"/>
    </row>
    <row r="51" spans="3:8" ht="15" customHeight="1">
      <c r="C51" s="257"/>
      <c r="D51" s="257"/>
      <c r="E51" s="257"/>
      <c r="F51" s="257"/>
      <c r="G51" s="257"/>
    </row>
    <row r="52" spans="3:8" ht="15" customHeight="1">
      <c r="C52" s="257"/>
      <c r="D52" s="257"/>
      <c r="E52" s="257"/>
      <c r="F52" s="257"/>
      <c r="G52" s="257"/>
    </row>
    <row r="54" spans="3:8" ht="15" customHeight="1">
      <c r="H54" s="466"/>
    </row>
  </sheetData>
  <sheetProtection algorithmName="SHA-512" hashValue="jvwXxisdNipe4Y3SPX2OoLribsU1+q0UhLuHPDRx8QQGS0cMQghi8ZJLPsRbda70n5TPeMOGjh5nmVXb8gzA6w==" saltValue="VtSL39sDnIqTcasDEjCm2A==" spinCount="100000" sheet="1" objects="1" scenarios="1" selectLockedCells="1" selectUnlockedCells="1"/>
  <mergeCells count="16">
    <mergeCell ref="C2:G2"/>
    <mergeCell ref="C3:G3"/>
    <mergeCell ref="F4:G4"/>
    <mergeCell ref="C7:G8"/>
    <mergeCell ref="C38:D38"/>
    <mergeCell ref="C22:E22"/>
    <mergeCell ref="C23:G23"/>
    <mergeCell ref="C24:E24"/>
    <mergeCell ref="C32:E32"/>
    <mergeCell ref="C36:E36"/>
    <mergeCell ref="C50:E50"/>
    <mergeCell ref="C12:E12"/>
    <mergeCell ref="C13:G14"/>
    <mergeCell ref="C18:E18"/>
    <mergeCell ref="C19:G20"/>
    <mergeCell ref="C39:D3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Z996"/>
  <sheetViews>
    <sheetView showGridLines="0" zoomScale="80" zoomScaleNormal="80" workbookViewId="0">
      <selection activeCell="G2" sqref="G2:H3"/>
    </sheetView>
  </sheetViews>
  <sheetFormatPr baseColWidth="10" defaultColWidth="12.625" defaultRowHeight="15" customHeight="1"/>
  <cols>
    <col min="1" max="3" width="10" customWidth="1"/>
    <col min="4" max="5" width="11.125" customWidth="1"/>
    <col min="6" max="6" width="11.75" customWidth="1"/>
    <col min="7" max="7" width="12.375" customWidth="1"/>
    <col min="8" max="10" width="11.375" customWidth="1"/>
    <col min="11" max="11" width="4.25" customWidth="1"/>
    <col min="12" max="12" width="18.25" customWidth="1"/>
    <col min="13" max="13" width="4.25" customWidth="1"/>
    <col min="14" max="14" width="18.625" customWidth="1"/>
    <col min="15" max="26" width="10" customWidth="1"/>
  </cols>
  <sheetData>
    <row r="1" spans="1:26" ht="15" customHeight="1" thickBot="1">
      <c r="A1" s="782" t="str">
        <f>Presupuesto!B3</f>
        <v>PRESUPUESTO PARA LA CONSTRUCCION DE SALON SOCIAL EN LA COMUNIDAD DE NUEVA JERUSALEN</v>
      </c>
      <c r="B1" s="783"/>
      <c r="C1" s="783"/>
      <c r="D1" s="783"/>
      <c r="E1" s="783"/>
      <c r="F1" s="783"/>
      <c r="G1" s="783"/>
      <c r="H1" s="784"/>
      <c r="I1" s="276"/>
      <c r="J1" s="276"/>
      <c r="K1" s="276"/>
      <c r="L1" s="276"/>
      <c r="M1" s="276"/>
      <c r="N1" s="276"/>
      <c r="O1" s="276"/>
      <c r="P1" s="276"/>
      <c r="Q1" s="276"/>
      <c r="R1" s="276"/>
    </row>
    <row r="2" spans="1:26" ht="14.25" customHeight="1">
      <c r="A2" s="277" t="s">
        <v>99</v>
      </c>
      <c r="B2" s="785" t="s">
        <v>100</v>
      </c>
      <c r="C2" s="679"/>
      <c r="D2" s="679"/>
      <c r="E2" s="679"/>
      <c r="F2" s="679"/>
      <c r="G2" s="786" t="s">
        <v>75</v>
      </c>
      <c r="H2" s="787"/>
      <c r="I2" s="276"/>
      <c r="J2" s="276"/>
      <c r="K2" s="276"/>
      <c r="L2" s="276"/>
      <c r="M2" s="276"/>
      <c r="N2" s="276"/>
      <c r="O2" s="276"/>
      <c r="P2" s="276"/>
      <c r="Q2" s="276"/>
      <c r="R2" s="276"/>
    </row>
    <row r="3" spans="1:26" ht="15.75" customHeight="1" thickBot="1">
      <c r="A3" s="278">
        <f>Presupuesto!$B$6</f>
        <v>1</v>
      </c>
      <c r="B3" s="790" t="str">
        <f>Presupuesto!$C$6</f>
        <v>PRELIMINARES</v>
      </c>
      <c r="C3" s="686"/>
      <c r="D3" s="686"/>
      <c r="E3" s="686"/>
      <c r="F3" s="686"/>
      <c r="G3" s="788"/>
      <c r="H3" s="789"/>
      <c r="I3" s="276"/>
      <c r="J3" s="276"/>
      <c r="K3" s="276"/>
      <c r="L3" s="276"/>
      <c r="M3" s="276"/>
      <c r="N3" s="276"/>
      <c r="O3" s="276"/>
      <c r="P3" s="276"/>
      <c r="Q3" s="276"/>
      <c r="R3" s="276"/>
    </row>
    <row r="4" spans="1:26" ht="14.25" customHeight="1">
      <c r="A4" s="279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791"/>
      <c r="I4" s="276"/>
      <c r="J4" s="276"/>
      <c r="K4" s="276"/>
      <c r="L4" s="276"/>
      <c r="M4" s="276"/>
      <c r="N4" s="276"/>
      <c r="O4" s="276"/>
      <c r="P4" s="276"/>
      <c r="Q4" s="276"/>
      <c r="R4" s="276"/>
    </row>
    <row r="5" spans="1:26" ht="14.25" customHeight="1" thickBot="1">
      <c r="A5" s="280">
        <f>Presupuesto!B7</f>
        <v>1.1000000000000001</v>
      </c>
      <c r="B5" s="780" t="str">
        <f>Presupuesto!C7</f>
        <v>Campamento en lámina de zinc</v>
      </c>
      <c r="C5" s="686"/>
      <c r="D5" s="686"/>
      <c r="E5" s="686"/>
      <c r="F5" s="687"/>
      <c r="G5" s="780" t="str">
        <f>Presupuesto!D7</f>
        <v>M2</v>
      </c>
      <c r="H5" s="781"/>
      <c r="I5" s="276"/>
      <c r="J5" s="276"/>
      <c r="K5" s="276"/>
      <c r="L5" s="276"/>
      <c r="M5" s="276"/>
      <c r="N5" s="276"/>
      <c r="O5" s="276"/>
      <c r="P5" s="276"/>
      <c r="Q5" s="276"/>
      <c r="R5" s="276"/>
    </row>
    <row r="6" spans="1:26" ht="14.25" customHeight="1" thickBot="1">
      <c r="A6" s="777" t="s">
        <v>102</v>
      </c>
      <c r="B6" s="672"/>
      <c r="C6" s="672"/>
      <c r="D6" s="672"/>
      <c r="E6" s="672"/>
      <c r="F6" s="672"/>
      <c r="G6" s="672"/>
      <c r="H6" s="773"/>
      <c r="I6" s="276"/>
      <c r="J6" s="276"/>
      <c r="K6" s="276"/>
      <c r="L6" s="276"/>
      <c r="M6" s="276"/>
      <c r="N6" s="276"/>
      <c r="O6" s="276"/>
      <c r="P6" s="276"/>
      <c r="Q6" s="276"/>
      <c r="R6" s="276"/>
    </row>
    <row r="7" spans="1:26" ht="14.25" customHeight="1">
      <c r="A7" s="779" t="s">
        <v>103</v>
      </c>
      <c r="B7" s="703"/>
      <c r="C7" s="703"/>
      <c r="D7" s="715"/>
      <c r="E7" s="51" t="s">
        <v>104</v>
      </c>
      <c r="F7" s="51" t="s">
        <v>105</v>
      </c>
      <c r="G7" s="51" t="s">
        <v>106</v>
      </c>
      <c r="H7" s="281" t="s">
        <v>107</v>
      </c>
      <c r="I7" s="276"/>
      <c r="J7" s="276"/>
      <c r="K7" s="276"/>
      <c r="L7" s="276"/>
      <c r="M7" s="276"/>
      <c r="N7" s="276"/>
      <c r="O7" s="276"/>
      <c r="P7" s="276"/>
      <c r="Q7" s="276"/>
      <c r="R7" s="276"/>
    </row>
    <row r="8" spans="1:26" ht="14.25" customHeight="1">
      <c r="A8" s="764" t="s">
        <v>124</v>
      </c>
      <c r="B8" s="666"/>
      <c r="C8" s="666"/>
      <c r="D8" s="667"/>
      <c r="E8" s="7" t="s">
        <v>30</v>
      </c>
      <c r="F8" s="77">
        <v>18500</v>
      </c>
      <c r="G8" s="78">
        <v>1.2</v>
      </c>
      <c r="H8" s="282">
        <f>F8*G8</f>
        <v>22200</v>
      </c>
      <c r="I8" s="276"/>
      <c r="J8" s="276"/>
      <c r="K8" s="276"/>
      <c r="L8" s="276"/>
      <c r="M8" s="276"/>
      <c r="N8" s="276"/>
      <c r="O8" s="276"/>
      <c r="P8" s="276"/>
      <c r="Q8" s="276"/>
      <c r="R8" s="276"/>
    </row>
    <row r="9" spans="1:26" ht="14.25" customHeight="1">
      <c r="A9" s="764" t="s">
        <v>125</v>
      </c>
      <c r="B9" s="666"/>
      <c r="C9" s="666"/>
      <c r="D9" s="667"/>
      <c r="E9" s="7" t="s">
        <v>30</v>
      </c>
      <c r="F9" s="77">
        <v>13500</v>
      </c>
      <c r="G9" s="7">
        <v>1.2</v>
      </c>
      <c r="H9" s="282">
        <f t="shared" ref="H9:H11" si="0">F9*G9</f>
        <v>16200</v>
      </c>
      <c r="I9" s="276"/>
      <c r="J9" s="276"/>
      <c r="K9" s="276"/>
      <c r="L9" s="276"/>
      <c r="M9" s="276"/>
      <c r="N9" s="276"/>
      <c r="O9" s="276"/>
      <c r="P9" s="276"/>
      <c r="Q9" s="276"/>
      <c r="R9" s="276"/>
    </row>
    <row r="10" spans="1:26" ht="14.25" customHeight="1">
      <c r="A10" s="764" t="s">
        <v>126</v>
      </c>
      <c r="B10" s="666"/>
      <c r="C10" s="666"/>
      <c r="D10" s="667"/>
      <c r="E10" s="7" t="s">
        <v>127</v>
      </c>
      <c r="F10" s="77">
        <v>4400</v>
      </c>
      <c r="G10" s="7">
        <v>0.2</v>
      </c>
      <c r="H10" s="282">
        <f t="shared" si="0"/>
        <v>880</v>
      </c>
      <c r="I10" s="276"/>
      <c r="J10" s="276"/>
      <c r="K10" s="276"/>
      <c r="L10" s="276"/>
      <c r="M10" s="276"/>
      <c r="N10" s="276"/>
      <c r="O10" s="276"/>
      <c r="P10" s="276"/>
      <c r="Q10" s="276"/>
      <c r="R10" s="276"/>
    </row>
    <row r="11" spans="1:26" ht="14.25" customHeight="1">
      <c r="A11" s="764" t="s">
        <v>128</v>
      </c>
      <c r="B11" s="666"/>
      <c r="C11" s="666"/>
      <c r="D11" s="667"/>
      <c r="E11" s="7" t="s">
        <v>127</v>
      </c>
      <c r="F11" s="77">
        <v>5400</v>
      </c>
      <c r="G11" s="7">
        <v>0.2</v>
      </c>
      <c r="H11" s="282">
        <f t="shared" si="0"/>
        <v>1080</v>
      </c>
      <c r="I11" s="276"/>
      <c r="J11" s="276"/>
      <c r="K11" s="276"/>
      <c r="L11" s="276"/>
      <c r="M11" s="276"/>
      <c r="N11" s="276"/>
      <c r="O11" s="276"/>
      <c r="P11" s="276"/>
      <c r="Q11" s="276"/>
      <c r="R11" s="276"/>
    </row>
    <row r="12" spans="1:26" ht="14.25" customHeight="1" thickBot="1">
      <c r="A12" s="775"/>
      <c r="B12" s="700"/>
      <c r="C12" s="700"/>
      <c r="D12" s="776"/>
      <c r="E12" s="56"/>
      <c r="F12" s="57"/>
      <c r="G12" s="56"/>
      <c r="H12" s="282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40"/>
      <c r="T12" s="40"/>
      <c r="U12" s="40"/>
      <c r="V12" s="40"/>
      <c r="W12" s="40"/>
      <c r="X12" s="40"/>
      <c r="Y12" s="40"/>
      <c r="Z12" s="40"/>
    </row>
    <row r="13" spans="1:26" ht="14.25" customHeight="1" thickBot="1">
      <c r="A13" s="771" t="s">
        <v>110</v>
      </c>
      <c r="B13" s="672"/>
      <c r="C13" s="672"/>
      <c r="D13" s="672"/>
      <c r="E13" s="672"/>
      <c r="F13" s="672"/>
      <c r="G13" s="714"/>
      <c r="H13" s="283">
        <f>ROUND(SUM(H8:H12),0)</f>
        <v>40360</v>
      </c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40"/>
      <c r="T13" s="40"/>
      <c r="U13" s="40"/>
      <c r="V13" s="40"/>
      <c r="W13" s="40"/>
      <c r="X13" s="40"/>
      <c r="Y13" s="40"/>
      <c r="Z13" s="40"/>
    </row>
    <row r="14" spans="1:26" ht="14.25" customHeight="1" thickBot="1">
      <c r="A14" s="777" t="s">
        <v>112</v>
      </c>
      <c r="B14" s="672"/>
      <c r="C14" s="672"/>
      <c r="D14" s="672"/>
      <c r="E14" s="672"/>
      <c r="F14" s="672"/>
      <c r="G14" s="672"/>
      <c r="H14" s="773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40"/>
      <c r="T14" s="40"/>
      <c r="U14" s="40"/>
      <c r="V14" s="40"/>
      <c r="W14" s="40"/>
      <c r="X14" s="40"/>
      <c r="Y14" s="40"/>
      <c r="Z14" s="40"/>
    </row>
    <row r="15" spans="1:26" ht="14.25" customHeight="1">
      <c r="A15" s="778" t="s">
        <v>103</v>
      </c>
      <c r="B15" s="703"/>
      <c r="C15" s="703"/>
      <c r="D15" s="715"/>
      <c r="E15" s="59" t="s">
        <v>104</v>
      </c>
      <c r="F15" s="59" t="s">
        <v>113</v>
      </c>
      <c r="G15" s="60" t="s">
        <v>106</v>
      </c>
      <c r="H15" s="284" t="s">
        <v>107</v>
      </c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764" t="s">
        <v>129</v>
      </c>
      <c r="B16" s="666"/>
      <c r="C16" s="666"/>
      <c r="D16" s="667"/>
      <c r="E16" s="7" t="s">
        <v>61</v>
      </c>
      <c r="F16" s="80">
        <v>350</v>
      </c>
      <c r="G16" s="7">
        <f>$G$24</f>
        <v>1</v>
      </c>
      <c r="H16" s="282">
        <f>F16/G16</f>
        <v>350</v>
      </c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764" t="s">
        <v>130</v>
      </c>
      <c r="B17" s="666"/>
      <c r="C17" s="666"/>
      <c r="D17" s="667"/>
      <c r="E17" s="7" t="s">
        <v>61</v>
      </c>
      <c r="F17" s="80">
        <v>350</v>
      </c>
      <c r="G17" s="7">
        <f t="shared" ref="G17:G18" si="1">$G$24</f>
        <v>1</v>
      </c>
      <c r="H17" s="282">
        <f>F17/G17</f>
        <v>350</v>
      </c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764" t="s">
        <v>131</v>
      </c>
      <c r="B18" s="666"/>
      <c r="C18" s="666"/>
      <c r="D18" s="667"/>
      <c r="E18" s="7" t="s">
        <v>132</v>
      </c>
      <c r="F18" s="80">
        <v>250</v>
      </c>
      <c r="G18" s="7">
        <f t="shared" si="1"/>
        <v>1</v>
      </c>
      <c r="H18" s="282">
        <f>F18/G18</f>
        <v>250</v>
      </c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774"/>
      <c r="B19" s="666"/>
      <c r="C19" s="666"/>
      <c r="D19" s="667"/>
      <c r="E19" s="141"/>
      <c r="F19" s="84"/>
      <c r="G19" s="141"/>
      <c r="H19" s="282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40"/>
      <c r="T19" s="40"/>
      <c r="U19" s="40"/>
      <c r="V19" s="40"/>
      <c r="W19" s="40"/>
      <c r="X19" s="40"/>
      <c r="Y19" s="40"/>
      <c r="Z19" s="40"/>
    </row>
    <row r="20" spans="1:26" ht="14.25" customHeight="1" thickBot="1">
      <c r="A20" s="775"/>
      <c r="B20" s="700"/>
      <c r="C20" s="700"/>
      <c r="D20" s="776"/>
      <c r="E20" s="56"/>
      <c r="F20" s="85"/>
      <c r="G20" s="56"/>
      <c r="H20" s="282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40"/>
      <c r="T20" s="40"/>
      <c r="U20" s="40"/>
      <c r="V20" s="40"/>
      <c r="W20" s="40"/>
      <c r="X20" s="40"/>
      <c r="Y20" s="40"/>
      <c r="Z20" s="40"/>
    </row>
    <row r="21" spans="1:26" ht="14.25" customHeight="1" thickBot="1">
      <c r="A21" s="771" t="s">
        <v>116</v>
      </c>
      <c r="B21" s="672"/>
      <c r="C21" s="672"/>
      <c r="D21" s="672"/>
      <c r="E21" s="672"/>
      <c r="F21" s="672"/>
      <c r="G21" s="714"/>
      <c r="H21" s="285">
        <f>ROUNDUP(SUM(H16:H20),0)</f>
        <v>950</v>
      </c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772" t="s">
        <v>133</v>
      </c>
      <c r="B22" s="672"/>
      <c r="C22" s="672"/>
      <c r="D22" s="672"/>
      <c r="E22" s="672"/>
      <c r="F22" s="672"/>
      <c r="G22" s="672"/>
      <c r="H22" s="773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763" t="s">
        <v>119</v>
      </c>
      <c r="B23" s="679"/>
      <c r="C23" s="679"/>
      <c r="D23" s="680"/>
      <c r="E23" s="65" t="s">
        <v>120</v>
      </c>
      <c r="F23" s="66" t="s">
        <v>121</v>
      </c>
      <c r="G23" s="67" t="s">
        <v>106</v>
      </c>
      <c r="H23" s="286" t="s">
        <v>107</v>
      </c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764" t="str">
        <f>'Analisis de cuadrillas'!C14</f>
        <v xml:space="preserve">Cuadrilla Carpintería Metálica </v>
      </c>
      <c r="B24" s="666"/>
      <c r="C24" s="666"/>
      <c r="D24" s="667"/>
      <c r="E24" s="7">
        <v>1</v>
      </c>
      <c r="F24" s="87">
        <f>'Analisis de cuadrillas'!G14</f>
        <v>48512.248833333331</v>
      </c>
      <c r="G24" s="7">
        <v>1</v>
      </c>
      <c r="H24" s="282">
        <f>E24*(F24/G24)</f>
        <v>48512.248833333331</v>
      </c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764"/>
      <c r="B25" s="666"/>
      <c r="C25" s="666"/>
      <c r="D25" s="667"/>
      <c r="E25" s="7"/>
      <c r="F25" s="87"/>
      <c r="G25" s="7"/>
      <c r="H25" s="282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765"/>
      <c r="B26" s="666"/>
      <c r="C26" s="666"/>
      <c r="D26" s="667"/>
      <c r="E26" s="141"/>
      <c r="F26" s="88"/>
      <c r="G26" s="141"/>
      <c r="H26" s="282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766"/>
      <c r="B27" s="686"/>
      <c r="C27" s="686"/>
      <c r="D27" s="687"/>
      <c r="E27" s="89"/>
      <c r="F27" s="90"/>
      <c r="G27" s="56"/>
      <c r="H27" s="287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767" t="s">
        <v>122</v>
      </c>
      <c r="B28" s="768"/>
      <c r="C28" s="768"/>
      <c r="D28" s="768"/>
      <c r="E28" s="768"/>
      <c r="F28" s="768"/>
      <c r="G28" s="769"/>
      <c r="H28" s="288">
        <f>ROUNDUP(SUM(H24:H27),0)</f>
        <v>48513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H29" s="178"/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40"/>
      <c r="T29" s="40"/>
      <c r="U29" s="40"/>
      <c r="V29" s="40"/>
      <c r="W29" s="40"/>
      <c r="X29" s="40"/>
      <c r="Y29" s="40"/>
      <c r="Z29" s="40"/>
    </row>
    <row r="30" spans="1:26" ht="14.25" customHeight="1" thickBot="1">
      <c r="A30" s="770" t="s">
        <v>123</v>
      </c>
      <c r="B30" s="672"/>
      <c r="C30" s="672"/>
      <c r="D30" s="672"/>
      <c r="E30" s="672"/>
      <c r="F30" s="672"/>
      <c r="G30" s="672"/>
      <c r="H30" s="289">
        <f>+H28+H13+H21</f>
        <v>89823</v>
      </c>
      <c r="I30" s="276"/>
      <c r="J30" s="276"/>
      <c r="K30" s="276"/>
      <c r="L30" s="276"/>
      <c r="M30" s="276"/>
      <c r="N30" s="276"/>
      <c r="O30" s="276"/>
      <c r="P30" s="276"/>
      <c r="Q30" s="276"/>
      <c r="R30" s="276"/>
      <c r="S30" s="40"/>
      <c r="T30" s="40"/>
      <c r="U30" s="40"/>
      <c r="V30" s="40"/>
      <c r="W30" s="40"/>
      <c r="X30" s="40"/>
      <c r="Y30" s="40"/>
      <c r="Z30" s="40"/>
    </row>
    <row r="31" spans="1:26" ht="14.25" customHeight="1">
      <c r="H31" s="178"/>
      <c r="I31" s="276"/>
      <c r="J31" s="276"/>
      <c r="K31" s="276"/>
      <c r="L31" s="276"/>
      <c r="M31" s="276"/>
      <c r="N31" s="276"/>
      <c r="O31" s="276"/>
      <c r="P31" s="276"/>
      <c r="Q31" s="276"/>
      <c r="R31" s="276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291" t="s">
        <v>1</v>
      </c>
      <c r="B32" s="761" t="str">
        <f>Portada!D8</f>
        <v>Johan Sebastian Alvarez, Daniel Eduardo Ochoa Mora</v>
      </c>
      <c r="C32" s="762"/>
      <c r="D32" s="762"/>
      <c r="E32" s="762"/>
      <c r="F32" s="762"/>
      <c r="G32" s="762"/>
      <c r="H32" s="762"/>
      <c r="I32" s="276"/>
      <c r="J32" s="276"/>
      <c r="K32" s="276"/>
      <c r="L32" s="276"/>
      <c r="M32" s="276"/>
      <c r="N32" s="276"/>
      <c r="O32" s="276"/>
      <c r="P32" s="276"/>
      <c r="Q32" s="276"/>
      <c r="R32" s="276"/>
    </row>
    <row r="33" spans="1:18" ht="14.25" customHeight="1">
      <c r="A33" s="291" t="s">
        <v>2</v>
      </c>
      <c r="B33" s="761" t="str">
        <f>Portada!D9</f>
        <v>ing. Alexander Solarte Benavides</v>
      </c>
      <c r="C33" s="762"/>
      <c r="D33" s="762"/>
      <c r="E33" s="762"/>
      <c r="F33" s="762"/>
      <c r="G33" s="762"/>
      <c r="H33" s="762"/>
      <c r="I33" s="276"/>
      <c r="J33" s="276"/>
      <c r="K33" s="276"/>
      <c r="L33" s="276"/>
      <c r="M33" s="276"/>
      <c r="N33" s="276"/>
      <c r="O33" s="276"/>
      <c r="P33" s="276"/>
      <c r="Q33" s="276"/>
      <c r="R33" s="276"/>
    </row>
    <row r="34" spans="1:18" ht="14.25" customHeight="1">
      <c r="A34" s="291" t="s">
        <v>3</v>
      </c>
      <c r="B34" s="761" t="str">
        <f>Portada!D10</f>
        <v>ing.Alexander Solarte Benavides</v>
      </c>
      <c r="C34" s="762"/>
      <c r="D34" s="762"/>
      <c r="E34" s="762"/>
      <c r="F34" s="762"/>
      <c r="G34" s="762"/>
      <c r="H34" s="762"/>
      <c r="I34" s="276"/>
      <c r="J34" s="276"/>
      <c r="K34" s="276"/>
      <c r="L34" s="276"/>
      <c r="M34" s="276"/>
      <c r="N34" s="276"/>
      <c r="O34" s="276"/>
      <c r="P34" s="276"/>
      <c r="Q34" s="276"/>
      <c r="R34" s="276"/>
    </row>
    <row r="35" spans="1:18" ht="14.25" customHeight="1">
      <c r="A35" s="291" t="s">
        <v>4</v>
      </c>
      <c r="B35" s="761" t="str">
        <f>Portada!D11</f>
        <v>12 de Noviembre del 2020</v>
      </c>
      <c r="C35" s="762"/>
      <c r="D35" s="762"/>
      <c r="E35" s="762"/>
      <c r="F35" s="762"/>
      <c r="G35" s="762"/>
      <c r="H35" s="762"/>
      <c r="I35" s="276"/>
      <c r="J35" s="276"/>
      <c r="K35" s="276"/>
      <c r="L35" s="276"/>
      <c r="M35" s="276"/>
      <c r="N35" s="276"/>
      <c r="O35" s="276"/>
      <c r="P35" s="276"/>
      <c r="Q35" s="276"/>
      <c r="R35" s="276"/>
    </row>
    <row r="36" spans="1:18" ht="14.25" customHeight="1">
      <c r="H36" s="178"/>
      <c r="I36" s="276"/>
      <c r="J36" s="276"/>
      <c r="K36" s="276"/>
      <c r="L36" s="276"/>
      <c r="M36" s="276"/>
      <c r="N36" s="276"/>
      <c r="O36" s="276"/>
      <c r="P36" s="276"/>
      <c r="Q36" s="276"/>
      <c r="R36" s="276"/>
    </row>
    <row r="37" spans="1:18" ht="14.25" customHeight="1">
      <c r="H37" s="178"/>
      <c r="I37" s="276"/>
      <c r="J37" s="276"/>
      <c r="K37" s="276"/>
      <c r="L37" s="276"/>
      <c r="M37" s="276"/>
      <c r="N37" s="276"/>
      <c r="O37" s="276"/>
      <c r="P37" s="276"/>
      <c r="Q37" s="276"/>
      <c r="R37" s="276"/>
    </row>
    <row r="38" spans="1:18" ht="14.25" customHeight="1">
      <c r="H38" s="178"/>
      <c r="I38" s="276"/>
      <c r="J38" s="276"/>
      <c r="K38" s="276"/>
      <c r="L38" s="276"/>
      <c r="M38" s="276"/>
      <c r="N38" s="276"/>
      <c r="O38" s="276"/>
      <c r="P38" s="276"/>
      <c r="Q38" s="276"/>
      <c r="R38" s="276"/>
    </row>
    <row r="39" spans="1:18" ht="14.25" customHeight="1">
      <c r="H39" s="178"/>
      <c r="I39" s="276"/>
      <c r="J39" s="276"/>
      <c r="K39" s="276"/>
      <c r="L39" s="276"/>
      <c r="M39" s="276"/>
      <c r="N39" s="276"/>
      <c r="O39" s="276"/>
      <c r="P39" s="276"/>
      <c r="Q39" s="276"/>
      <c r="R39" s="276"/>
    </row>
    <row r="40" spans="1:18" ht="14.25" customHeight="1">
      <c r="K40" s="40"/>
    </row>
    <row r="41" spans="1:18" ht="14.25" customHeight="1">
      <c r="K41" s="40"/>
    </row>
    <row r="42" spans="1:18" ht="14.25" customHeight="1">
      <c r="K42" s="40"/>
    </row>
    <row r="43" spans="1:18" ht="14.25" customHeight="1">
      <c r="K43" s="40"/>
    </row>
    <row r="44" spans="1:18" ht="14.25" customHeight="1">
      <c r="K44" s="40"/>
    </row>
    <row r="45" spans="1:18" ht="14.25" customHeight="1">
      <c r="K45" s="40"/>
    </row>
    <row r="46" spans="1:18" ht="14.25" customHeight="1">
      <c r="K46" s="40"/>
    </row>
    <row r="47" spans="1:18" ht="14.25" customHeight="1">
      <c r="K47" s="40"/>
    </row>
    <row r="48" spans="1:18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5.75" customHeight="1"/>
    <row r="233" spans="11:11" ht="15.75" customHeight="1"/>
    <row r="234" spans="11:11" ht="15.75" customHeight="1"/>
    <row r="235" spans="11:11" ht="15.75" customHeight="1"/>
    <row r="236" spans="11:11" ht="15.75" customHeight="1"/>
    <row r="237" spans="11:11" ht="15.75" customHeight="1"/>
    <row r="238" spans="11:11" ht="15.75" customHeight="1"/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sheetProtection algorithmName="SHA-512" hashValue="QsyZLLhoK9sNiWBqB6xFvXRUi4KH0vpEYzPG3LZtDBenNm7L+qdjGaFMGq93xA4BxNPWgJ7JApoRVbu12DuumA==" saltValue="uEOw1bH0cFWqrpdrG9MaPQ==" spinCount="100000" sheet="1" objects="1" scenarios="1" selectLockedCells="1" selectUnlockedCells="1"/>
  <mergeCells count="36">
    <mergeCell ref="A1:H1"/>
    <mergeCell ref="B2:F2"/>
    <mergeCell ref="G2:H3"/>
    <mergeCell ref="B3:F3"/>
    <mergeCell ref="G4:H4"/>
    <mergeCell ref="B4:F4"/>
    <mergeCell ref="B5:F5"/>
    <mergeCell ref="G5:H5"/>
    <mergeCell ref="A6:H6"/>
    <mergeCell ref="A12:D12"/>
    <mergeCell ref="A13:G13"/>
    <mergeCell ref="A14:H14"/>
    <mergeCell ref="A15:D15"/>
    <mergeCell ref="A7:D7"/>
    <mergeCell ref="A8:D8"/>
    <mergeCell ref="A9:D9"/>
    <mergeCell ref="A10:D10"/>
    <mergeCell ref="A11:D11"/>
    <mergeCell ref="A21:G21"/>
    <mergeCell ref="A22:H22"/>
    <mergeCell ref="A16:D16"/>
    <mergeCell ref="A17:D17"/>
    <mergeCell ref="A18:D18"/>
    <mergeCell ref="A19:D19"/>
    <mergeCell ref="A20:D20"/>
    <mergeCell ref="B32:H32"/>
    <mergeCell ref="B33:H33"/>
    <mergeCell ref="B34:H34"/>
    <mergeCell ref="B35:H35"/>
    <mergeCell ref="A23:D23"/>
    <mergeCell ref="A24:D24"/>
    <mergeCell ref="A25:D25"/>
    <mergeCell ref="A26:D26"/>
    <mergeCell ref="A27:D27"/>
    <mergeCell ref="A28:G28"/>
    <mergeCell ref="A30:G30"/>
  </mergeCells>
  <hyperlinks>
    <hyperlink ref="G2:H3" location="Presupuesto!A1" display="Click aquí para volver a PRESUPUESTO"/>
  </hyperlinks>
  <pageMargins left="0.7" right="0.7" top="0.75" bottom="0.75" header="0" footer="0"/>
  <pageSetup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pageSetUpPr fitToPage="1"/>
  </sheetPr>
  <dimension ref="A1:Z1003"/>
  <sheetViews>
    <sheetView showGridLines="0" topLeftCell="A22" zoomScaleNormal="100" workbookViewId="0">
      <selection activeCell="F48" sqref="F48"/>
    </sheetView>
  </sheetViews>
  <sheetFormatPr baseColWidth="10" defaultColWidth="12.625" defaultRowHeight="15" customHeight="1"/>
  <cols>
    <col min="1" max="3" width="10" customWidth="1"/>
    <col min="4" max="4" width="14.75" customWidth="1"/>
    <col min="5" max="5" width="11.125" customWidth="1"/>
    <col min="6" max="6" width="11.75" customWidth="1"/>
    <col min="7" max="7" width="12.375" customWidth="1"/>
    <col min="8" max="8" width="13" customWidth="1"/>
    <col min="9" max="10" width="11.375" customWidth="1"/>
    <col min="11" max="11" width="12.75" customWidth="1"/>
    <col min="12" max="12" width="10.5" customWidth="1"/>
    <col min="13" max="26" width="10" customWidth="1"/>
  </cols>
  <sheetData>
    <row r="1" spans="1:26" ht="15" customHeight="1" thickBot="1">
      <c r="A1" s="807" t="str">
        <f>'1.1'!A1</f>
        <v>PRESUPUESTO PARA LA CONSTRUCCION DE SALON SOCIAL EN LA COMUNIDAD DE NUEVA JERUSALEN</v>
      </c>
      <c r="B1" s="808"/>
      <c r="C1" s="808"/>
      <c r="D1" s="808"/>
      <c r="E1" s="808"/>
      <c r="F1" s="808"/>
      <c r="G1" s="808"/>
      <c r="H1" s="809"/>
      <c r="K1" s="40"/>
    </row>
    <row r="2" spans="1:26" ht="14.25" customHeight="1">
      <c r="A2" s="277" t="s">
        <v>99</v>
      </c>
      <c r="B2" s="785" t="s">
        <v>100</v>
      </c>
      <c r="C2" s="679"/>
      <c r="D2" s="679"/>
      <c r="E2" s="679"/>
      <c r="F2" s="679"/>
      <c r="G2" s="786" t="s">
        <v>75</v>
      </c>
      <c r="H2" s="787"/>
      <c r="K2" s="40"/>
    </row>
    <row r="3" spans="1:26" ht="15.75" customHeight="1" thickBot="1">
      <c r="A3" s="278">
        <f>Presupuesto!$B$6</f>
        <v>1</v>
      </c>
      <c r="B3" s="790" t="str">
        <f>Presupuesto!$C$6</f>
        <v>PRELIMINARES</v>
      </c>
      <c r="C3" s="686"/>
      <c r="D3" s="686"/>
      <c r="E3" s="686"/>
      <c r="F3" s="686"/>
      <c r="G3" s="788"/>
      <c r="H3" s="789"/>
      <c r="K3" s="40"/>
    </row>
    <row r="4" spans="1:26" ht="14.25" customHeight="1">
      <c r="A4" s="279" t="s">
        <v>13</v>
      </c>
      <c r="B4" s="792" t="s">
        <v>14</v>
      </c>
      <c r="C4" s="666"/>
      <c r="D4" s="666"/>
      <c r="E4" s="666"/>
      <c r="F4" s="667"/>
      <c r="G4" s="785" t="s">
        <v>16</v>
      </c>
      <c r="H4" s="791"/>
      <c r="K4" s="40"/>
    </row>
    <row r="5" spans="1:26" ht="14.25" customHeight="1" thickBot="1">
      <c r="A5" s="467">
        <f>Presupuesto!B8</f>
        <v>1.2</v>
      </c>
      <c r="B5" s="780" t="str">
        <f>Presupuesto!C8</f>
        <v>Servicios Provisionales hidrosanitarios y de energia</v>
      </c>
      <c r="C5" s="686"/>
      <c r="D5" s="686"/>
      <c r="E5" s="686"/>
      <c r="F5" s="687"/>
      <c r="G5" s="780" t="str">
        <f>Presupuesto!D8</f>
        <v>GB</v>
      </c>
      <c r="H5" s="781"/>
      <c r="K5" s="40"/>
    </row>
    <row r="6" spans="1:26" ht="14.25" customHeight="1">
      <c r="A6" s="793" t="s">
        <v>102</v>
      </c>
      <c r="B6" s="676"/>
      <c r="C6" s="676"/>
      <c r="D6" s="676"/>
      <c r="E6" s="676"/>
      <c r="F6" s="676"/>
      <c r="G6" s="676"/>
      <c r="H6" s="794"/>
      <c r="K6" s="58"/>
    </row>
    <row r="7" spans="1:26" ht="14.25" customHeight="1">
      <c r="A7" s="804" t="s">
        <v>103</v>
      </c>
      <c r="B7" s="805"/>
      <c r="C7" s="805"/>
      <c r="D7" s="806"/>
      <c r="E7" s="319" t="s">
        <v>104</v>
      </c>
      <c r="F7" s="319" t="s">
        <v>105</v>
      </c>
      <c r="G7" s="319" t="s">
        <v>106</v>
      </c>
      <c r="H7" s="468" t="s">
        <v>107</v>
      </c>
      <c r="J7" s="304"/>
      <c r="K7" s="40"/>
    </row>
    <row r="8" spans="1:26" ht="14.25" customHeight="1">
      <c r="A8" s="803" t="s">
        <v>305</v>
      </c>
      <c r="B8" s="703"/>
      <c r="C8" s="703"/>
      <c r="D8" s="715"/>
      <c r="E8" s="317" t="s">
        <v>30</v>
      </c>
      <c r="F8" s="318">
        <v>320500</v>
      </c>
      <c r="G8" s="317">
        <v>1</v>
      </c>
      <c r="H8" s="469">
        <f t="shared" ref="H8:H19" si="0">F8*G8</f>
        <v>320500</v>
      </c>
      <c r="K8" s="40"/>
    </row>
    <row r="9" spans="1:26" ht="14.25" customHeight="1">
      <c r="A9" s="764" t="s">
        <v>306</v>
      </c>
      <c r="B9" s="666"/>
      <c r="C9" s="666"/>
      <c r="D9" s="667"/>
      <c r="E9" s="7" t="s">
        <v>135</v>
      </c>
      <c r="F9" s="80">
        <v>3390</v>
      </c>
      <c r="G9" s="7">
        <v>100</v>
      </c>
      <c r="H9" s="469">
        <f t="shared" si="0"/>
        <v>339000</v>
      </c>
      <c r="K9" s="40"/>
    </row>
    <row r="10" spans="1:26" ht="14.25" customHeight="1">
      <c r="A10" s="800" t="s">
        <v>136</v>
      </c>
      <c r="B10" s="700"/>
      <c r="C10" s="700"/>
      <c r="D10" s="776"/>
      <c r="E10" s="7" t="s">
        <v>137</v>
      </c>
      <c r="F10" s="80">
        <v>65500</v>
      </c>
      <c r="G10" s="7">
        <v>3</v>
      </c>
      <c r="H10" s="469">
        <f t="shared" si="0"/>
        <v>196500</v>
      </c>
      <c r="K10" s="40"/>
    </row>
    <row r="11" spans="1:26" ht="14.25" customHeight="1">
      <c r="A11" s="801" t="s">
        <v>138</v>
      </c>
      <c r="B11" s="802"/>
      <c r="C11" s="802"/>
      <c r="D11" s="802"/>
      <c r="E11" s="166" t="s">
        <v>137</v>
      </c>
      <c r="F11" s="80">
        <v>180500</v>
      </c>
      <c r="G11" s="7">
        <v>3</v>
      </c>
      <c r="H11" s="469">
        <f t="shared" si="0"/>
        <v>541500</v>
      </c>
      <c r="I11" s="2"/>
      <c r="K11" s="40"/>
    </row>
    <row r="12" spans="1:26" ht="14.25" customHeight="1">
      <c r="A12" s="803" t="s">
        <v>309</v>
      </c>
      <c r="B12" s="703"/>
      <c r="C12" s="703"/>
      <c r="D12" s="715"/>
      <c r="E12" s="7" t="s">
        <v>135</v>
      </c>
      <c r="F12" s="80">
        <v>17350</v>
      </c>
      <c r="G12" s="7">
        <v>6</v>
      </c>
      <c r="H12" s="469">
        <f t="shared" si="0"/>
        <v>104100</v>
      </c>
      <c r="K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14.25" customHeight="1">
      <c r="A13" s="764" t="s">
        <v>140</v>
      </c>
      <c r="B13" s="666"/>
      <c r="C13" s="666"/>
      <c r="D13" s="667"/>
      <c r="E13" s="7" t="s">
        <v>30</v>
      </c>
      <c r="F13" s="80">
        <v>5130</v>
      </c>
      <c r="G13" s="7">
        <v>2</v>
      </c>
      <c r="H13" s="469">
        <f t="shared" si="0"/>
        <v>10260</v>
      </c>
      <c r="K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</row>
    <row r="14" spans="1:26">
      <c r="A14" s="798" t="s">
        <v>307</v>
      </c>
      <c r="B14" s="666"/>
      <c r="C14" s="666"/>
      <c r="D14" s="667"/>
      <c r="E14" s="120" t="s">
        <v>15</v>
      </c>
      <c r="F14" s="121">
        <v>28500</v>
      </c>
      <c r="G14" s="120">
        <v>1</v>
      </c>
      <c r="H14" s="469">
        <f t="shared" si="0"/>
        <v>28500</v>
      </c>
      <c r="I14" s="2"/>
      <c r="K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</row>
    <row r="15" spans="1:26">
      <c r="A15" s="799" t="s">
        <v>308</v>
      </c>
      <c r="B15" s="666"/>
      <c r="C15" s="666"/>
      <c r="D15" s="667"/>
      <c r="E15" s="120" t="s">
        <v>30</v>
      </c>
      <c r="F15" s="121">
        <v>161473.54999999999</v>
      </c>
      <c r="G15" s="120">
        <v>2</v>
      </c>
      <c r="H15" s="469">
        <f t="shared" si="0"/>
        <v>322947.09999999998</v>
      </c>
      <c r="I15" s="2"/>
      <c r="K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</row>
    <row r="16" spans="1:26" ht="14.25" customHeight="1">
      <c r="A16" s="764" t="s">
        <v>142</v>
      </c>
      <c r="B16" s="666"/>
      <c r="C16" s="666"/>
      <c r="D16" s="667"/>
      <c r="E16" s="7" t="s">
        <v>30</v>
      </c>
      <c r="F16" s="80">
        <v>49812</v>
      </c>
      <c r="G16" s="7">
        <v>2</v>
      </c>
      <c r="H16" s="469">
        <f t="shared" si="0"/>
        <v>99624</v>
      </c>
      <c r="I16" s="2"/>
      <c r="K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</row>
    <row r="17" spans="1:26" ht="14.25" customHeight="1">
      <c r="A17" s="764" t="s">
        <v>144</v>
      </c>
      <c r="B17" s="666"/>
      <c r="C17" s="666"/>
      <c r="D17" s="667"/>
      <c r="E17" s="7" t="s">
        <v>30</v>
      </c>
      <c r="F17" s="80">
        <v>29100</v>
      </c>
      <c r="G17" s="7">
        <v>2</v>
      </c>
      <c r="H17" s="469">
        <f t="shared" si="0"/>
        <v>58200</v>
      </c>
      <c r="I17" s="2"/>
      <c r="K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</row>
    <row r="18" spans="1:26" ht="14.25" customHeight="1">
      <c r="A18" s="764" t="s">
        <v>145</v>
      </c>
      <c r="B18" s="666"/>
      <c r="C18" s="666"/>
      <c r="D18" s="667"/>
      <c r="E18" s="7" t="s">
        <v>15</v>
      </c>
      <c r="F18" s="80">
        <v>17350</v>
      </c>
      <c r="G18" s="7">
        <v>6</v>
      </c>
      <c r="H18" s="469">
        <f t="shared" si="0"/>
        <v>104100</v>
      </c>
      <c r="K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</row>
    <row r="19" spans="1:26" ht="14.25" customHeight="1">
      <c r="A19" s="764" t="s">
        <v>146</v>
      </c>
      <c r="B19" s="666"/>
      <c r="C19" s="666"/>
      <c r="D19" s="667"/>
      <c r="E19" s="7" t="s">
        <v>30</v>
      </c>
      <c r="F19" s="80">
        <v>62500</v>
      </c>
      <c r="G19" s="7">
        <v>2</v>
      </c>
      <c r="H19" s="469">
        <f t="shared" si="0"/>
        <v>125000</v>
      </c>
      <c r="K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</row>
    <row r="20" spans="1:26" ht="14.25" customHeight="1">
      <c r="A20" s="774"/>
      <c r="B20" s="666"/>
      <c r="C20" s="666"/>
      <c r="D20" s="667"/>
      <c r="E20" s="141"/>
      <c r="F20" s="84"/>
      <c r="G20" s="141"/>
      <c r="H20" s="282"/>
      <c r="K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</row>
    <row r="21" spans="1:26" ht="14.25" customHeight="1">
      <c r="A21" s="795" t="s">
        <v>110</v>
      </c>
      <c r="B21" s="666"/>
      <c r="C21" s="666"/>
      <c r="D21" s="666"/>
      <c r="E21" s="666"/>
      <c r="F21" s="666"/>
      <c r="G21" s="667"/>
      <c r="H21" s="282">
        <f>ROUND(SUM(H8:H20),0)</f>
        <v>2250231</v>
      </c>
      <c r="K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</row>
    <row r="22" spans="1:26" ht="14.25" customHeight="1" thickBot="1">
      <c r="A22" s="796" t="s">
        <v>112</v>
      </c>
      <c r="B22" s="717"/>
      <c r="C22" s="717"/>
      <c r="D22" s="717"/>
      <c r="E22" s="717"/>
      <c r="F22" s="717"/>
      <c r="G22" s="717"/>
      <c r="H22" s="797"/>
      <c r="K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</row>
    <row r="23" spans="1:26" ht="14.25" customHeight="1">
      <c r="A23" s="778" t="s">
        <v>103</v>
      </c>
      <c r="B23" s="703"/>
      <c r="C23" s="703"/>
      <c r="D23" s="715"/>
      <c r="E23" s="59" t="s">
        <v>104</v>
      </c>
      <c r="F23" s="59" t="s">
        <v>113</v>
      </c>
      <c r="G23" s="60" t="s">
        <v>106</v>
      </c>
      <c r="H23" s="284" t="s">
        <v>107</v>
      </c>
      <c r="K23" s="40"/>
      <c r="M23" s="58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</row>
    <row r="24" spans="1:26" ht="14.25" customHeight="1">
      <c r="A24" s="764" t="s">
        <v>148</v>
      </c>
      <c r="B24" s="666"/>
      <c r="C24" s="666"/>
      <c r="D24" s="667"/>
      <c r="E24" s="7" t="s">
        <v>61</v>
      </c>
      <c r="F24" s="80">
        <v>350</v>
      </c>
      <c r="G24" s="7">
        <v>0.25</v>
      </c>
      <c r="H24" s="282">
        <f>F24/G24</f>
        <v>1400</v>
      </c>
      <c r="I24" s="2"/>
      <c r="J24" s="58"/>
      <c r="K24" s="58"/>
      <c r="M24" s="58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</row>
    <row r="25" spans="1:26" ht="14.25" customHeight="1">
      <c r="A25" s="764" t="s">
        <v>149</v>
      </c>
      <c r="B25" s="666"/>
      <c r="C25" s="666"/>
      <c r="D25" s="667"/>
      <c r="E25" s="7" t="s">
        <v>61</v>
      </c>
      <c r="F25" s="80">
        <v>350</v>
      </c>
      <c r="G25" s="7">
        <v>0.25</v>
      </c>
      <c r="H25" s="282">
        <f t="shared" ref="H25:H26" si="1">F25/G25</f>
        <v>1400</v>
      </c>
      <c r="I25" s="2"/>
      <c r="J25" s="58"/>
      <c r="K25" s="58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</row>
    <row r="26" spans="1:26" ht="14.25" customHeight="1">
      <c r="A26" s="764" t="s">
        <v>150</v>
      </c>
      <c r="B26" s="666"/>
      <c r="C26" s="666"/>
      <c r="D26" s="667"/>
      <c r="E26" s="7" t="s">
        <v>30</v>
      </c>
      <c r="F26" s="80">
        <v>150</v>
      </c>
      <c r="G26" s="7">
        <v>0.25</v>
      </c>
      <c r="H26" s="282">
        <f t="shared" si="1"/>
        <v>600</v>
      </c>
      <c r="K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</row>
    <row r="27" spans="1:26" ht="14.25" customHeight="1" thickBot="1">
      <c r="A27" s="775"/>
      <c r="B27" s="700"/>
      <c r="C27" s="700"/>
      <c r="D27" s="776"/>
      <c r="E27" s="56"/>
      <c r="F27" s="57"/>
      <c r="G27" s="56"/>
      <c r="H27" s="282"/>
      <c r="K27" s="58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</row>
    <row r="28" spans="1:26" ht="14.25" customHeight="1" thickBot="1">
      <c r="A28" s="771" t="s">
        <v>116</v>
      </c>
      <c r="B28" s="672"/>
      <c r="C28" s="672"/>
      <c r="D28" s="672"/>
      <c r="E28" s="672"/>
      <c r="F28" s="672"/>
      <c r="G28" s="714"/>
      <c r="H28" s="285">
        <f>ROUNDUP(SUM(H24:H27),0)</f>
        <v>3400</v>
      </c>
      <c r="K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</row>
    <row r="29" spans="1:26" ht="14.25" customHeight="1" thickBot="1">
      <c r="A29" s="793" t="s">
        <v>118</v>
      </c>
      <c r="B29" s="676"/>
      <c r="C29" s="676"/>
      <c r="D29" s="676"/>
      <c r="E29" s="676"/>
      <c r="F29" s="676"/>
      <c r="G29" s="676"/>
      <c r="H29" s="794"/>
      <c r="K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</row>
    <row r="30" spans="1:26" ht="14.25" customHeight="1">
      <c r="A30" s="763" t="s">
        <v>119</v>
      </c>
      <c r="B30" s="679"/>
      <c r="C30" s="679"/>
      <c r="D30" s="680"/>
      <c r="E30" s="66" t="s">
        <v>120</v>
      </c>
      <c r="F30" s="66" t="s">
        <v>121</v>
      </c>
      <c r="G30" s="67" t="s">
        <v>106</v>
      </c>
      <c r="H30" s="286" t="s">
        <v>107</v>
      </c>
      <c r="J30" s="40"/>
      <c r="K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</row>
    <row r="31" spans="1:26" ht="15.75" customHeight="1">
      <c r="A31" s="764" t="str">
        <f>'Analisis de cuadrillas'!C11</f>
        <v>Cuadrilla Hidrosanitaria</v>
      </c>
      <c r="B31" s="666"/>
      <c r="C31" s="666"/>
      <c r="D31" s="667"/>
      <c r="E31" s="120">
        <v>1</v>
      </c>
      <c r="F31" s="105">
        <f>'Analisis de cuadrillas'!G11</f>
        <v>46802.985933333322</v>
      </c>
      <c r="G31" s="120">
        <v>0.25</v>
      </c>
      <c r="H31" s="470">
        <f>(F31)/G31</f>
        <v>187211.94373333329</v>
      </c>
      <c r="I31" s="58"/>
      <c r="K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</row>
    <row r="32" spans="1:26" ht="14.25" customHeight="1">
      <c r="A32" s="764" t="str">
        <f>'Analisis de cuadrillas'!C12</f>
        <v>Cuadrilla de Electricidad</v>
      </c>
      <c r="B32" s="666"/>
      <c r="C32" s="666"/>
      <c r="D32" s="667"/>
      <c r="E32" s="7">
        <v>1</v>
      </c>
      <c r="F32" s="105">
        <f>'Analisis de cuadrillas'!G12</f>
        <v>52109.719133333332</v>
      </c>
      <c r="G32" s="7">
        <v>0.25</v>
      </c>
      <c r="H32" s="470">
        <f>(F32)/G32</f>
        <v>208438.87653333333</v>
      </c>
      <c r="I32" s="40"/>
      <c r="J32" s="73"/>
      <c r="K32" s="40"/>
      <c r="L32" s="107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</row>
    <row r="33" spans="1:26" ht="14.25" customHeight="1">
      <c r="A33" s="765"/>
      <c r="B33" s="666"/>
      <c r="C33" s="666"/>
      <c r="D33" s="667"/>
      <c r="E33" s="141"/>
      <c r="F33" s="88"/>
      <c r="G33" s="141"/>
      <c r="H33" s="282"/>
      <c r="J33" s="2"/>
      <c r="K33" s="58"/>
      <c r="L33" s="2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</row>
    <row r="34" spans="1:26" ht="14.25" customHeight="1" thickBot="1">
      <c r="A34" s="766"/>
      <c r="B34" s="686"/>
      <c r="C34" s="686"/>
      <c r="D34" s="687"/>
      <c r="E34" s="89"/>
      <c r="F34" s="90"/>
      <c r="G34" s="56"/>
      <c r="H34" s="287"/>
      <c r="J34" s="2"/>
      <c r="K34" s="58"/>
      <c r="M34" s="40"/>
      <c r="N34" s="58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</row>
    <row r="35" spans="1:26" ht="14.25" customHeight="1" thickBot="1">
      <c r="A35" s="767" t="s">
        <v>122</v>
      </c>
      <c r="B35" s="768"/>
      <c r="C35" s="768"/>
      <c r="D35" s="768"/>
      <c r="E35" s="768"/>
      <c r="F35" s="768"/>
      <c r="G35" s="769"/>
      <c r="H35" s="288">
        <f>ROUNDUP(SUM(H31:H34),0)</f>
        <v>395651</v>
      </c>
      <c r="K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</row>
    <row r="36" spans="1:26" ht="14.25" customHeight="1" thickBot="1">
      <c r="K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4.25" customHeight="1" thickBot="1">
      <c r="A37" s="770" t="s">
        <v>123</v>
      </c>
      <c r="B37" s="672"/>
      <c r="C37" s="672"/>
      <c r="D37" s="672"/>
      <c r="E37" s="672"/>
      <c r="F37" s="672"/>
      <c r="G37" s="714"/>
      <c r="H37" s="92">
        <f>+H35+H21+H28</f>
        <v>2649282</v>
      </c>
      <c r="J37" s="40"/>
      <c r="K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4.25" customHeight="1">
      <c r="J38" s="40"/>
      <c r="K38" s="58"/>
      <c r="L38" s="2"/>
      <c r="M38" s="108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4.25" customHeight="1">
      <c r="A39" s="291" t="str">
        <f>'1.1'!A32</f>
        <v>ELABORO:</v>
      </c>
      <c r="B39" s="761" t="str">
        <f>'1.1'!B32</f>
        <v>Johan Sebastian Alvarez, Daniel Eduardo Ochoa Mora</v>
      </c>
      <c r="C39" s="762"/>
      <c r="D39" s="762"/>
      <c r="E39" s="762"/>
      <c r="F39" s="762"/>
      <c r="G39" s="762"/>
      <c r="H39" s="762"/>
      <c r="K39" s="40"/>
    </row>
    <row r="40" spans="1:26" ht="14.25" customHeight="1">
      <c r="A40" s="291" t="str">
        <f>'1.1'!A33</f>
        <v>REVISÓ:</v>
      </c>
      <c r="B40" s="761" t="str">
        <f>'1.1'!B33</f>
        <v>ing. Alexander Solarte Benavides</v>
      </c>
      <c r="C40" s="762"/>
      <c r="D40" s="762"/>
      <c r="E40" s="762"/>
      <c r="F40" s="762"/>
      <c r="G40" s="762"/>
      <c r="H40" s="762"/>
      <c r="K40" s="40"/>
    </row>
    <row r="41" spans="1:26" ht="14.25" customHeight="1">
      <c r="A41" s="291" t="str">
        <f>'1.1'!A34</f>
        <v>APROBÓ</v>
      </c>
      <c r="B41" s="761" t="str">
        <f>'1.1'!B34</f>
        <v>ing.Alexander Solarte Benavides</v>
      </c>
      <c r="C41" s="762"/>
      <c r="D41" s="762"/>
      <c r="E41" s="762"/>
      <c r="F41" s="762"/>
      <c r="G41" s="762"/>
      <c r="H41" s="762"/>
      <c r="K41" s="40"/>
    </row>
    <row r="42" spans="1:26" ht="14.25" customHeight="1">
      <c r="A42" s="291" t="str">
        <f>'1.1'!A35</f>
        <v>FECHA:</v>
      </c>
      <c r="B42" s="761" t="str">
        <f>'1.1'!B35</f>
        <v>12 de Noviembre del 2020</v>
      </c>
      <c r="C42" s="762"/>
      <c r="D42" s="762"/>
      <c r="E42" s="762"/>
      <c r="F42" s="762"/>
      <c r="G42" s="762"/>
      <c r="H42" s="762"/>
      <c r="K42" s="40"/>
    </row>
    <row r="43" spans="1:26" ht="14.25" customHeight="1">
      <c r="K43" s="40"/>
    </row>
    <row r="44" spans="1:26" ht="14.25" customHeight="1">
      <c r="K44" s="40"/>
    </row>
    <row r="45" spans="1:26" ht="14.25" customHeight="1">
      <c r="K45" s="40"/>
    </row>
    <row r="46" spans="1:26" ht="14.25" customHeight="1">
      <c r="K46" s="40"/>
    </row>
    <row r="47" spans="1:26" ht="14.25" customHeight="1">
      <c r="K47" s="40"/>
    </row>
    <row r="48" spans="1:26" ht="14.25" customHeight="1">
      <c r="K48" s="40"/>
    </row>
    <row r="49" spans="11:11" ht="14.25" customHeight="1">
      <c r="K49" s="40"/>
    </row>
    <row r="50" spans="11:11" ht="14.25" customHeight="1">
      <c r="K50" s="40"/>
    </row>
    <row r="51" spans="11:11" ht="14.25" customHeight="1">
      <c r="K51" s="40"/>
    </row>
    <row r="52" spans="11:11" ht="14.25" customHeight="1">
      <c r="K52" s="40"/>
    </row>
    <row r="53" spans="11:11" ht="14.25" customHeight="1">
      <c r="K53" s="40"/>
    </row>
    <row r="54" spans="11:11" ht="14.25" customHeight="1">
      <c r="K54" s="40"/>
    </row>
    <row r="55" spans="11:11" ht="14.25" customHeight="1">
      <c r="K55" s="40"/>
    </row>
    <row r="56" spans="11:11" ht="14.25" customHeight="1">
      <c r="K56" s="40"/>
    </row>
    <row r="57" spans="11:11" ht="14.25" customHeight="1">
      <c r="K57" s="40"/>
    </row>
    <row r="58" spans="11:11" ht="14.25" customHeight="1">
      <c r="K58" s="40"/>
    </row>
    <row r="59" spans="11:11" ht="14.25" customHeight="1">
      <c r="K59" s="40"/>
    </row>
    <row r="60" spans="11:11" ht="14.25" customHeight="1">
      <c r="K60" s="40"/>
    </row>
    <row r="61" spans="11:11" ht="14.25" customHeight="1">
      <c r="K61" s="40"/>
    </row>
    <row r="62" spans="11:11" ht="14.25" customHeight="1">
      <c r="K62" s="40"/>
    </row>
    <row r="63" spans="11:11" ht="14.25" customHeight="1">
      <c r="K63" s="40"/>
    </row>
    <row r="64" spans="11:11" ht="14.25" customHeight="1">
      <c r="K64" s="40"/>
    </row>
    <row r="65" spans="11:11" ht="14.25" customHeight="1">
      <c r="K65" s="40"/>
    </row>
    <row r="66" spans="11:11" ht="14.25" customHeight="1">
      <c r="K66" s="40"/>
    </row>
    <row r="67" spans="11:11" ht="14.25" customHeight="1">
      <c r="K67" s="40"/>
    </row>
    <row r="68" spans="11:11" ht="14.25" customHeight="1">
      <c r="K68" s="40"/>
    </row>
    <row r="69" spans="11:11" ht="14.25" customHeight="1">
      <c r="K69" s="40"/>
    </row>
    <row r="70" spans="11:11" ht="14.25" customHeight="1">
      <c r="K70" s="40"/>
    </row>
    <row r="71" spans="11:11" ht="14.25" customHeight="1">
      <c r="K71" s="40"/>
    </row>
    <row r="72" spans="11:11" ht="14.25" customHeight="1">
      <c r="K72" s="40"/>
    </row>
    <row r="73" spans="11:11" ht="14.25" customHeight="1">
      <c r="K73" s="40"/>
    </row>
    <row r="74" spans="11:11" ht="14.25" customHeight="1">
      <c r="K74" s="40"/>
    </row>
    <row r="75" spans="11:11" ht="14.25" customHeight="1">
      <c r="K75" s="40"/>
    </row>
    <row r="76" spans="11:11" ht="14.25" customHeight="1">
      <c r="K76" s="40"/>
    </row>
    <row r="77" spans="11:11" ht="14.25" customHeight="1">
      <c r="K77" s="40"/>
    </row>
    <row r="78" spans="11:11" ht="14.25" customHeight="1">
      <c r="K78" s="40"/>
    </row>
    <row r="79" spans="11:11" ht="14.25" customHeight="1">
      <c r="K79" s="40"/>
    </row>
    <row r="80" spans="11:11" ht="14.25" customHeight="1">
      <c r="K80" s="40"/>
    </row>
    <row r="81" spans="11:11" ht="14.25" customHeight="1">
      <c r="K81" s="40"/>
    </row>
    <row r="82" spans="11:11" ht="14.25" customHeight="1">
      <c r="K82" s="40"/>
    </row>
    <row r="83" spans="11:11" ht="14.25" customHeight="1">
      <c r="K83" s="40"/>
    </row>
    <row r="84" spans="11:11" ht="14.25" customHeight="1">
      <c r="K84" s="40"/>
    </row>
    <row r="85" spans="11:11" ht="14.25" customHeight="1">
      <c r="K85" s="40"/>
    </row>
    <row r="86" spans="11:11" ht="14.25" customHeight="1">
      <c r="K86" s="40"/>
    </row>
    <row r="87" spans="11:11" ht="14.25" customHeight="1">
      <c r="K87" s="40"/>
    </row>
    <row r="88" spans="11:11" ht="14.25" customHeight="1">
      <c r="K88" s="40"/>
    </row>
    <row r="89" spans="11:11" ht="14.25" customHeight="1">
      <c r="K89" s="40"/>
    </row>
    <row r="90" spans="11:11" ht="14.25" customHeight="1">
      <c r="K90" s="40"/>
    </row>
    <row r="91" spans="11:11" ht="14.25" customHeight="1">
      <c r="K91" s="40"/>
    </row>
    <row r="92" spans="11:11" ht="14.25" customHeight="1">
      <c r="K92" s="40"/>
    </row>
    <row r="93" spans="11:11" ht="14.25" customHeight="1">
      <c r="K93" s="40"/>
    </row>
    <row r="94" spans="11:11" ht="14.25" customHeight="1">
      <c r="K94" s="40"/>
    </row>
    <row r="95" spans="11:11" ht="14.25" customHeight="1">
      <c r="K95" s="40"/>
    </row>
    <row r="96" spans="11:11" ht="14.25" customHeight="1">
      <c r="K96" s="40"/>
    </row>
    <row r="97" spans="11:11" ht="14.25" customHeight="1">
      <c r="K97" s="40"/>
    </row>
    <row r="98" spans="11:11" ht="14.25" customHeight="1">
      <c r="K98" s="40"/>
    </row>
    <row r="99" spans="11:11" ht="14.25" customHeight="1">
      <c r="K99" s="40"/>
    </row>
    <row r="100" spans="11:11" ht="14.25" customHeight="1">
      <c r="K100" s="40"/>
    </row>
    <row r="101" spans="11:11" ht="14.25" customHeight="1">
      <c r="K101" s="40"/>
    </row>
    <row r="102" spans="11:11" ht="14.25" customHeight="1">
      <c r="K102" s="40"/>
    </row>
    <row r="103" spans="11:11" ht="14.25" customHeight="1">
      <c r="K103" s="40"/>
    </row>
    <row r="104" spans="11:11" ht="14.25" customHeight="1">
      <c r="K104" s="40"/>
    </row>
    <row r="105" spans="11:11" ht="14.25" customHeight="1">
      <c r="K105" s="40"/>
    </row>
    <row r="106" spans="11:11" ht="14.25" customHeight="1">
      <c r="K106" s="40"/>
    </row>
    <row r="107" spans="11:11" ht="14.25" customHeight="1">
      <c r="K107" s="40"/>
    </row>
    <row r="108" spans="11:11" ht="14.25" customHeight="1">
      <c r="K108" s="40"/>
    </row>
    <row r="109" spans="11:11" ht="14.25" customHeight="1">
      <c r="K109" s="40"/>
    </row>
    <row r="110" spans="11:11" ht="14.25" customHeight="1">
      <c r="K110" s="40"/>
    </row>
    <row r="111" spans="11:11" ht="14.25" customHeight="1">
      <c r="K111" s="40"/>
    </row>
    <row r="112" spans="11:11" ht="14.25" customHeight="1">
      <c r="K112" s="40"/>
    </row>
    <row r="113" spans="11:11" ht="14.25" customHeight="1">
      <c r="K113" s="40"/>
    </row>
    <row r="114" spans="11:11" ht="14.25" customHeight="1">
      <c r="K114" s="40"/>
    </row>
    <row r="115" spans="11:11" ht="14.25" customHeight="1">
      <c r="K115" s="40"/>
    </row>
    <row r="116" spans="11:11" ht="14.25" customHeight="1">
      <c r="K116" s="40"/>
    </row>
    <row r="117" spans="11:11" ht="14.25" customHeight="1">
      <c r="K117" s="40"/>
    </row>
    <row r="118" spans="11:11" ht="14.25" customHeight="1">
      <c r="K118" s="40"/>
    </row>
    <row r="119" spans="11:11" ht="14.25" customHeight="1">
      <c r="K119" s="40"/>
    </row>
    <row r="120" spans="11:11" ht="14.25" customHeight="1">
      <c r="K120" s="40"/>
    </row>
    <row r="121" spans="11:11" ht="14.25" customHeight="1">
      <c r="K121" s="40"/>
    </row>
    <row r="122" spans="11:11" ht="14.25" customHeight="1">
      <c r="K122" s="40"/>
    </row>
    <row r="123" spans="11:11" ht="14.25" customHeight="1">
      <c r="K123" s="40"/>
    </row>
    <row r="124" spans="11:11" ht="14.25" customHeight="1">
      <c r="K124" s="40"/>
    </row>
    <row r="125" spans="11:11" ht="14.25" customHeight="1">
      <c r="K125" s="40"/>
    </row>
    <row r="126" spans="11:11" ht="14.25" customHeight="1">
      <c r="K126" s="40"/>
    </row>
    <row r="127" spans="11:11" ht="14.25" customHeight="1">
      <c r="K127" s="40"/>
    </row>
    <row r="128" spans="11:11" ht="14.25" customHeight="1">
      <c r="K128" s="40"/>
    </row>
    <row r="129" spans="11:11" ht="14.25" customHeight="1">
      <c r="K129" s="40"/>
    </row>
    <row r="130" spans="11:11" ht="14.25" customHeight="1">
      <c r="K130" s="40"/>
    </row>
    <row r="131" spans="11:11" ht="14.25" customHeight="1">
      <c r="K131" s="40"/>
    </row>
    <row r="132" spans="11:11" ht="14.25" customHeight="1">
      <c r="K132" s="40"/>
    </row>
    <row r="133" spans="11:11" ht="14.25" customHeight="1">
      <c r="K133" s="40"/>
    </row>
    <row r="134" spans="11:11" ht="14.25" customHeight="1">
      <c r="K134" s="40"/>
    </row>
    <row r="135" spans="11:11" ht="14.25" customHeight="1">
      <c r="K135" s="40"/>
    </row>
    <row r="136" spans="11:11" ht="14.25" customHeight="1">
      <c r="K136" s="40"/>
    </row>
    <row r="137" spans="11:11" ht="14.25" customHeight="1">
      <c r="K137" s="40"/>
    </row>
    <row r="138" spans="11:11" ht="14.25" customHeight="1">
      <c r="K138" s="40"/>
    </row>
    <row r="139" spans="11:11" ht="14.25" customHeight="1">
      <c r="K139" s="40"/>
    </row>
    <row r="140" spans="11:11" ht="14.25" customHeight="1">
      <c r="K140" s="40"/>
    </row>
    <row r="141" spans="11:11" ht="14.25" customHeight="1">
      <c r="K141" s="40"/>
    </row>
    <row r="142" spans="11:11" ht="14.25" customHeight="1">
      <c r="K142" s="40"/>
    </row>
    <row r="143" spans="11:11" ht="14.25" customHeight="1">
      <c r="K143" s="40"/>
    </row>
    <row r="144" spans="11:11" ht="14.25" customHeight="1">
      <c r="K144" s="40"/>
    </row>
    <row r="145" spans="11:11" ht="14.25" customHeight="1">
      <c r="K145" s="40"/>
    </row>
    <row r="146" spans="11:11" ht="14.25" customHeight="1">
      <c r="K146" s="40"/>
    </row>
    <row r="147" spans="11:11" ht="14.25" customHeight="1">
      <c r="K147" s="40"/>
    </row>
    <row r="148" spans="11:11" ht="14.25" customHeight="1">
      <c r="K148" s="40"/>
    </row>
    <row r="149" spans="11:11" ht="14.25" customHeight="1">
      <c r="K149" s="40"/>
    </row>
    <row r="150" spans="11:11" ht="14.25" customHeight="1">
      <c r="K150" s="40"/>
    </row>
    <row r="151" spans="11:11" ht="14.25" customHeight="1">
      <c r="K151" s="40"/>
    </row>
    <row r="152" spans="11:11" ht="14.25" customHeight="1">
      <c r="K152" s="40"/>
    </row>
    <row r="153" spans="11:11" ht="14.25" customHeight="1">
      <c r="K153" s="40"/>
    </row>
    <row r="154" spans="11:11" ht="14.25" customHeight="1">
      <c r="K154" s="40"/>
    </row>
    <row r="155" spans="11:11" ht="14.25" customHeight="1">
      <c r="K155" s="40"/>
    </row>
    <row r="156" spans="11:11" ht="14.25" customHeight="1">
      <c r="K156" s="40"/>
    </row>
    <row r="157" spans="11:11" ht="14.25" customHeight="1">
      <c r="K157" s="40"/>
    </row>
    <row r="158" spans="11:11" ht="14.25" customHeight="1">
      <c r="K158" s="40"/>
    </row>
    <row r="159" spans="11:11" ht="14.25" customHeight="1">
      <c r="K159" s="40"/>
    </row>
    <row r="160" spans="11:11" ht="14.25" customHeight="1">
      <c r="K160" s="40"/>
    </row>
    <row r="161" spans="11:11" ht="14.25" customHeight="1">
      <c r="K161" s="40"/>
    </row>
    <row r="162" spans="11:11" ht="14.25" customHeight="1">
      <c r="K162" s="40"/>
    </row>
    <row r="163" spans="11:11" ht="14.25" customHeight="1">
      <c r="K163" s="40"/>
    </row>
    <row r="164" spans="11:11" ht="14.25" customHeight="1">
      <c r="K164" s="40"/>
    </row>
    <row r="165" spans="11:11" ht="14.25" customHeight="1">
      <c r="K165" s="40"/>
    </row>
    <row r="166" spans="11:11" ht="14.25" customHeight="1">
      <c r="K166" s="40"/>
    </row>
    <row r="167" spans="11:11" ht="14.25" customHeight="1">
      <c r="K167" s="40"/>
    </row>
    <row r="168" spans="11:11" ht="14.25" customHeight="1">
      <c r="K168" s="40"/>
    </row>
    <row r="169" spans="11:11" ht="14.25" customHeight="1">
      <c r="K169" s="40"/>
    </row>
    <row r="170" spans="11:11" ht="14.25" customHeight="1">
      <c r="K170" s="40"/>
    </row>
    <row r="171" spans="11:11" ht="14.25" customHeight="1">
      <c r="K171" s="40"/>
    </row>
    <row r="172" spans="11:11" ht="14.25" customHeight="1">
      <c r="K172" s="40"/>
    </row>
    <row r="173" spans="11:11" ht="14.25" customHeight="1">
      <c r="K173" s="40"/>
    </row>
    <row r="174" spans="11:11" ht="14.25" customHeight="1">
      <c r="K174" s="40"/>
    </row>
    <row r="175" spans="11:11" ht="14.25" customHeight="1">
      <c r="K175" s="40"/>
    </row>
    <row r="176" spans="11:11" ht="14.25" customHeight="1">
      <c r="K176" s="40"/>
    </row>
    <row r="177" spans="11:11" ht="14.25" customHeight="1">
      <c r="K177" s="40"/>
    </row>
    <row r="178" spans="11:11" ht="14.25" customHeight="1">
      <c r="K178" s="40"/>
    </row>
    <row r="179" spans="11:11" ht="14.25" customHeight="1">
      <c r="K179" s="40"/>
    </row>
    <row r="180" spans="11:11" ht="14.25" customHeight="1">
      <c r="K180" s="40"/>
    </row>
    <row r="181" spans="11:11" ht="14.25" customHeight="1">
      <c r="K181" s="40"/>
    </row>
    <row r="182" spans="11:11" ht="14.25" customHeight="1">
      <c r="K182" s="40"/>
    </row>
    <row r="183" spans="11:11" ht="14.25" customHeight="1">
      <c r="K183" s="40"/>
    </row>
    <row r="184" spans="11:11" ht="14.25" customHeight="1">
      <c r="K184" s="40"/>
    </row>
    <row r="185" spans="11:11" ht="14.25" customHeight="1">
      <c r="K185" s="40"/>
    </row>
    <row r="186" spans="11:11" ht="14.25" customHeight="1">
      <c r="K186" s="40"/>
    </row>
    <row r="187" spans="11:11" ht="14.25" customHeight="1">
      <c r="K187" s="40"/>
    </row>
    <row r="188" spans="11:11" ht="14.25" customHeight="1">
      <c r="K188" s="40"/>
    </row>
    <row r="189" spans="11:11" ht="14.25" customHeight="1">
      <c r="K189" s="40"/>
    </row>
    <row r="190" spans="11:11" ht="14.25" customHeight="1">
      <c r="K190" s="40"/>
    </row>
    <row r="191" spans="11:11" ht="14.25" customHeight="1">
      <c r="K191" s="40"/>
    </row>
    <row r="192" spans="11:11" ht="14.25" customHeight="1">
      <c r="K192" s="40"/>
    </row>
    <row r="193" spans="11:11" ht="14.25" customHeight="1">
      <c r="K193" s="40"/>
    </row>
    <row r="194" spans="11:11" ht="14.25" customHeight="1">
      <c r="K194" s="40"/>
    </row>
    <row r="195" spans="11:11" ht="14.25" customHeight="1">
      <c r="K195" s="40"/>
    </row>
    <row r="196" spans="11:11" ht="14.25" customHeight="1">
      <c r="K196" s="40"/>
    </row>
    <row r="197" spans="11:11" ht="14.25" customHeight="1">
      <c r="K197" s="40"/>
    </row>
    <row r="198" spans="11:11" ht="14.25" customHeight="1">
      <c r="K198" s="40"/>
    </row>
    <row r="199" spans="11:11" ht="14.25" customHeight="1">
      <c r="K199" s="40"/>
    </row>
    <row r="200" spans="11:11" ht="14.25" customHeight="1">
      <c r="K200" s="40"/>
    </row>
    <row r="201" spans="11:11" ht="14.25" customHeight="1">
      <c r="K201" s="40"/>
    </row>
    <row r="202" spans="11:11" ht="14.25" customHeight="1">
      <c r="K202" s="40"/>
    </row>
    <row r="203" spans="11:11" ht="14.25" customHeight="1">
      <c r="K203" s="40"/>
    </row>
    <row r="204" spans="11:11" ht="14.25" customHeight="1">
      <c r="K204" s="40"/>
    </row>
    <row r="205" spans="11:11" ht="14.25" customHeight="1">
      <c r="K205" s="40"/>
    </row>
    <row r="206" spans="11:11" ht="14.25" customHeight="1">
      <c r="K206" s="40"/>
    </row>
    <row r="207" spans="11:11" ht="14.25" customHeight="1">
      <c r="K207" s="40"/>
    </row>
    <row r="208" spans="11:11" ht="14.25" customHeight="1">
      <c r="K208" s="40"/>
    </row>
    <row r="209" spans="11:11" ht="14.25" customHeight="1">
      <c r="K209" s="40"/>
    </row>
    <row r="210" spans="11:11" ht="14.25" customHeight="1">
      <c r="K210" s="40"/>
    </row>
    <row r="211" spans="11:11" ht="14.25" customHeight="1">
      <c r="K211" s="40"/>
    </row>
    <row r="212" spans="11:11" ht="14.25" customHeight="1">
      <c r="K212" s="40"/>
    </row>
    <row r="213" spans="11:11" ht="14.25" customHeight="1">
      <c r="K213" s="40"/>
    </row>
    <row r="214" spans="11:11" ht="14.25" customHeight="1">
      <c r="K214" s="40"/>
    </row>
    <row r="215" spans="11:11" ht="14.25" customHeight="1">
      <c r="K215" s="40"/>
    </row>
    <row r="216" spans="11:11" ht="14.25" customHeight="1">
      <c r="K216" s="40"/>
    </row>
    <row r="217" spans="11:11" ht="14.25" customHeight="1">
      <c r="K217" s="40"/>
    </row>
    <row r="218" spans="11:11" ht="14.25" customHeight="1">
      <c r="K218" s="40"/>
    </row>
    <row r="219" spans="11:11" ht="14.25" customHeight="1">
      <c r="K219" s="40"/>
    </row>
    <row r="220" spans="11:11" ht="14.25" customHeight="1">
      <c r="K220" s="40"/>
    </row>
    <row r="221" spans="11:11" ht="14.25" customHeight="1">
      <c r="K221" s="40"/>
    </row>
    <row r="222" spans="11:11" ht="14.25" customHeight="1">
      <c r="K222" s="40"/>
    </row>
    <row r="223" spans="11:11" ht="14.25" customHeight="1">
      <c r="K223" s="40"/>
    </row>
    <row r="224" spans="11:11" ht="14.25" customHeight="1">
      <c r="K224" s="40"/>
    </row>
    <row r="225" spans="11:11" ht="14.25" customHeight="1">
      <c r="K225" s="40"/>
    </row>
    <row r="226" spans="11:11" ht="14.25" customHeight="1">
      <c r="K226" s="40"/>
    </row>
    <row r="227" spans="11:11" ht="14.25" customHeight="1">
      <c r="K227" s="40"/>
    </row>
    <row r="228" spans="11:11" ht="14.25" customHeight="1">
      <c r="K228" s="40"/>
    </row>
    <row r="229" spans="11:11" ht="14.25" customHeight="1">
      <c r="K229" s="40"/>
    </row>
    <row r="230" spans="11:11" ht="14.25" customHeight="1">
      <c r="K230" s="40"/>
    </row>
    <row r="231" spans="11:11" ht="14.25" customHeight="1">
      <c r="K231" s="40"/>
    </row>
    <row r="232" spans="11:11" ht="14.25" customHeight="1">
      <c r="K232" s="40"/>
    </row>
    <row r="233" spans="11:11" ht="14.25" customHeight="1">
      <c r="K233" s="40"/>
    </row>
    <row r="234" spans="11:11" ht="14.25" customHeight="1">
      <c r="K234" s="40"/>
    </row>
    <row r="235" spans="11:11" ht="14.25" customHeight="1">
      <c r="K235" s="40"/>
    </row>
    <row r="236" spans="11:11" ht="14.25" customHeight="1">
      <c r="K236" s="40"/>
    </row>
    <row r="237" spans="11:11" ht="14.25" customHeight="1">
      <c r="K237" s="40"/>
    </row>
    <row r="238" spans="11:11" ht="14.25" customHeight="1">
      <c r="K238" s="40"/>
    </row>
    <row r="239" spans="11:11" ht="15.75" customHeight="1"/>
    <row r="240" spans="11:1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sheetProtection algorithmName="SHA-512" hashValue="6UTsN8HzDzFqTVrrmjcexmO6gGutzl/b/OQXg1HVDH4/WXfTTSYomZW0ilrr8mR++fH5NslT+bm2MCEHRGyM3w==" saltValue="dyhmg2/W666kgzJV0cLh/w==" spinCount="100000" sheet="1" objects="1" scenarios="1" selectLockedCells="1" selectUnlockedCells="1"/>
  <mergeCells count="43">
    <mergeCell ref="G5:H5"/>
    <mergeCell ref="A6:H6"/>
    <mergeCell ref="A7:D7"/>
    <mergeCell ref="A8:D8"/>
    <mergeCell ref="A1:H1"/>
    <mergeCell ref="B2:F2"/>
    <mergeCell ref="G2:H3"/>
    <mergeCell ref="B3:F3"/>
    <mergeCell ref="B4:F4"/>
    <mergeCell ref="G4:H4"/>
    <mergeCell ref="A9:D9"/>
    <mergeCell ref="A10:D10"/>
    <mergeCell ref="A11:D11"/>
    <mergeCell ref="A12:D12"/>
    <mergeCell ref="B5:F5"/>
    <mergeCell ref="A13:D13"/>
    <mergeCell ref="A14:D14"/>
    <mergeCell ref="A15:D15"/>
    <mergeCell ref="A16:D16"/>
    <mergeCell ref="A17:D17"/>
    <mergeCell ref="A18:D18"/>
    <mergeCell ref="A19:D19"/>
    <mergeCell ref="A20:D20"/>
    <mergeCell ref="A21:G21"/>
    <mergeCell ref="A22:H22"/>
    <mergeCell ref="A23:D23"/>
    <mergeCell ref="A24:D24"/>
    <mergeCell ref="A25:D25"/>
    <mergeCell ref="A26:D26"/>
    <mergeCell ref="A34:D34"/>
    <mergeCell ref="A35:G35"/>
    <mergeCell ref="A27:D27"/>
    <mergeCell ref="A28:G28"/>
    <mergeCell ref="A29:H29"/>
    <mergeCell ref="A30:D30"/>
    <mergeCell ref="A31:D31"/>
    <mergeCell ref="A32:D32"/>
    <mergeCell ref="A33:D33"/>
    <mergeCell ref="B39:H39"/>
    <mergeCell ref="B40:H40"/>
    <mergeCell ref="B41:H41"/>
    <mergeCell ref="B42:H42"/>
    <mergeCell ref="A37:G37"/>
  </mergeCells>
  <phoneticPr fontId="41" type="noConversion"/>
  <hyperlinks>
    <hyperlink ref="G2:H3" location="Presupuesto!A1" display="Click aquí para volver a PRESUPUESTO"/>
  </hyperlinks>
  <pageMargins left="0.7" right="0.7" top="0.75" bottom="0.75" header="0" footer="0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68</vt:i4>
      </vt:variant>
      <vt:variant>
        <vt:lpstr>Rangos con nombre</vt:lpstr>
      </vt:variant>
      <vt:variant>
        <vt:i4>1</vt:i4>
      </vt:variant>
    </vt:vector>
  </HeadingPairs>
  <TitlesOfParts>
    <vt:vector size="69" baseType="lpstr">
      <vt:lpstr>Portada</vt:lpstr>
      <vt:lpstr>Actividades de construcción</vt:lpstr>
      <vt:lpstr>Cantidades de Obra</vt:lpstr>
      <vt:lpstr> Cuadro Resumen Cantidades Obra</vt:lpstr>
      <vt:lpstr>Analisis de cuadrillas</vt:lpstr>
      <vt:lpstr>Presupuesto</vt:lpstr>
      <vt:lpstr>AIU</vt:lpstr>
      <vt:lpstr>1.1</vt:lpstr>
      <vt:lpstr>1.2</vt:lpstr>
      <vt:lpstr>1.3</vt:lpstr>
      <vt:lpstr>1.4</vt:lpstr>
      <vt:lpstr>1.5</vt:lpstr>
      <vt:lpstr>2.1</vt:lpstr>
      <vt:lpstr>2.2</vt:lpstr>
      <vt:lpstr>2.3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9.1</vt:lpstr>
      <vt:lpstr>9.2</vt:lpstr>
      <vt:lpstr>9.3</vt:lpstr>
      <vt:lpstr>9.4</vt:lpstr>
      <vt:lpstr>10.1</vt:lpstr>
      <vt:lpstr>10.2</vt:lpstr>
      <vt:lpstr>10.3</vt:lpstr>
      <vt:lpstr>10.4</vt:lpstr>
      <vt:lpstr>10.5</vt:lpstr>
      <vt:lpstr>10.6</vt:lpstr>
      <vt:lpstr>10.7</vt:lpstr>
      <vt:lpstr>10.8</vt:lpstr>
      <vt:lpstr>10.9</vt:lpstr>
      <vt:lpstr>Presupuesto!Área_de_impresión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Alvarez</dc:creator>
  <cp:lastModifiedBy>Jefferson Zapata Moreno</cp:lastModifiedBy>
  <cp:lastPrinted>2020-11-04T20:12:42Z</cp:lastPrinted>
  <dcterms:created xsi:type="dcterms:W3CDTF">2020-10-15T20:54:05Z</dcterms:created>
  <dcterms:modified xsi:type="dcterms:W3CDTF">2021-02-08T13:31:49Z</dcterms:modified>
</cp:coreProperties>
</file>