
<file path=[Content_Types].xml><?xml version="1.0" encoding="utf-8"?>
<Types xmlns="http://schemas.openxmlformats.org/package/2006/content-types"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Default Extension="bin" ContentType="application/vnd.openxmlformats-officedocument.spreadsheetml.printerSettings"/>
  <Default Extension="png" ContentType="image/png"/>
  <Override PartName="/xl/worksheets/sheet9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10.xml" ContentType="application/vnd.openxmlformats-officedocument.spreadsheetml.worksheet+xml"/>
  <Override PartName="/xl/drawings/drawing2.xml" ContentType="application/vnd.openxmlformats-officedocument.drawing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comments2.xml" ContentType="application/vnd.openxmlformats-officedocument.spreadsheetml.comments+xml"/>
  <Override PartName="/xl/drawings/drawing1.xml" ContentType="application/vnd.openxmlformats-officedocument.drawing+xml"/>
  <Override PartName="/xl/worksheets/sheet1.xml" ContentType="application/vnd.openxmlformats-officedocument.spreadsheetml.worksheet+xml"/>
  <Default Extension="vml" ContentType="application/vnd.openxmlformats-officedocument.vmlDrawing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5" rupBuild="4505"/>
  <workbookPr defaultThemeVersion="124226"/>
  <bookViews>
    <workbookView xWindow="0" yWindow="0" windowWidth="19440" windowHeight="12435"/>
  </bookViews>
  <sheets>
    <sheet name="Insumos Mercado 2016 " sheetId="17" r:id="rId1"/>
    <sheet name="VENTAS" sheetId="8" r:id="rId2"/>
    <sheet name="GASTOS" sheetId="12" r:id="rId3"/>
    <sheet name="COSTOS" sheetId="11" r:id="rId4"/>
    <sheet name="Costo de produccion unitario" sheetId="18" r:id="rId5"/>
    <sheet name="INVERSIÒN" sheetId="9" r:id="rId6"/>
    <sheet name="FLUJO DE CAJA" sheetId="7" r:id="rId7"/>
    <sheet name="P&amp;G" sheetId="14" r:id="rId8"/>
    <sheet name="BALANCE GENERAL " sheetId="16" r:id="rId9"/>
    <sheet name="BALANCE INICIAL" sheetId="6" r:id="rId10"/>
    <sheet name="Insumos Mercado 2016" sheetId="1" state="hidden" r:id="rId11"/>
    <sheet name="PRECIOS CARTA" sheetId="3" state="hidden" r:id="rId12"/>
    <sheet name="CF,CV,GASTOS Y VENTAS" sheetId="2" state="hidden" r:id="rId13"/>
    <sheet name="PUNTO EQUILIBRIO" sheetId="5" state="hidden" r:id="rId14"/>
    <sheet name="PUNTO EQUILIBRIO " sheetId="19" r:id="rId15"/>
    <sheet name="FLUJO DE CAJA AÑO 1" sheetId="20" r:id="rId16"/>
  </sheets>
  <calcPr calcId="124519"/>
</workbook>
</file>

<file path=xl/calcChain.xml><?xml version="1.0" encoding="utf-8"?>
<calcChain xmlns="http://schemas.openxmlformats.org/spreadsheetml/2006/main">
  <c r="P14" i="20"/>
  <c r="P12"/>
  <c r="P11"/>
  <c r="O10"/>
  <c r="P9"/>
  <c r="O9"/>
  <c r="P7"/>
  <c r="P5"/>
  <c r="D20" i="11" l="1"/>
  <c r="B7" i="6"/>
  <c r="E30" i="17" l="1"/>
  <c r="D4" i="11" s="1"/>
  <c r="D7" s="1"/>
  <c r="B31" i="7" l="1"/>
  <c r="B11" l="1"/>
  <c r="B7"/>
  <c r="E4" i="11" l="1"/>
  <c r="C11"/>
  <c r="K10" i="18" l="1"/>
  <c r="K15" s="1"/>
  <c r="E30" l="1"/>
  <c r="E35" s="1"/>
  <c r="E37" s="1"/>
  <c r="K28"/>
  <c r="K33" s="1"/>
  <c r="K35" s="1"/>
  <c r="K17"/>
  <c r="E9"/>
  <c r="E14" s="1"/>
  <c r="E16" s="1"/>
  <c r="D4" i="12" l="1"/>
  <c r="C6"/>
  <c r="B6"/>
  <c r="D3"/>
  <c r="B18" i="7"/>
  <c r="G11"/>
  <c r="F11"/>
  <c r="E11"/>
  <c r="D11"/>
  <c r="F2" i="19"/>
  <c r="G2" s="1"/>
  <c r="E19" i="11"/>
  <c r="E18"/>
  <c r="E17"/>
  <c r="E16"/>
  <c r="B13"/>
  <c r="C12"/>
  <c r="D12" s="1"/>
  <c r="E12" s="1"/>
  <c r="D11"/>
  <c r="E11" s="1"/>
  <c r="E6"/>
  <c r="E5"/>
  <c r="E20" l="1"/>
  <c r="C17" i="7" s="1"/>
  <c r="D17" s="1"/>
  <c r="E17" s="1"/>
  <c r="F17" s="1"/>
  <c r="G17" s="1"/>
  <c r="E7" i="11"/>
  <c r="C15" i="7" s="1"/>
  <c r="D6" i="12"/>
  <c r="C13" i="11"/>
  <c r="E13"/>
  <c r="B8" i="14" l="1"/>
  <c r="C20" i="7"/>
  <c r="C21" s="1"/>
  <c r="E21" i="11"/>
  <c r="B6" i="14" s="1"/>
  <c r="C16" i="7"/>
  <c r="C18" s="1"/>
  <c r="C22" s="1"/>
  <c r="D15"/>
  <c r="E15" s="1"/>
  <c r="F15" s="1"/>
  <c r="G15" s="1"/>
  <c r="D13" i="11"/>
  <c r="F3" i="19" l="1"/>
  <c r="G3" s="1"/>
  <c r="C6" i="9"/>
  <c r="B6"/>
  <c r="D3"/>
  <c r="C7" i="8"/>
  <c r="B7"/>
  <c r="D6"/>
  <c r="E6" s="1"/>
  <c r="B16" s="1"/>
  <c r="C16" s="1"/>
  <c r="D16" s="1"/>
  <c r="E16" s="1"/>
  <c r="F16" s="1"/>
  <c r="D5"/>
  <c r="E5" s="1"/>
  <c r="B15" s="1"/>
  <c r="C15" s="1"/>
  <c r="D15" s="1"/>
  <c r="E15" s="1"/>
  <c r="F15" s="1"/>
  <c r="D4"/>
  <c r="E4" s="1"/>
  <c r="B14" s="1"/>
  <c r="C14" s="1"/>
  <c r="D14" s="1"/>
  <c r="E14" s="1"/>
  <c r="F14" s="1"/>
  <c r="D3"/>
  <c r="E3" s="1"/>
  <c r="B13" s="1"/>
  <c r="D6" i="9" l="1"/>
  <c r="C13" i="8"/>
  <c r="D13" s="1"/>
  <c r="E13" s="1"/>
  <c r="F13" s="1"/>
  <c r="E7"/>
  <c r="B17"/>
  <c r="B5" i="14" s="1"/>
  <c r="B7" s="1"/>
  <c r="B9" s="1"/>
  <c r="D7" i="8"/>
  <c r="E67" i="2"/>
  <c r="E72" s="1"/>
  <c r="E74" s="1"/>
  <c r="F4" i="19" l="1"/>
  <c r="C3" i="20"/>
  <c r="P3" s="1"/>
  <c r="P13" s="1"/>
  <c r="P15" s="1"/>
  <c r="B22" i="7"/>
  <c r="B24" s="1"/>
  <c r="B14" i="16"/>
  <c r="G4" i="19"/>
  <c r="D8"/>
  <c r="B10" i="14"/>
  <c r="B18" i="16" s="1"/>
  <c r="B21" s="1"/>
  <c r="C17" i="8"/>
  <c r="C5" i="14" s="1"/>
  <c r="C6" i="7"/>
  <c r="C7" s="1"/>
  <c r="B31" i="2"/>
  <c r="B33" s="1"/>
  <c r="G4" i="5"/>
  <c r="G2" i="3"/>
  <c r="J3" i="2"/>
  <c r="E5" s="1"/>
  <c r="F22"/>
  <c r="B7"/>
  <c r="F2" i="5" s="1"/>
  <c r="G2" s="1"/>
  <c r="D19" i="2"/>
  <c r="G19" s="1"/>
  <c r="D18"/>
  <c r="G18" s="1"/>
  <c r="D17"/>
  <c r="G17" s="1"/>
  <c r="D16"/>
  <c r="G16" s="1"/>
  <c r="B26" i="7" l="1"/>
  <c r="C25" s="1"/>
  <c r="D10" i="19"/>
  <c r="E10" s="1"/>
  <c r="E8"/>
  <c r="B11" i="14"/>
  <c r="B24" i="16" s="1"/>
  <c r="D17" i="8"/>
  <c r="D5" i="14" s="1"/>
  <c r="D6" i="7"/>
  <c r="D7" s="1"/>
  <c r="B9" i="2"/>
  <c r="G20"/>
  <c r="D20"/>
  <c r="C24" i="7"/>
  <c r="D16"/>
  <c r="E16" s="1"/>
  <c r="F16" s="1"/>
  <c r="G16" s="1"/>
  <c r="D20"/>
  <c r="B26" i="16" l="1"/>
  <c r="B28" s="1"/>
  <c r="C26" i="7"/>
  <c r="E17" i="8"/>
  <c r="E5" i="14" s="1"/>
  <c r="E6" i="7"/>
  <c r="E7" s="1"/>
  <c r="E20"/>
  <c r="D21"/>
  <c r="C8" i="14" s="1"/>
  <c r="D18" i="7"/>
  <c r="D22" i="2"/>
  <c r="E3"/>
  <c r="B32" i="6"/>
  <c r="B26"/>
  <c r="B13"/>
  <c r="B9"/>
  <c r="B33" l="1"/>
  <c r="B15"/>
  <c r="B34" s="1"/>
  <c r="D25" i="7"/>
  <c r="B7" i="16"/>
  <c r="B9" s="1"/>
  <c r="B15" s="1"/>
  <c r="B29" s="1"/>
  <c r="D22" i="7"/>
  <c r="D24" s="1"/>
  <c r="D26" s="1"/>
  <c r="E25" s="1"/>
  <c r="C6" i="14"/>
  <c r="F17" i="8"/>
  <c r="F6" i="7"/>
  <c r="F7" s="1"/>
  <c r="F20"/>
  <c r="E21"/>
  <c r="D8" i="14" s="1"/>
  <c r="E18" i="7"/>
  <c r="E30" i="1"/>
  <c r="E4" i="2" s="1"/>
  <c r="E7" s="1"/>
  <c r="E22" i="7" l="1"/>
  <c r="E24" s="1"/>
  <c r="E26" s="1"/>
  <c r="G6"/>
  <c r="G7" s="1"/>
  <c r="B34" s="1"/>
  <c r="F5" i="14"/>
  <c r="D6"/>
  <c r="C7"/>
  <c r="C9" s="1"/>
  <c r="C10" s="1"/>
  <c r="C11" s="1"/>
  <c r="G20" i="7"/>
  <c r="G21" s="1"/>
  <c r="F8" i="14" s="1"/>
  <c r="F21" i="7"/>
  <c r="E8" i="14" s="1"/>
  <c r="G18" i="7"/>
  <c r="F6" i="14" s="1"/>
  <c r="F18" i="7"/>
  <c r="E6" i="14" s="1"/>
  <c r="E7" s="1"/>
  <c r="E9" i="2"/>
  <c r="F3" i="5"/>
  <c r="G3" s="1"/>
  <c r="D8"/>
  <c r="K65" i="2"/>
  <c r="K70" s="1"/>
  <c r="K72" s="1"/>
  <c r="K46"/>
  <c r="K51" s="1"/>
  <c r="F25" i="7" l="1"/>
  <c r="F7" i="14"/>
  <c r="F9" s="1"/>
  <c r="F10" s="1"/>
  <c r="F11" s="1"/>
  <c r="D7"/>
  <c r="D9" s="1"/>
  <c r="D10" s="1"/>
  <c r="D11" s="1"/>
  <c r="E9"/>
  <c r="E10" s="1"/>
  <c r="E11" s="1"/>
  <c r="F22" i="7"/>
  <c r="G22"/>
  <c r="G24" s="1"/>
  <c r="E8" i="5"/>
  <c r="D10"/>
  <c r="E10" s="1"/>
  <c r="K53" i="2"/>
  <c r="E45"/>
  <c r="E50" s="1"/>
  <c r="E52" s="1"/>
  <c r="B35" i="7" l="1"/>
  <c r="B36" s="1"/>
  <c r="F24"/>
  <c r="F26" s="1"/>
  <c r="G25" l="1"/>
  <c r="G26" s="1"/>
  <c r="C33" s="1"/>
  <c r="B32" s="1"/>
</calcChain>
</file>

<file path=xl/comments1.xml><?xml version="1.0" encoding="utf-8"?>
<comments xmlns="http://schemas.openxmlformats.org/spreadsheetml/2006/main">
  <authors>
    <author>DIANA CAROLINNA</author>
  </authors>
  <commentList>
    <comment ref="B12" authorId="0">
      <text>
        <r>
          <rPr>
            <b/>
            <sz val="9"/>
            <color indexed="81"/>
            <rFont val="Tahoma"/>
            <family val="2"/>
          </rPr>
          <t>CF/NUMERO UNIDADES VENDIDAS AL MES</t>
        </r>
      </text>
    </comment>
    <comment ref="H13" authorId="0">
      <text>
        <r>
          <rPr>
            <b/>
            <sz val="9"/>
            <color indexed="81"/>
            <rFont val="Tahoma"/>
            <family val="2"/>
          </rPr>
          <t>CF/NUMERO UNIDADES VENDIDAS AL MES</t>
        </r>
      </text>
    </comment>
    <comment ref="H31" authorId="0">
      <text>
        <r>
          <rPr>
            <b/>
            <sz val="9"/>
            <color indexed="81"/>
            <rFont val="Tahoma"/>
            <family val="2"/>
          </rPr>
          <t>CF/NUMERO UNIDADES VENDIDAS AL MES</t>
        </r>
      </text>
    </comment>
    <comment ref="B33" authorId="0">
      <text>
        <r>
          <rPr>
            <b/>
            <sz val="9"/>
            <color indexed="81"/>
            <rFont val="Tahoma"/>
            <family val="2"/>
          </rPr>
          <t>CF/NUMERO UNIDADES VENDIDAS AL MES</t>
        </r>
      </text>
    </comment>
  </commentList>
</comments>
</file>

<file path=xl/comments2.xml><?xml version="1.0" encoding="utf-8"?>
<comments xmlns="http://schemas.openxmlformats.org/spreadsheetml/2006/main">
  <authors>
    <author>DIANA CAROLINNA</author>
    <author>HPPAVILION</author>
  </authors>
  <commentList>
    <comment ref="B48" authorId="0">
      <text>
        <r>
          <rPr>
            <b/>
            <sz val="9"/>
            <color indexed="81"/>
            <rFont val="Tahoma"/>
            <family val="2"/>
          </rPr>
          <t>CF/NUMERO UNIDADES VENDIDAS AL MES</t>
        </r>
      </text>
    </comment>
    <comment ref="H49" authorId="1">
      <text>
        <r>
          <rPr>
            <b/>
            <sz val="9"/>
            <color indexed="81"/>
            <rFont val="Tahoma"/>
            <charset val="1"/>
          </rPr>
          <t>HPPAVILION:</t>
        </r>
        <r>
          <rPr>
            <sz val="9"/>
            <color indexed="81"/>
            <rFont val="Tahoma"/>
            <charset val="1"/>
          </rPr>
          <t xml:space="preserve">
CF/UNIDADES MES 400</t>
        </r>
      </text>
    </comment>
  </commentList>
</comments>
</file>

<file path=xl/sharedStrings.xml><?xml version="1.0" encoding="utf-8"?>
<sst xmlns="http://schemas.openxmlformats.org/spreadsheetml/2006/main" count="664" uniqueCount="322">
  <si>
    <t xml:space="preserve">Papa industrial </t>
  </si>
  <si>
    <t xml:space="preserve">Bulto </t>
  </si>
  <si>
    <t>50.00</t>
  </si>
  <si>
    <t xml:space="preserve">kilo </t>
  </si>
  <si>
    <t xml:space="preserve">Papa criolla </t>
  </si>
  <si>
    <t xml:space="preserve">sal </t>
  </si>
  <si>
    <t xml:space="preserve">queso doble crema </t>
  </si>
  <si>
    <t>1.0</t>
  </si>
  <si>
    <t xml:space="preserve">costilla </t>
  </si>
  <si>
    <t xml:space="preserve">lomo </t>
  </si>
  <si>
    <t xml:space="preserve">bulto </t>
  </si>
  <si>
    <t xml:space="preserve">cebolla cabezona  blanca </t>
  </si>
  <si>
    <t xml:space="preserve">pollo </t>
  </si>
  <si>
    <t>1.3</t>
  </si>
  <si>
    <t xml:space="preserve">tocineta </t>
  </si>
  <si>
    <t xml:space="preserve">gramo </t>
  </si>
  <si>
    <t>gramo</t>
  </si>
  <si>
    <t xml:space="preserve">Nombre </t>
  </si>
  <si>
    <t xml:space="preserve">Presentacion </t>
  </si>
  <si>
    <t xml:space="preserve">Cantidad </t>
  </si>
  <si>
    <t xml:space="preserve">Unidad </t>
  </si>
  <si>
    <t xml:space="preserve">Precio </t>
  </si>
  <si>
    <t>Tuberculos</t>
  </si>
  <si>
    <t xml:space="preserve">Carnicos </t>
  </si>
  <si>
    <t xml:space="preserve">Lacteos </t>
  </si>
  <si>
    <t xml:space="preserve">Otros </t>
  </si>
  <si>
    <t>Salsas</t>
  </si>
  <si>
    <t xml:space="preserve">tomate fruco </t>
  </si>
  <si>
    <t>gramos</t>
  </si>
  <si>
    <t xml:space="preserve">margarina multipropositos </t>
  </si>
  <si>
    <t>kilo</t>
  </si>
  <si>
    <t>15.0</t>
  </si>
  <si>
    <t xml:space="preserve">aderezo de ajo </t>
  </si>
  <si>
    <t>BBQ</t>
  </si>
  <si>
    <t xml:space="preserve">salsa ranch </t>
  </si>
  <si>
    <t>ajo picado</t>
  </si>
  <si>
    <t>907.0</t>
  </si>
  <si>
    <t xml:space="preserve">mayonesa </t>
  </si>
  <si>
    <t xml:space="preserve">salsa cheddar </t>
  </si>
  <si>
    <t>Costo de insumos para produccion Julio 2016</t>
  </si>
  <si>
    <t xml:space="preserve">moztasa </t>
  </si>
  <si>
    <t>Aceite  Galon</t>
  </si>
  <si>
    <t>Litros</t>
  </si>
  <si>
    <t>Galon</t>
  </si>
  <si>
    <t>4.00</t>
  </si>
  <si>
    <t>kiloramos</t>
  </si>
  <si>
    <t>kilogramos</t>
  </si>
  <si>
    <t xml:space="preserve">crema de leche </t>
  </si>
  <si>
    <t xml:space="preserve">queso crema </t>
  </si>
  <si>
    <t>http://www.makrovirtual.com/cumara/catalogsearch/result/?q=cebolleta&amp;Buscar.x=0&amp;Buscar.y=0</t>
  </si>
  <si>
    <t>http://www.corabastos.com.co/sitio/index.php?option=com_content&amp;view=article&amp;id=471&amp;Itemid=290</t>
  </si>
  <si>
    <t xml:space="preserve">combo chili fries </t>
  </si>
  <si>
    <t>combo bacon</t>
  </si>
  <si>
    <t xml:space="preserve">combo pork fries </t>
  </si>
  <si>
    <t>combo teriyaki</t>
  </si>
  <si>
    <t>tocineta</t>
  </si>
  <si>
    <t>chile con carne</t>
  </si>
  <si>
    <t>pollo</t>
  </si>
  <si>
    <t>cerdo</t>
  </si>
  <si>
    <t xml:space="preserve">carne </t>
  </si>
  <si>
    <t>queso chedar</t>
  </si>
  <si>
    <t xml:space="preserve">papas </t>
  </si>
  <si>
    <t>gaseosa</t>
  </si>
  <si>
    <t>tea</t>
  </si>
  <si>
    <t xml:space="preserve">agua </t>
  </si>
  <si>
    <t xml:space="preserve">COMBOS </t>
  </si>
  <si>
    <t xml:space="preserve">ADICIONES </t>
  </si>
  <si>
    <t xml:space="preserve">BEBIDAS </t>
  </si>
  <si>
    <t xml:space="preserve">AGUA </t>
  </si>
  <si>
    <t>Envase</t>
  </si>
  <si>
    <t>Total</t>
  </si>
  <si>
    <t>Insumo</t>
  </si>
  <si>
    <t>cantidad</t>
  </si>
  <si>
    <t>papa industrial</t>
  </si>
  <si>
    <t>250 gramos</t>
  </si>
  <si>
    <t>valor total</t>
  </si>
  <si>
    <t>lomo</t>
  </si>
  <si>
    <t>100 gramos</t>
  </si>
  <si>
    <t>queso cheedar</t>
  </si>
  <si>
    <t>150 gramos</t>
  </si>
  <si>
    <t>valor unitario</t>
  </si>
  <si>
    <t>envase ( unidad)</t>
  </si>
  <si>
    <t>Costos variables</t>
  </si>
  <si>
    <t>total costos variables</t>
  </si>
  <si>
    <t xml:space="preserve">Costos fijos </t>
  </si>
  <si>
    <t>total costo unitario</t>
  </si>
  <si>
    <t xml:space="preserve">precio venta </t>
  </si>
  <si>
    <t>utilidad estimada</t>
  </si>
  <si>
    <t>Costos fijos</t>
  </si>
  <si>
    <t>Costos Variables</t>
  </si>
  <si>
    <t>Insumos Totales</t>
  </si>
  <si>
    <t>Total Costos Fijos</t>
  </si>
  <si>
    <t>Total Costos Variables</t>
  </si>
  <si>
    <t>Total costos fijo</t>
  </si>
  <si>
    <t>Combo # 1 Chilis Fries / Costo de venta $11.000</t>
  </si>
  <si>
    <t>Combo # 2 Bacon Fries / Costo de venta $12.000</t>
  </si>
  <si>
    <t>PIPETA DE GAS</t>
  </si>
  <si>
    <t xml:space="preserve">TRANSLADO   TRAILET </t>
  </si>
  <si>
    <t>Bacon</t>
  </si>
  <si>
    <t>Combo # 3 Pork Fries / Costo de venta $15.000</t>
  </si>
  <si>
    <t>Cerdo</t>
  </si>
  <si>
    <t>Combo # 4 Teriyaky Fries / Costo de venta $13.000</t>
  </si>
  <si>
    <t>Costo unidad</t>
  </si>
  <si>
    <t>Mes</t>
  </si>
  <si>
    <t>Ventas Estimadas</t>
  </si>
  <si>
    <t xml:space="preserve">Combo 1 </t>
  </si>
  <si>
    <t>Combo 2</t>
  </si>
  <si>
    <t>Combo 3</t>
  </si>
  <si>
    <t>Combo 4</t>
  </si>
  <si>
    <t>Medidas</t>
  </si>
  <si>
    <t>unidades</t>
  </si>
  <si>
    <t>Total ventas Estimadas Mes</t>
  </si>
  <si>
    <t>Precio unidad</t>
  </si>
  <si>
    <t xml:space="preserve"> Ventas mes</t>
  </si>
  <si>
    <t>Pesos</t>
  </si>
  <si>
    <t>ventas semana</t>
  </si>
  <si>
    <t>ventas mes</t>
  </si>
  <si>
    <t>ventas dia</t>
  </si>
  <si>
    <t>pesos</t>
  </si>
  <si>
    <t>350000/400</t>
  </si>
  <si>
    <t>Pollo</t>
  </si>
  <si>
    <t>Precio venta promedio Combos</t>
  </si>
  <si>
    <t>P.E =</t>
  </si>
  <si>
    <t>Costos Fijos / 1-(Costo variable/Ventas)</t>
  </si>
  <si>
    <t>PUNTO DE EQUILIBRIO EN PESOS</t>
  </si>
  <si>
    <t>Total CF</t>
  </si>
  <si>
    <t>TOTAL CV</t>
  </si>
  <si>
    <t>TOTAL VENTAS</t>
  </si>
  <si>
    <t>PUNTO DE EQUILIBRIO EN UNIDADES</t>
  </si>
  <si>
    <t>PRECIO DE VENTA COMBOS PROMEDIO</t>
  </si>
  <si>
    <t>Punto de equilibrio en pesos/Precio de venta combos promedio</t>
  </si>
  <si>
    <t xml:space="preserve"> Pesos</t>
  </si>
  <si>
    <t>Unidades</t>
  </si>
  <si>
    <t>ACTIVOS</t>
  </si>
  <si>
    <t>Corriente</t>
  </si>
  <si>
    <t>Bancos</t>
  </si>
  <si>
    <t>Imventarios</t>
  </si>
  <si>
    <t>No Corrientes</t>
  </si>
  <si>
    <t>P.P.E.</t>
  </si>
  <si>
    <t>Total A.C</t>
  </si>
  <si>
    <t>Total A.N.C</t>
  </si>
  <si>
    <t>Total Activos</t>
  </si>
  <si>
    <t>PASIVOS</t>
  </si>
  <si>
    <t>Total Pasivos</t>
  </si>
  <si>
    <t>Total P.C</t>
  </si>
  <si>
    <t>Total P.N.C</t>
  </si>
  <si>
    <t>PATRIMONIO</t>
  </si>
  <si>
    <t>Capital Social</t>
  </si>
  <si>
    <t>Total Patrimonio</t>
  </si>
  <si>
    <t>Relacion costo beneficio</t>
  </si>
  <si>
    <t>VNA egresos</t>
  </si>
  <si>
    <t>VPA ingresos</t>
  </si>
  <si>
    <t>TIR</t>
  </si>
  <si>
    <t>Promedio (admon ventas)</t>
  </si>
  <si>
    <t>GASTOS</t>
  </si>
  <si>
    <t>Nómina</t>
  </si>
  <si>
    <t>Proveedores</t>
  </si>
  <si>
    <t>EGRESOS</t>
  </si>
  <si>
    <t>INGRESOS TOTALES</t>
  </si>
  <si>
    <t>Ventas</t>
  </si>
  <si>
    <t>Ingresos</t>
  </si>
  <si>
    <t>Año 5</t>
  </si>
  <si>
    <t>Año 4</t>
  </si>
  <si>
    <t>Año 3</t>
  </si>
  <si>
    <t>Año 2</t>
  </si>
  <si>
    <t>Año 1</t>
  </si>
  <si>
    <t>Año 0</t>
  </si>
  <si>
    <t>FLUJO DE CAJA</t>
  </si>
  <si>
    <t>Costos</t>
  </si>
  <si>
    <t xml:space="preserve">                                               Ventas Estimadas</t>
  </si>
  <si>
    <t>Gastos</t>
  </si>
  <si>
    <t>Total ventas Estimadas anuales</t>
  </si>
  <si>
    <t>Total Costos Fijos año</t>
  </si>
  <si>
    <t>Total Costos Variables año</t>
  </si>
  <si>
    <t>Salario minimo 1 empleado</t>
  </si>
  <si>
    <t xml:space="preserve">Salario minimo por empleado anual </t>
  </si>
  <si>
    <t>M.O</t>
  </si>
  <si>
    <t>Prestaciones sociales %</t>
  </si>
  <si>
    <t xml:space="preserve">Punto de equilibrio mensual y anual </t>
  </si>
  <si>
    <t xml:space="preserve">Mes </t>
  </si>
  <si>
    <t>año</t>
  </si>
  <si>
    <t>Costos y ventas</t>
  </si>
  <si>
    <t>Mensual</t>
  </si>
  <si>
    <t>Anual</t>
  </si>
  <si>
    <t>Formula</t>
  </si>
  <si>
    <t>Medida</t>
  </si>
  <si>
    <t>P.E</t>
  </si>
  <si>
    <t>Total gastos año</t>
  </si>
  <si>
    <t>IPC %</t>
  </si>
  <si>
    <t>Salsa BBQ</t>
  </si>
  <si>
    <t>Salsa Ranch</t>
  </si>
  <si>
    <t xml:space="preserve">Costillas </t>
  </si>
  <si>
    <t>Costo de produccion unitario de insumos por producto</t>
  </si>
  <si>
    <t>papa criolla</t>
  </si>
  <si>
    <t xml:space="preserve">Gastos comerciales </t>
  </si>
  <si>
    <t>Gastos generales</t>
  </si>
  <si>
    <t>VENTAS</t>
  </si>
  <si>
    <t>PRODUCTO</t>
  </si>
  <si>
    <t>VALOR VENTAS MES</t>
  </si>
  <si>
    <t>TOTAL</t>
  </si>
  <si>
    <t xml:space="preserve">VALOR VENTAS AÑO </t>
  </si>
  <si>
    <t>PROYECCIÒN</t>
  </si>
  <si>
    <t>AÑO 1</t>
  </si>
  <si>
    <t>AÑO 2</t>
  </si>
  <si>
    <t>AÑO 3</t>
  </si>
  <si>
    <t>AÑO 4</t>
  </si>
  <si>
    <t>AÑO 5</t>
  </si>
  <si>
    <t>IPC</t>
  </si>
  <si>
    <t>INVERSIÒN</t>
  </si>
  <si>
    <t>TRAILER</t>
  </si>
  <si>
    <t>CONCEPTO</t>
  </si>
  <si>
    <t>CANTIDAD</t>
  </si>
  <si>
    <t>VR UNITARIO</t>
  </si>
  <si>
    <t>VR TOTAL</t>
  </si>
  <si>
    <t>TOTAL INVERSIÒN</t>
  </si>
  <si>
    <t>Trailer</t>
  </si>
  <si>
    <t>MATERIA PRIMA</t>
  </si>
  <si>
    <t>UNIDAD DE MEDIDA</t>
  </si>
  <si>
    <t>KILOGRAMOS</t>
  </si>
  <si>
    <t xml:space="preserve">PRESTACIONES SOCIALES </t>
  </si>
  <si>
    <t>CARGO</t>
  </si>
  <si>
    <t>SALARIO MENSUAL</t>
  </si>
  <si>
    <t>PRESTACIONES</t>
  </si>
  <si>
    <t>TOTAL SALARIO MENSUAL</t>
  </si>
  <si>
    <t>SALARIO ANUAL</t>
  </si>
  <si>
    <t>OPERARIOS</t>
  </si>
  <si>
    <t>VALOR MES</t>
  </si>
  <si>
    <t>AGUA</t>
  </si>
  <si>
    <t>TOTAL COSTOS</t>
  </si>
  <si>
    <t>CHEF</t>
  </si>
  <si>
    <t>TOTAL EGRESOS</t>
  </si>
  <si>
    <t>TOTAL GASTOS</t>
  </si>
  <si>
    <t>ESTADO DE RESULTADOS</t>
  </si>
  <si>
    <t>INGRESOS</t>
  </si>
  <si>
    <t>COSTO DE VENTAS</t>
  </si>
  <si>
    <t>UTILIDAD BRUTA</t>
  </si>
  <si>
    <t>GAST0S DE ADMINISTRACION</t>
  </si>
  <si>
    <t>UTILIDAD OPERACIONAL ANTES DE IMPUESTOS</t>
  </si>
  <si>
    <t>IMPUESTOS</t>
  </si>
  <si>
    <t>UTILIDAD DEL EJERCICIO</t>
  </si>
  <si>
    <t>TRASLADOS</t>
  </si>
  <si>
    <t>ENVASES</t>
  </si>
  <si>
    <t>CIF</t>
  </si>
  <si>
    <t>BALANCE GENERAL</t>
  </si>
  <si>
    <t>ACTIVO</t>
  </si>
  <si>
    <t>Activo corriente</t>
  </si>
  <si>
    <t>Disponible</t>
  </si>
  <si>
    <t>TOTAL ACTIVO CORRIENTE</t>
  </si>
  <si>
    <t>ACTIVO FIJO</t>
  </si>
  <si>
    <t>Propiedad planta y equipó</t>
  </si>
  <si>
    <t>TOTAL ACTIVO FIJO</t>
  </si>
  <si>
    <t>TOTAL ACTIVO</t>
  </si>
  <si>
    <t>PASIVO</t>
  </si>
  <si>
    <t>TOTAL PASIVO</t>
  </si>
  <si>
    <t>RESULTADOS DEL EJERCICIO</t>
  </si>
  <si>
    <t>TOTAL PATRIMONIO</t>
  </si>
  <si>
    <t>TOTAL PASIVO MAS PATRIMONIO</t>
  </si>
  <si>
    <t>CUADRE</t>
  </si>
  <si>
    <t>Saldo del ejercicio</t>
  </si>
  <si>
    <t>Saldo anterior</t>
  </si>
  <si>
    <t>Aportes</t>
  </si>
  <si>
    <t>APORTES SOCIOS</t>
  </si>
  <si>
    <t>TOTAL PASIVO+PATRIMONIO</t>
  </si>
  <si>
    <t xml:space="preserve">Tasa de oportunidad </t>
  </si>
  <si>
    <t>VALOR PRESENTE NETO</t>
  </si>
  <si>
    <t>INDICADORES ASOCIADOS</t>
  </si>
  <si>
    <t>Flujo neto de Efectivo</t>
  </si>
  <si>
    <t>Costos variables insumos</t>
  </si>
  <si>
    <t>Total costos fijo unitario</t>
  </si>
  <si>
    <t>Costo U/P. venta %</t>
  </si>
  <si>
    <t>PROYECCIÓN DE LAS VENTAS</t>
  </si>
  <si>
    <t>COSTOS</t>
  </si>
  <si>
    <t>1 COSTOS DE PRODUCCION</t>
  </si>
  <si>
    <t>2 MANO DE OBRA DIRECTA</t>
  </si>
  <si>
    <t>COSTO MENSUAL</t>
  </si>
  <si>
    <t>COSTO ANUAL</t>
  </si>
  <si>
    <t>Costo</t>
  </si>
  <si>
    <t># MESES AÑO</t>
  </si>
  <si>
    <t>3 COSTOS INDIRECTOS DE FABRICACION FIJOS</t>
  </si>
  <si>
    <t xml:space="preserve">TOTAL </t>
  </si>
  <si>
    <t>TOTAL GASTOS MENSUAL</t>
  </si>
  <si>
    <t>GASTOS ANUALES</t>
  </si>
  <si>
    <t>Solo para calculo TIR</t>
  </si>
  <si>
    <t xml:space="preserve">IN AND OUT FRIES </t>
  </si>
  <si>
    <t>Al 31 de Diciembre del año 2017</t>
  </si>
  <si>
    <t xml:space="preserve">BALANCE INICIAL </t>
  </si>
  <si>
    <t>IN AND OUT FRIES</t>
  </si>
  <si>
    <t>VALOR ANUAL</t>
  </si>
  <si>
    <t>(Tuberculos, carnicos, lacteos, etc)</t>
  </si>
  <si>
    <t>Combo # 1 Chilis Fries / precio de venta $11.000</t>
  </si>
  <si>
    <t>Combo # 2 Bacon Fries / precio de venta $12.000</t>
  </si>
  <si>
    <t>Combo # 3 Pork Fries / precio de venta $15.000</t>
  </si>
  <si>
    <t>Combo # 4 Teriyaky Fries / precio de venta $13.000</t>
  </si>
  <si>
    <t>Gramos</t>
  </si>
  <si>
    <t>Galón</t>
  </si>
  <si>
    <t>V/ MENSUALES UNIDADES</t>
  </si>
  <si>
    <t>VALOR UNITARO</t>
  </si>
  <si>
    <t>Detalle de ingresos</t>
  </si>
  <si>
    <t>Mes 1</t>
  </si>
  <si>
    <t>Mes 2</t>
  </si>
  <si>
    <t>Mes 3</t>
  </si>
  <si>
    <t>Mes 4</t>
  </si>
  <si>
    <t>Mes 5</t>
  </si>
  <si>
    <t>Mes 6</t>
  </si>
  <si>
    <t>Mes 7</t>
  </si>
  <si>
    <t>Mes 8</t>
  </si>
  <si>
    <t>Mes 9</t>
  </si>
  <si>
    <t>Mes 10</t>
  </si>
  <si>
    <t>Mes 11</t>
  </si>
  <si>
    <t>Mes 12</t>
  </si>
  <si>
    <t>Ingresos por ventas</t>
  </si>
  <si>
    <t xml:space="preserve">Egresos </t>
  </si>
  <si>
    <t>Inversion Trailer</t>
  </si>
  <si>
    <t>Chef</t>
  </si>
  <si>
    <t xml:space="preserve">Auxiliar </t>
  </si>
  <si>
    <t>INGRESOS VS EGRESOS</t>
  </si>
  <si>
    <t>Saldo año anterior</t>
  </si>
  <si>
    <t>Saldo neto ejercicio</t>
  </si>
  <si>
    <t>PRECIO DE VENTA PROMEDIO 4 COMBOS</t>
  </si>
  <si>
    <t>Flujo de caja año 1 (2017)</t>
  </si>
  <si>
    <t>740000/520</t>
  </si>
  <si>
    <t>TOTAL MES Y AÑO</t>
  </si>
</sst>
</file>

<file path=xl/styles.xml><?xml version="1.0" encoding="utf-8"?>
<styleSheet xmlns="http://schemas.openxmlformats.org/spreadsheetml/2006/main">
  <numFmts count="8">
    <numFmt numFmtId="43" formatCode="_(* #,##0.00_);_(* \(#,##0.00\);_(* &quot;-&quot;??_);_(@_)"/>
    <numFmt numFmtId="164" formatCode="_-&quot;$&quot;* #,##0.00_-;\-&quot;$&quot;* #,##0.00_-;_-&quot;$&quot;* &quot;-&quot;??_-;_-@_-"/>
    <numFmt numFmtId="165" formatCode="_-&quot;$&quot;* #,##0_-;\-&quot;$&quot;* #,##0_-;_-&quot;$&quot;* &quot;-&quot;??_-;_-@_-"/>
    <numFmt numFmtId="166" formatCode="_(* #,##0_);_(* \(#,##0\);_(* &quot;-&quot;??_);_(@_)"/>
    <numFmt numFmtId="167" formatCode="0.000"/>
    <numFmt numFmtId="168" formatCode="[$$-240A]\ #,##0.000"/>
    <numFmt numFmtId="169" formatCode="[$$-240A]\ #,##0.00"/>
    <numFmt numFmtId="170" formatCode="[$$-240A]\ #,##0"/>
  </numFmts>
  <fonts count="2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rgb="FFFF0000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  <font>
      <b/>
      <sz val="9"/>
      <color indexed="81"/>
      <name val="Tahoma"/>
      <family val="2"/>
    </font>
    <font>
      <b/>
      <sz val="26"/>
      <color theme="1"/>
      <name val="Calibri"/>
      <family val="2"/>
      <scheme val="minor"/>
    </font>
    <font>
      <b/>
      <sz val="20"/>
      <color theme="1"/>
      <name val="Times New Roman"/>
      <family val="1"/>
    </font>
    <font>
      <sz val="9"/>
      <color indexed="81"/>
      <name val="Tahoma"/>
      <charset val="1"/>
    </font>
    <font>
      <b/>
      <sz val="9"/>
      <color indexed="81"/>
      <name val="Tahoma"/>
      <charset val="1"/>
    </font>
    <font>
      <u/>
      <sz val="11"/>
      <color theme="10"/>
      <name val="Calibri"/>
      <family val="2"/>
      <scheme val="minor"/>
    </font>
    <font>
      <sz val="12"/>
      <color theme="1"/>
      <name val="Calibri"/>
      <family val="2"/>
      <scheme val="minor"/>
    </font>
    <font>
      <sz val="11"/>
      <color theme="0"/>
      <name val="Calibri"/>
      <family val="2"/>
      <scheme val="minor"/>
    </font>
    <font>
      <b/>
      <sz val="11"/>
      <color rgb="FF000000"/>
      <name val="Calibri"/>
      <family val="2"/>
      <scheme val="minor"/>
    </font>
    <font>
      <b/>
      <sz val="14"/>
      <color theme="1"/>
      <name val="Calibri"/>
      <family val="2"/>
      <scheme val="minor"/>
    </font>
    <font>
      <b/>
      <sz val="20"/>
      <color theme="1"/>
      <name val="Calibri"/>
      <family val="2"/>
      <scheme val="minor"/>
    </font>
    <font>
      <sz val="12"/>
      <color rgb="FFFF0000"/>
      <name val="Calibri"/>
      <family val="2"/>
      <scheme val="minor"/>
    </font>
    <font>
      <b/>
      <sz val="24"/>
      <color theme="1"/>
      <name val="Calibri"/>
      <family val="2"/>
      <scheme val="minor"/>
    </font>
    <font>
      <b/>
      <sz val="12"/>
      <color rgb="FFFF0000"/>
      <name val="Calibri"/>
      <family val="2"/>
      <scheme val="minor"/>
    </font>
    <font>
      <b/>
      <sz val="28"/>
      <color theme="1"/>
      <name val="Calibri"/>
      <family val="2"/>
      <scheme val="minor"/>
    </font>
  </fonts>
  <fills count="11">
    <fill>
      <patternFill patternType="none"/>
    </fill>
    <fill>
      <patternFill patternType="gray125"/>
    </fill>
    <fill>
      <patternFill patternType="solid">
        <fgColor theme="4" tint="0.59999389629810485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1" tint="0.499984740745262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6">
    <xf numFmtId="0" fontId="0" fillId="0" borderId="0"/>
    <xf numFmtId="164" fontId="2" fillId="0" borderId="0" applyFont="0" applyFill="0" applyBorder="0" applyAlignment="0" applyProtection="0"/>
    <xf numFmtId="9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0" fontId="12" fillId="0" borderId="0" applyNumberFormat="0" applyFill="0" applyBorder="0" applyAlignment="0" applyProtection="0"/>
    <xf numFmtId="164" fontId="2" fillId="0" borderId="0" applyFont="0" applyFill="0" applyBorder="0" applyAlignment="0" applyProtection="0"/>
  </cellStyleXfs>
  <cellXfs count="181">
    <xf numFmtId="0" fontId="0" fillId="0" borderId="0" xfId="0"/>
    <xf numFmtId="0" fontId="0" fillId="0" borderId="1" xfId="0" applyBorder="1"/>
    <xf numFmtId="3" fontId="0" fillId="0" borderId="1" xfId="0" applyNumberFormat="1" applyBorder="1"/>
    <xf numFmtId="0" fontId="0" fillId="3" borderId="1" xfId="0" applyFill="1" applyBorder="1"/>
    <xf numFmtId="0" fontId="0" fillId="3" borderId="0" xfId="0" applyFill="1"/>
    <xf numFmtId="0" fontId="0" fillId="0" borderId="1" xfId="0" applyFill="1" applyBorder="1"/>
    <xf numFmtId="0" fontId="0" fillId="3" borderId="1" xfId="0" applyFont="1" applyFill="1" applyBorder="1"/>
    <xf numFmtId="0" fontId="0" fillId="4" borderId="1" xfId="0" applyFill="1" applyBorder="1"/>
    <xf numFmtId="0" fontId="0" fillId="5" borderId="1" xfId="0" applyFill="1" applyBorder="1"/>
    <xf numFmtId="0" fontId="0" fillId="6" borderId="1" xfId="0" applyFill="1" applyBorder="1"/>
    <xf numFmtId="0" fontId="0" fillId="7" borderId="1" xfId="0" applyFill="1" applyBorder="1"/>
    <xf numFmtId="0" fontId="0" fillId="8" borderId="1" xfId="0" applyFill="1" applyBorder="1"/>
    <xf numFmtId="165" fontId="0" fillId="0" borderId="0" xfId="1" applyNumberFormat="1" applyFont="1"/>
    <xf numFmtId="165" fontId="0" fillId="0" borderId="1" xfId="1" applyNumberFormat="1" applyFont="1" applyBorder="1"/>
    <xf numFmtId="165" fontId="0" fillId="5" borderId="1" xfId="1" applyNumberFormat="1" applyFont="1" applyFill="1" applyBorder="1"/>
    <xf numFmtId="165" fontId="0" fillId="8" borderId="1" xfId="1" applyNumberFormat="1" applyFont="1" applyFill="1" applyBorder="1"/>
    <xf numFmtId="165" fontId="0" fillId="3" borderId="1" xfId="1" applyNumberFormat="1" applyFont="1" applyFill="1" applyBorder="1"/>
    <xf numFmtId="165" fontId="0" fillId="6" borderId="1" xfId="1" applyNumberFormat="1" applyFont="1" applyFill="1" applyBorder="1"/>
    <xf numFmtId="165" fontId="0" fillId="4" borderId="1" xfId="1" applyNumberFormat="1" applyFont="1" applyFill="1" applyBorder="1"/>
    <xf numFmtId="0" fontId="1" fillId="0" borderId="1" xfId="0" applyFont="1" applyFill="1" applyBorder="1"/>
    <xf numFmtId="165" fontId="3" fillId="0" borderId="1" xfId="1" applyNumberFormat="1" applyFont="1" applyBorder="1"/>
    <xf numFmtId="0" fontId="1" fillId="0" borderId="0" xfId="0" applyFont="1"/>
    <xf numFmtId="0" fontId="1" fillId="0" borderId="1" xfId="0" applyFont="1" applyBorder="1"/>
    <xf numFmtId="165" fontId="1" fillId="0" borderId="1" xfId="1" applyNumberFormat="1" applyFont="1" applyBorder="1"/>
    <xf numFmtId="9" fontId="0" fillId="0" borderId="1" xfId="2" applyFont="1" applyBorder="1"/>
    <xf numFmtId="9" fontId="3" fillId="0" borderId="1" xfId="2" applyFont="1" applyBorder="1"/>
    <xf numFmtId="0" fontId="0" fillId="0" borderId="1" xfId="0" applyBorder="1" applyAlignment="1">
      <alignment horizontal="left"/>
    </xf>
    <xf numFmtId="0" fontId="4" fillId="2" borderId="1" xfId="0" applyFont="1" applyFill="1" applyBorder="1"/>
    <xf numFmtId="0" fontId="4" fillId="7" borderId="1" xfId="0" applyFont="1" applyFill="1" applyBorder="1"/>
    <xf numFmtId="0" fontId="4" fillId="5" borderId="1" xfId="0" applyFont="1" applyFill="1" applyBorder="1"/>
    <xf numFmtId="0" fontId="4" fillId="8" borderId="1" xfId="0" applyFont="1" applyFill="1" applyBorder="1"/>
    <xf numFmtId="0" fontId="4" fillId="6" borderId="1" xfId="0" applyFont="1" applyFill="1" applyBorder="1"/>
    <xf numFmtId="0" fontId="4" fillId="4" borderId="1" xfId="0" applyFont="1" applyFill="1" applyBorder="1"/>
    <xf numFmtId="9" fontId="0" fillId="0" borderId="0" xfId="2" applyNumberFormat="1" applyFont="1"/>
    <xf numFmtId="9" fontId="0" fillId="0" borderId="1" xfId="2" applyNumberFormat="1" applyFont="1" applyBorder="1"/>
    <xf numFmtId="165" fontId="6" fillId="0" borderId="1" xfId="1" applyNumberFormat="1" applyFont="1" applyBorder="1"/>
    <xf numFmtId="0" fontId="3" fillId="0" borderId="1" xfId="0" applyFont="1" applyFill="1" applyBorder="1"/>
    <xf numFmtId="0" fontId="3" fillId="0" borderId="1" xfId="0" applyFont="1" applyBorder="1"/>
    <xf numFmtId="165" fontId="0" fillId="0" borderId="0" xfId="0" applyNumberFormat="1"/>
    <xf numFmtId="165" fontId="3" fillId="0" borderId="0" xfId="0" applyNumberFormat="1" applyFont="1"/>
    <xf numFmtId="165" fontId="0" fillId="0" borderId="1" xfId="0" applyNumberFormat="1" applyBorder="1"/>
    <xf numFmtId="165" fontId="3" fillId="0" borderId="1" xfId="0" applyNumberFormat="1" applyFont="1" applyBorder="1"/>
    <xf numFmtId="0" fontId="0" fillId="0" borderId="1" xfId="0" applyFont="1" applyBorder="1"/>
    <xf numFmtId="165" fontId="1" fillId="0" borderId="1" xfId="1" applyNumberFormat="1" applyFont="1" applyFill="1" applyBorder="1"/>
    <xf numFmtId="0" fontId="1" fillId="0" borderId="1" xfId="0" applyFont="1" applyBorder="1" applyAlignment="1">
      <alignment horizontal="center"/>
    </xf>
    <xf numFmtId="166" fontId="0" fillId="0" borderId="0" xfId="3" applyNumberFormat="1" applyFont="1"/>
    <xf numFmtId="0" fontId="1" fillId="0" borderId="3" xfId="0" applyFont="1" applyBorder="1" applyAlignment="1">
      <alignment horizontal="center"/>
    </xf>
    <xf numFmtId="0" fontId="1" fillId="0" borderId="3" xfId="0" applyFont="1" applyBorder="1"/>
    <xf numFmtId="0" fontId="1" fillId="0" borderId="0" xfId="0" applyFont="1" applyBorder="1"/>
    <xf numFmtId="165" fontId="6" fillId="0" borderId="0" xfId="1" applyNumberFormat="1" applyFont="1" applyBorder="1"/>
    <xf numFmtId="9" fontId="0" fillId="0" borderId="0" xfId="2" applyNumberFormat="1" applyFont="1" applyBorder="1"/>
    <xf numFmtId="167" fontId="0" fillId="0" borderId="1" xfId="0" applyNumberFormat="1" applyBorder="1"/>
    <xf numFmtId="166" fontId="0" fillId="0" borderId="1" xfId="3" applyNumberFormat="1" applyFont="1" applyBorder="1"/>
    <xf numFmtId="43" fontId="0" fillId="0" borderId="1" xfId="3" applyNumberFormat="1" applyFont="1" applyBorder="1"/>
    <xf numFmtId="0" fontId="8" fillId="0" borderId="1" xfId="0" applyFont="1" applyBorder="1" applyAlignment="1"/>
    <xf numFmtId="0" fontId="1" fillId="0" borderId="1" xfId="0" applyFont="1" applyBorder="1" applyAlignment="1"/>
    <xf numFmtId="165" fontId="3" fillId="0" borderId="0" xfId="0" applyNumberFormat="1" applyFont="1" applyBorder="1"/>
    <xf numFmtId="0" fontId="12" fillId="0" borderId="0" xfId="4"/>
    <xf numFmtId="0" fontId="13" fillId="0" borderId="1" xfId="0" applyFont="1" applyBorder="1"/>
    <xf numFmtId="169" fontId="0" fillId="0" borderId="1" xfId="0" applyNumberFormat="1" applyBorder="1"/>
    <xf numFmtId="169" fontId="0" fillId="3" borderId="1" xfId="0" applyNumberFormat="1" applyFill="1" applyBorder="1"/>
    <xf numFmtId="166" fontId="13" fillId="0" borderId="1" xfId="3" applyNumberFormat="1" applyFont="1" applyBorder="1"/>
    <xf numFmtId="166" fontId="4" fillId="0" borderId="1" xfId="3" applyNumberFormat="1" applyFont="1" applyBorder="1"/>
    <xf numFmtId="0" fontId="4" fillId="0" borderId="1" xfId="0" applyFont="1" applyBorder="1"/>
    <xf numFmtId="0" fontId="4" fillId="3" borderId="1" xfId="0" applyFont="1" applyFill="1" applyBorder="1"/>
    <xf numFmtId="0" fontId="4" fillId="3" borderId="1" xfId="0" applyFont="1" applyFill="1" applyBorder="1" applyAlignment="1">
      <alignment horizontal="center"/>
    </xf>
    <xf numFmtId="0" fontId="13" fillId="3" borderId="1" xfId="0" applyFont="1" applyFill="1" applyBorder="1"/>
    <xf numFmtId="169" fontId="13" fillId="3" borderId="1" xfId="0" applyNumberFormat="1" applyFont="1" applyFill="1" applyBorder="1"/>
    <xf numFmtId="165" fontId="2" fillId="0" borderId="1" xfId="1" applyNumberFormat="1" applyFont="1" applyBorder="1"/>
    <xf numFmtId="0" fontId="0" fillId="0" borderId="1" xfId="0" applyFont="1" applyFill="1" applyBorder="1"/>
    <xf numFmtId="9" fontId="0" fillId="0" borderId="0" xfId="2" applyFont="1"/>
    <xf numFmtId="166" fontId="14" fillId="3" borderId="0" xfId="3" applyNumberFormat="1" applyFont="1" applyFill="1"/>
    <xf numFmtId="166" fontId="1" fillId="0" borderId="1" xfId="3" applyNumberFormat="1" applyFont="1" applyBorder="1"/>
    <xf numFmtId="9" fontId="1" fillId="0" borderId="1" xfId="2" applyFont="1" applyBorder="1"/>
    <xf numFmtId="0" fontId="1" fillId="0" borderId="1" xfId="0" applyFont="1" applyBorder="1" applyAlignment="1">
      <alignment horizontal="center"/>
    </xf>
    <xf numFmtId="0" fontId="15" fillId="0" borderId="0" xfId="0" applyFont="1"/>
    <xf numFmtId="0" fontId="15" fillId="0" borderId="1" xfId="0" applyFont="1" applyBorder="1"/>
    <xf numFmtId="0" fontId="1" fillId="0" borderId="1" xfId="0" applyFont="1" applyBorder="1" applyAlignment="1">
      <alignment horizontal="center"/>
    </xf>
    <xf numFmtId="0" fontId="4" fillId="0" borderId="1" xfId="0" applyFont="1" applyFill="1" applyBorder="1"/>
    <xf numFmtId="168" fontId="1" fillId="0" borderId="1" xfId="0" applyNumberFormat="1" applyFont="1" applyBorder="1"/>
    <xf numFmtId="170" fontId="13" fillId="0" borderId="1" xfId="0" applyNumberFormat="1" applyFont="1" applyBorder="1"/>
    <xf numFmtId="170" fontId="18" fillId="0" borderId="1" xfId="0" applyNumberFormat="1" applyFont="1" applyBorder="1"/>
    <xf numFmtId="0" fontId="3" fillId="0" borderId="0" xfId="0" applyFont="1"/>
    <xf numFmtId="170" fontId="0" fillId="0" borderId="1" xfId="0" applyNumberFormat="1" applyBorder="1"/>
    <xf numFmtId="0" fontId="16" fillId="8" borderId="4" xfId="0" applyFont="1" applyFill="1" applyBorder="1" applyAlignment="1">
      <alignment horizontal="center"/>
    </xf>
    <xf numFmtId="0" fontId="16" fillId="8" borderId="0" xfId="0" applyFont="1" applyFill="1" applyAlignment="1">
      <alignment horizontal="center"/>
    </xf>
    <xf numFmtId="0" fontId="13" fillId="8" borderId="1" xfId="0" applyFont="1" applyFill="1" applyBorder="1"/>
    <xf numFmtId="0" fontId="1" fillId="8" borderId="1" xfId="0" applyFont="1" applyFill="1" applyBorder="1"/>
    <xf numFmtId="0" fontId="0" fillId="0" borderId="0" xfId="0" applyFont="1"/>
    <xf numFmtId="9" fontId="6" fillId="0" borderId="1" xfId="0" applyNumberFormat="1" applyFont="1" applyBorder="1"/>
    <xf numFmtId="170" fontId="3" fillId="0" borderId="1" xfId="0" applyNumberFormat="1" applyFont="1" applyBorder="1"/>
    <xf numFmtId="0" fontId="1" fillId="8" borderId="1" xfId="0" applyFont="1" applyFill="1" applyBorder="1" applyAlignment="1">
      <alignment horizontal="center"/>
    </xf>
    <xf numFmtId="0" fontId="1" fillId="3" borderId="1" xfId="0" applyFont="1" applyFill="1" applyBorder="1"/>
    <xf numFmtId="170" fontId="0" fillId="3" borderId="1" xfId="0" applyNumberFormat="1" applyFill="1" applyBorder="1"/>
    <xf numFmtId="170" fontId="3" fillId="3" borderId="1" xfId="0" applyNumberFormat="1" applyFont="1" applyFill="1" applyBorder="1"/>
    <xf numFmtId="10" fontId="3" fillId="3" borderId="1" xfId="0" applyNumberFormat="1" applyFont="1" applyFill="1" applyBorder="1"/>
    <xf numFmtId="170" fontId="3" fillId="8" borderId="1" xfId="0" applyNumberFormat="1" applyFont="1" applyFill="1" applyBorder="1"/>
    <xf numFmtId="166" fontId="13" fillId="8" borderId="1" xfId="3" applyNumberFormat="1" applyFont="1" applyFill="1" applyBorder="1"/>
    <xf numFmtId="166" fontId="4" fillId="8" borderId="1" xfId="3" applyNumberFormat="1" applyFont="1" applyFill="1" applyBorder="1" applyAlignment="1">
      <alignment horizontal="center"/>
    </xf>
    <xf numFmtId="43" fontId="3" fillId="0" borderId="1" xfId="3" applyFont="1" applyBorder="1"/>
    <xf numFmtId="166" fontId="20" fillId="0" borderId="1" xfId="3" applyNumberFormat="1" applyFont="1" applyBorder="1"/>
    <xf numFmtId="166" fontId="4" fillId="0" borderId="0" xfId="3" applyNumberFormat="1" applyFont="1" applyBorder="1"/>
    <xf numFmtId="166" fontId="6" fillId="0" borderId="0" xfId="3" applyNumberFormat="1" applyFont="1"/>
    <xf numFmtId="166" fontId="3" fillId="0" borderId="0" xfId="3" applyNumberFormat="1" applyFont="1"/>
    <xf numFmtId="9" fontId="3" fillId="0" borderId="1" xfId="0" applyNumberFormat="1" applyFont="1" applyBorder="1"/>
    <xf numFmtId="170" fontId="13" fillId="3" borderId="1" xfId="0" applyNumberFormat="1" applyFont="1" applyFill="1" applyBorder="1"/>
    <xf numFmtId="170" fontId="18" fillId="3" borderId="1" xfId="0" applyNumberFormat="1" applyFont="1" applyFill="1" applyBorder="1"/>
    <xf numFmtId="170" fontId="4" fillId="3" borderId="1" xfId="0" applyNumberFormat="1" applyFont="1" applyFill="1" applyBorder="1"/>
    <xf numFmtId="0" fontId="4" fillId="10" borderId="1" xfId="0" applyFont="1" applyFill="1" applyBorder="1"/>
    <xf numFmtId="0" fontId="0" fillId="10" borderId="1" xfId="0" applyFill="1" applyBorder="1"/>
    <xf numFmtId="165" fontId="0" fillId="10" borderId="1" xfId="5" applyNumberFormat="1" applyFont="1" applyFill="1" applyBorder="1"/>
    <xf numFmtId="0" fontId="0" fillId="3" borderId="1" xfId="0" applyFill="1" applyBorder="1" applyAlignment="1">
      <alignment horizontal="left"/>
    </xf>
    <xf numFmtId="165" fontId="0" fillId="3" borderId="1" xfId="5" applyNumberFormat="1" applyFont="1" applyFill="1" applyBorder="1"/>
    <xf numFmtId="165" fontId="0" fillId="0" borderId="1" xfId="5" applyNumberFormat="1" applyFont="1" applyBorder="1"/>
    <xf numFmtId="165" fontId="0" fillId="6" borderId="1" xfId="5" applyNumberFormat="1" applyFont="1" applyFill="1" applyBorder="1"/>
    <xf numFmtId="165" fontId="0" fillId="4" borderId="1" xfId="5" applyNumberFormat="1" applyFont="1" applyFill="1" applyBorder="1"/>
    <xf numFmtId="3" fontId="0" fillId="0" borderId="1" xfId="0" applyNumberFormat="1" applyBorder="1" applyAlignment="1">
      <alignment horizontal="left"/>
    </xf>
    <xf numFmtId="0" fontId="18" fillId="0" borderId="1" xfId="0" applyFont="1" applyBorder="1"/>
    <xf numFmtId="0" fontId="1" fillId="0" borderId="1" xfId="0" applyFont="1" applyBorder="1" applyAlignment="1">
      <alignment horizontal="center"/>
    </xf>
    <xf numFmtId="170" fontId="4" fillId="0" borderId="1" xfId="0" applyNumberFormat="1" applyFont="1" applyBorder="1"/>
    <xf numFmtId="170" fontId="6" fillId="0" borderId="1" xfId="0" applyNumberFormat="1" applyFont="1" applyBorder="1"/>
    <xf numFmtId="170" fontId="0" fillId="0" borderId="1" xfId="0" applyNumberFormat="1" applyBorder="1" applyAlignment="1"/>
    <xf numFmtId="0" fontId="17" fillId="8" borderId="1" xfId="0" applyFont="1" applyFill="1" applyBorder="1" applyAlignment="1">
      <alignment horizontal="center"/>
    </xf>
    <xf numFmtId="0" fontId="5" fillId="0" borderId="5" xfId="0" applyFont="1" applyFill="1" applyBorder="1" applyAlignment="1">
      <alignment horizontal="center"/>
    </xf>
    <xf numFmtId="0" fontId="5" fillId="0" borderId="7" xfId="0" applyFont="1" applyFill="1" applyBorder="1" applyAlignment="1">
      <alignment horizontal="center"/>
    </xf>
    <xf numFmtId="0" fontId="5" fillId="0" borderId="6" xfId="0" applyFont="1" applyFill="1" applyBorder="1" applyAlignment="1">
      <alignment horizontal="center"/>
    </xf>
    <xf numFmtId="0" fontId="19" fillId="8" borderId="1" xfId="0" applyFont="1" applyFill="1" applyBorder="1" applyAlignment="1">
      <alignment horizontal="center"/>
    </xf>
    <xf numFmtId="0" fontId="19" fillId="8" borderId="5" xfId="0" applyFont="1" applyFill="1" applyBorder="1" applyAlignment="1">
      <alignment horizontal="center"/>
    </xf>
    <xf numFmtId="0" fontId="19" fillId="8" borderId="7" xfId="0" applyFont="1" applyFill="1" applyBorder="1" applyAlignment="1">
      <alignment horizontal="center"/>
    </xf>
    <xf numFmtId="0" fontId="19" fillId="8" borderId="6" xfId="0" applyFont="1" applyFill="1" applyBorder="1" applyAlignment="1">
      <alignment horizontal="center"/>
    </xf>
    <xf numFmtId="0" fontId="4" fillId="8" borderId="8" xfId="0" applyFont="1" applyFill="1" applyBorder="1" applyAlignment="1">
      <alignment horizontal="center"/>
    </xf>
    <xf numFmtId="0" fontId="4" fillId="8" borderId="9" xfId="0" applyFont="1" applyFill="1" applyBorder="1" applyAlignment="1">
      <alignment horizontal="center"/>
    </xf>
    <xf numFmtId="0" fontId="4" fillId="8" borderId="1" xfId="0" applyFont="1" applyFill="1" applyBorder="1" applyAlignment="1">
      <alignment horizontal="center"/>
    </xf>
    <xf numFmtId="0" fontId="21" fillId="8" borderId="8" xfId="0" applyFont="1" applyFill="1" applyBorder="1" applyAlignment="1">
      <alignment horizontal="center"/>
    </xf>
    <xf numFmtId="0" fontId="21" fillId="8" borderId="9" xfId="0" applyFont="1" applyFill="1" applyBorder="1" applyAlignment="1">
      <alignment horizontal="center"/>
    </xf>
    <xf numFmtId="0" fontId="21" fillId="8" borderId="10" xfId="0" applyFont="1" applyFill="1" applyBorder="1" applyAlignment="1">
      <alignment horizontal="center"/>
    </xf>
    <xf numFmtId="0" fontId="21" fillId="8" borderId="11" xfId="0" applyFont="1" applyFill="1" applyBorder="1" applyAlignment="1">
      <alignment horizontal="center"/>
    </xf>
    <xf numFmtId="0" fontId="21" fillId="8" borderId="2" xfId="0" applyFont="1" applyFill="1" applyBorder="1" applyAlignment="1">
      <alignment horizontal="center"/>
    </xf>
    <xf numFmtId="0" fontId="21" fillId="8" borderId="12" xfId="0" applyFont="1" applyFill="1" applyBorder="1" applyAlignment="1">
      <alignment horizontal="center"/>
    </xf>
    <xf numFmtId="0" fontId="9" fillId="8" borderId="1" xfId="0" applyFont="1" applyFill="1" applyBorder="1" applyAlignment="1">
      <alignment horizontal="center"/>
    </xf>
    <xf numFmtId="0" fontId="9" fillId="8" borderId="5" xfId="0" applyFont="1" applyFill="1" applyBorder="1" applyAlignment="1">
      <alignment horizontal="center"/>
    </xf>
    <xf numFmtId="0" fontId="9" fillId="8" borderId="7" xfId="0" applyFont="1" applyFill="1" applyBorder="1" applyAlignment="1">
      <alignment horizontal="center"/>
    </xf>
    <xf numFmtId="0" fontId="9" fillId="8" borderId="6" xfId="0" applyFont="1" applyFill="1" applyBorder="1" applyAlignment="1">
      <alignment horizontal="center"/>
    </xf>
    <xf numFmtId="0" fontId="9" fillId="0" borderId="0" xfId="0" applyFont="1" applyBorder="1" applyAlignment="1">
      <alignment horizontal="center"/>
    </xf>
    <xf numFmtId="166" fontId="1" fillId="8" borderId="5" xfId="3" applyNumberFormat="1" applyFont="1" applyFill="1" applyBorder="1" applyAlignment="1">
      <alignment horizontal="center"/>
    </xf>
    <xf numFmtId="166" fontId="1" fillId="8" borderId="6" xfId="3" applyNumberFormat="1" applyFont="1" applyFill="1" applyBorder="1" applyAlignment="1">
      <alignment horizontal="center"/>
    </xf>
    <xf numFmtId="0" fontId="5" fillId="9" borderId="1" xfId="0" applyFont="1" applyFill="1" applyBorder="1" applyAlignment="1">
      <alignment horizontal="center"/>
    </xf>
    <xf numFmtId="0" fontId="5" fillId="9" borderId="5" xfId="0" applyFont="1" applyFill="1" applyBorder="1" applyAlignment="1">
      <alignment horizontal="center"/>
    </xf>
    <xf numFmtId="0" fontId="5" fillId="9" borderId="6" xfId="0" applyFont="1" applyFill="1" applyBorder="1" applyAlignment="1">
      <alignment horizontal="center"/>
    </xf>
    <xf numFmtId="17" fontId="5" fillId="9" borderId="5" xfId="0" applyNumberFormat="1" applyFont="1" applyFill="1" applyBorder="1" applyAlignment="1">
      <alignment horizontal="center"/>
    </xf>
    <xf numFmtId="0" fontId="5" fillId="0" borderId="2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0" borderId="0" xfId="0" applyFont="1" applyAlignment="1">
      <alignment horizontal="center"/>
    </xf>
    <xf numFmtId="0" fontId="9" fillId="0" borderId="1" xfId="0" applyFont="1" applyBorder="1" applyAlignment="1">
      <alignment horizontal="center"/>
    </xf>
    <xf numFmtId="0" fontId="9" fillId="0" borderId="5" xfId="0" applyFont="1" applyBorder="1" applyAlignment="1">
      <alignment horizontal="center"/>
    </xf>
    <xf numFmtId="0" fontId="9" fillId="0" borderId="7" xfId="0" applyFont="1" applyBorder="1" applyAlignment="1">
      <alignment horizontal="center"/>
    </xf>
    <xf numFmtId="0" fontId="9" fillId="0" borderId="6" xfId="0" applyFont="1" applyBorder="1" applyAlignment="1">
      <alignment horizontal="center"/>
    </xf>
    <xf numFmtId="0" fontId="8" fillId="0" borderId="1" xfId="0" applyFont="1" applyBorder="1" applyAlignment="1">
      <alignment horizontal="center"/>
    </xf>
    <xf numFmtId="0" fontId="8" fillId="0" borderId="1" xfId="0" applyFont="1" applyBorder="1" applyAlignment="1">
      <alignment horizontal="left"/>
    </xf>
    <xf numFmtId="0" fontId="8" fillId="0" borderId="5" xfId="0" applyFont="1" applyBorder="1" applyAlignment="1">
      <alignment horizontal="center"/>
    </xf>
    <xf numFmtId="0" fontId="8" fillId="0" borderId="6" xfId="0" applyFont="1" applyBorder="1" applyAlignment="1">
      <alignment horizontal="center"/>
    </xf>
    <xf numFmtId="0" fontId="1" fillId="0" borderId="4" xfId="0" applyFont="1" applyBorder="1" applyAlignment="1">
      <alignment horizontal="center"/>
    </xf>
    <xf numFmtId="0" fontId="1" fillId="0" borderId="3" xfId="0" applyFont="1" applyBorder="1" applyAlignment="1">
      <alignment horizontal="center"/>
    </xf>
    <xf numFmtId="0" fontId="0" fillId="0" borderId="4" xfId="0" applyBorder="1" applyAlignment="1">
      <alignment horizontal="center"/>
    </xf>
    <xf numFmtId="0" fontId="0" fillId="0" borderId="3" xfId="0" applyBorder="1" applyAlignment="1">
      <alignment horizontal="center"/>
    </xf>
    <xf numFmtId="165" fontId="1" fillId="0" borderId="4" xfId="1" applyNumberFormat="1" applyFont="1" applyBorder="1" applyAlignment="1">
      <alignment horizontal="center"/>
    </xf>
    <xf numFmtId="165" fontId="1" fillId="0" borderId="3" xfId="1" applyNumberFormat="1" applyFont="1" applyBorder="1" applyAlignment="1">
      <alignment horizontal="center"/>
    </xf>
    <xf numFmtId="0" fontId="19" fillId="8" borderId="8" xfId="0" applyFont="1" applyFill="1" applyBorder="1" applyAlignment="1">
      <alignment horizontal="center"/>
    </xf>
    <xf numFmtId="0" fontId="19" fillId="8" borderId="9" xfId="0" applyFont="1" applyFill="1" applyBorder="1" applyAlignment="1">
      <alignment horizontal="center"/>
    </xf>
    <xf numFmtId="0" fontId="19" fillId="8" borderId="11" xfId="0" applyFont="1" applyFill="1" applyBorder="1" applyAlignment="1">
      <alignment horizontal="center"/>
    </xf>
    <xf numFmtId="0" fontId="19" fillId="8" borderId="2" xfId="0" applyFont="1" applyFill="1" applyBorder="1" applyAlignment="1">
      <alignment horizontal="center"/>
    </xf>
    <xf numFmtId="0" fontId="0" fillId="0" borderId="1" xfId="0" applyFont="1" applyBorder="1" applyAlignment="1">
      <alignment horizontal="center"/>
    </xf>
    <xf numFmtId="0" fontId="5" fillId="8" borderId="1" xfId="0" applyFont="1" applyFill="1" applyBorder="1" applyAlignment="1">
      <alignment horizontal="center"/>
    </xf>
    <xf numFmtId="0" fontId="4" fillId="8" borderId="5" xfId="0" applyFont="1" applyFill="1" applyBorder="1" applyAlignment="1">
      <alignment horizontal="center" vertical="center"/>
    </xf>
    <xf numFmtId="0" fontId="4" fillId="8" borderId="6" xfId="0" applyFont="1" applyFill="1" applyBorder="1" applyAlignment="1">
      <alignment horizontal="center" vertical="center"/>
    </xf>
    <xf numFmtId="166" fontId="4" fillId="8" borderId="1" xfId="3" applyNumberFormat="1" applyFont="1" applyFill="1" applyBorder="1" applyAlignment="1">
      <alignment horizontal="center"/>
    </xf>
    <xf numFmtId="166" fontId="13" fillId="0" borderId="1" xfId="3" applyNumberFormat="1" applyFont="1" applyBorder="1" applyAlignment="1">
      <alignment horizontal="center"/>
    </xf>
    <xf numFmtId="170" fontId="6" fillId="0" borderId="4" xfId="0" applyNumberFormat="1" applyFont="1" applyBorder="1" applyAlignment="1">
      <alignment horizontal="right" vertical="center"/>
    </xf>
    <xf numFmtId="170" fontId="6" fillId="0" borderId="3" xfId="0" applyNumberFormat="1" applyFont="1" applyBorder="1" applyAlignment="1">
      <alignment horizontal="right" vertical="center"/>
    </xf>
    <xf numFmtId="0" fontId="0" fillId="0" borderId="0" xfId="0" applyAlignment="1">
      <alignment horizontal="center"/>
    </xf>
  </cellXfs>
  <cellStyles count="6">
    <cellStyle name="Hipervínculo" xfId="4" builtinId="8"/>
    <cellStyle name="Millares 2" xfId="3"/>
    <cellStyle name="Moneda" xfId="1" builtinId="4"/>
    <cellStyle name="Moneda 2" xfId="5"/>
    <cellStyle name="Normal" xfId="0" builtinId="0"/>
    <cellStyle name="Porcentual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worksheet" Target="worksheets/sheet13.xml"/><Relationship Id="rId1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worksheet" Target="worksheets/sheet12.xml"/><Relationship Id="rId17" Type="http://schemas.openxmlformats.org/officeDocument/2006/relationships/theme" Target="theme/theme1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0" Type="http://schemas.openxmlformats.org/officeDocument/2006/relationships/calcChain" Target="calcChain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worksheet" Target="worksheets/sheet11.xml"/><Relationship Id="rId5" Type="http://schemas.openxmlformats.org/officeDocument/2006/relationships/worksheet" Target="worksheets/sheet5.xml"/><Relationship Id="rId15" Type="http://schemas.openxmlformats.org/officeDocument/2006/relationships/worksheet" Target="worksheets/sheet15.xml"/><Relationship Id="rId10" Type="http://schemas.openxmlformats.org/officeDocument/2006/relationships/worksheet" Target="worksheets/sheet10.xml"/><Relationship Id="rId19" Type="http://schemas.openxmlformats.org/officeDocument/2006/relationships/sharedStrings" Target="sharedStrings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180976</xdr:rowOff>
    </xdr:from>
    <xdr:to>
      <xdr:col>2</xdr:col>
      <xdr:colOff>28575</xdr:colOff>
      <xdr:row>19</xdr:row>
      <xdr:rowOff>123826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-188" b="53655"/>
        <a:stretch/>
      </xdr:blipFill>
      <xdr:spPr>
        <a:xfrm>
          <a:off x="0" y="2514601"/>
          <a:ext cx="3076575" cy="146685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0</xdr:colOff>
      <xdr:row>11</xdr:row>
      <xdr:rowOff>180976</xdr:rowOff>
    </xdr:from>
    <xdr:to>
      <xdr:col>2</xdr:col>
      <xdr:colOff>28575</xdr:colOff>
      <xdr:row>19</xdr:row>
      <xdr:rowOff>123826</xdr:rowOff>
    </xdr:to>
    <xdr:pic>
      <xdr:nvPicPr>
        <xdr:cNvPr id="2" name="1 Imagen"/>
        <xdr:cNvPicPr>
          <a:picLocks noChangeAspect="1"/>
        </xdr:cNvPicPr>
      </xdr:nvPicPr>
      <xdr:blipFill rotWithShape="1">
        <a:blip xmlns:r="http://schemas.openxmlformats.org/officeDocument/2006/relationships" r:embed="rId1"/>
        <a:srcRect r="-188" b="53655"/>
        <a:stretch/>
      </xdr:blipFill>
      <xdr:spPr>
        <a:xfrm>
          <a:off x="0" y="2514601"/>
          <a:ext cx="3076575" cy="14668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11.xml.rels><?xml version="1.0" encoding="UTF-8" standalone="yes"?>
<Relationships xmlns="http://schemas.openxmlformats.org/package/2006/relationships"><Relationship Id="rId3" Type="http://schemas.openxmlformats.org/officeDocument/2006/relationships/printerSettings" Target="../printerSettings/printerSettings7.bin"/><Relationship Id="rId2" Type="http://schemas.openxmlformats.org/officeDocument/2006/relationships/hyperlink" Target="http://www.corabastos.com.co/sitio/index.php?option=com_content&amp;view=article&amp;id=471&amp;Itemid=290" TargetMode="External"/><Relationship Id="rId1" Type="http://schemas.openxmlformats.org/officeDocument/2006/relationships/hyperlink" Target="http://www.makrovirtual.com/cumara/catalogsearch/result/?q=cebolleta&amp;Buscar.x=0&amp;Buscar.y=0" TargetMode="External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3.xml.rels><?xml version="1.0" encoding="UTF-8" standalone="yes"?>
<Relationships xmlns="http://schemas.openxmlformats.org/package/2006/relationships"><Relationship Id="rId3" Type="http://schemas.openxmlformats.org/officeDocument/2006/relationships/comments" Target="../comments2.xml"/><Relationship Id="rId2" Type="http://schemas.openxmlformats.org/officeDocument/2006/relationships/vmlDrawing" Target="../drawings/vmlDrawing2.vml"/><Relationship Id="rId1" Type="http://schemas.openxmlformats.org/officeDocument/2006/relationships/printerSettings" Target="../printerSettings/printerSettings9.bin"/></Relationships>
</file>

<file path=xl/worksheets/_rels/sheet14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0.bin"/></Relationships>
</file>

<file path=xl/worksheets/_rels/sheet15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11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comments" Target="../comments1.xml"/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4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E30"/>
  <sheetViews>
    <sheetView tabSelected="1" workbookViewId="0">
      <selection activeCell="H13" sqref="H13"/>
    </sheetView>
  </sheetViews>
  <sheetFormatPr baseColWidth="10" defaultRowHeight="15"/>
  <cols>
    <col min="1" max="1" width="36" customWidth="1"/>
    <col min="2" max="2" width="18.85546875" customWidth="1"/>
    <col min="3" max="3" width="26.7109375" customWidth="1"/>
    <col min="4" max="4" width="24.7109375" customWidth="1"/>
    <col min="5" max="5" width="18.42578125" customWidth="1"/>
    <col min="6" max="6" width="12.140625" customWidth="1"/>
  </cols>
  <sheetData>
    <row r="1" spans="1:5" ht="26.25">
      <c r="A1" s="122" t="s">
        <v>39</v>
      </c>
      <c r="B1" s="122"/>
      <c r="C1" s="122"/>
      <c r="D1" s="122"/>
      <c r="E1" s="122"/>
    </row>
    <row r="2" spans="1:5" ht="17.25" customHeight="1">
      <c r="A2" s="27" t="s">
        <v>17</v>
      </c>
      <c r="B2" s="27" t="s">
        <v>18</v>
      </c>
      <c r="C2" s="27" t="s">
        <v>19</v>
      </c>
      <c r="D2" s="27" t="s">
        <v>20</v>
      </c>
      <c r="E2" s="27" t="s">
        <v>276</v>
      </c>
    </row>
    <row r="3" spans="1:5" ht="15.75" customHeight="1">
      <c r="A3" s="28" t="s">
        <v>22</v>
      </c>
      <c r="B3" s="10"/>
      <c r="C3" s="10"/>
      <c r="D3" s="10"/>
      <c r="E3" s="10"/>
    </row>
    <row r="4" spans="1:5">
      <c r="A4" s="1" t="s">
        <v>0</v>
      </c>
      <c r="B4" s="1" t="s">
        <v>1</v>
      </c>
      <c r="C4" s="26">
        <v>50</v>
      </c>
      <c r="D4" s="1" t="s">
        <v>3</v>
      </c>
      <c r="E4" s="13">
        <v>80000</v>
      </c>
    </row>
    <row r="5" spans="1:5">
      <c r="A5" s="1" t="s">
        <v>4</v>
      </c>
      <c r="B5" s="1" t="s">
        <v>1</v>
      </c>
      <c r="C5" s="26">
        <v>25</v>
      </c>
      <c r="D5" s="1" t="s">
        <v>3</v>
      </c>
      <c r="E5" s="13">
        <v>30000</v>
      </c>
    </row>
    <row r="6" spans="1:5" ht="14.25" customHeight="1">
      <c r="A6" s="29" t="s">
        <v>23</v>
      </c>
      <c r="B6" s="8"/>
      <c r="C6" s="8"/>
      <c r="D6" s="8"/>
      <c r="E6" s="14"/>
    </row>
    <row r="7" spans="1:5">
      <c r="A7" s="1" t="s">
        <v>9</v>
      </c>
      <c r="B7" s="3" t="s">
        <v>45</v>
      </c>
      <c r="C7" s="26">
        <v>11</v>
      </c>
      <c r="D7" s="1" t="s">
        <v>3</v>
      </c>
      <c r="E7" s="13">
        <v>120000</v>
      </c>
    </row>
    <row r="8" spans="1:5" ht="15.75" customHeight="1">
      <c r="A8" s="1" t="s">
        <v>12</v>
      </c>
      <c r="B8" s="3" t="s">
        <v>45</v>
      </c>
      <c r="C8" s="26">
        <v>11</v>
      </c>
      <c r="D8" s="1" t="s">
        <v>3</v>
      </c>
      <c r="E8" s="13">
        <v>100000</v>
      </c>
    </row>
    <row r="9" spans="1:5">
      <c r="A9" s="1" t="s">
        <v>8</v>
      </c>
      <c r="B9" s="3" t="s">
        <v>45</v>
      </c>
      <c r="C9" s="26">
        <v>5</v>
      </c>
      <c r="D9" s="1" t="s">
        <v>3</v>
      </c>
      <c r="E9" s="13">
        <v>25000</v>
      </c>
    </row>
    <row r="10" spans="1:5">
      <c r="A10" s="1" t="s">
        <v>14</v>
      </c>
      <c r="B10" s="3" t="s">
        <v>45</v>
      </c>
      <c r="C10" s="26">
        <v>5</v>
      </c>
      <c r="D10" s="1" t="s">
        <v>3</v>
      </c>
      <c r="E10" s="13">
        <v>20000</v>
      </c>
    </row>
    <row r="11" spans="1:5">
      <c r="A11" s="1" t="s">
        <v>100</v>
      </c>
      <c r="B11" s="3" t="s">
        <v>45</v>
      </c>
      <c r="C11" s="26">
        <v>11</v>
      </c>
      <c r="D11" s="1" t="s">
        <v>3</v>
      </c>
      <c r="E11" s="13">
        <v>100000</v>
      </c>
    </row>
    <row r="12" spans="1:5" ht="12.75" customHeight="1">
      <c r="A12" s="108" t="s">
        <v>24</v>
      </c>
      <c r="B12" s="109"/>
      <c r="C12" s="109"/>
      <c r="D12" s="109"/>
      <c r="E12" s="110"/>
    </row>
    <row r="13" spans="1:5" ht="13.5" customHeight="1">
      <c r="A13" s="6" t="s">
        <v>47</v>
      </c>
      <c r="B13" s="3" t="s">
        <v>45</v>
      </c>
      <c r="C13" s="111">
        <v>5</v>
      </c>
      <c r="D13" s="1" t="s">
        <v>3</v>
      </c>
      <c r="E13" s="112">
        <v>29000</v>
      </c>
    </row>
    <row r="14" spans="1:5" s="4" customFormat="1" ht="12" customHeight="1">
      <c r="A14" s="6" t="s">
        <v>48</v>
      </c>
      <c r="B14" s="3" t="s">
        <v>293</v>
      </c>
      <c r="C14" s="111">
        <v>4000</v>
      </c>
      <c r="D14" s="3" t="s">
        <v>293</v>
      </c>
      <c r="E14" s="112">
        <v>22000</v>
      </c>
    </row>
    <row r="15" spans="1:5">
      <c r="A15" s="1" t="s">
        <v>6</v>
      </c>
      <c r="B15" s="3" t="s">
        <v>45</v>
      </c>
      <c r="C15" s="26">
        <v>5</v>
      </c>
      <c r="D15" s="1" t="s">
        <v>3</v>
      </c>
      <c r="E15" s="113">
        <v>22000</v>
      </c>
    </row>
    <row r="16" spans="1:5" ht="16.5" customHeight="1">
      <c r="A16" s="31" t="s">
        <v>26</v>
      </c>
      <c r="B16" s="9"/>
      <c r="C16" s="9"/>
      <c r="D16" s="9"/>
      <c r="E16" s="114"/>
    </row>
    <row r="17" spans="1:5">
      <c r="A17" s="1" t="s">
        <v>27</v>
      </c>
      <c r="B17" s="3" t="s">
        <v>293</v>
      </c>
      <c r="C17" s="26">
        <v>4000</v>
      </c>
      <c r="D17" s="3" t="s">
        <v>293</v>
      </c>
      <c r="E17" s="113">
        <v>30000</v>
      </c>
    </row>
    <row r="18" spans="1:5">
      <c r="A18" s="1" t="s">
        <v>32</v>
      </c>
      <c r="B18" s="3" t="s">
        <v>293</v>
      </c>
      <c r="C18" s="26">
        <v>1000</v>
      </c>
      <c r="D18" s="3" t="s">
        <v>293</v>
      </c>
      <c r="E18" s="113">
        <v>7000</v>
      </c>
    </row>
    <row r="19" spans="1:5">
      <c r="A19" s="1" t="s">
        <v>33</v>
      </c>
      <c r="B19" s="3" t="s">
        <v>293</v>
      </c>
      <c r="C19" s="26">
        <v>3000</v>
      </c>
      <c r="D19" s="3" t="s">
        <v>293</v>
      </c>
      <c r="E19" s="113">
        <v>12000</v>
      </c>
    </row>
    <row r="20" spans="1:5">
      <c r="A20" s="1" t="s">
        <v>34</v>
      </c>
      <c r="B20" s="3" t="s">
        <v>293</v>
      </c>
      <c r="C20" s="26">
        <v>1000</v>
      </c>
      <c r="D20" s="3" t="s">
        <v>293</v>
      </c>
      <c r="E20" s="113">
        <v>7000</v>
      </c>
    </row>
    <row r="21" spans="1:5">
      <c r="A21" s="1" t="s">
        <v>37</v>
      </c>
      <c r="B21" s="3" t="s">
        <v>293</v>
      </c>
      <c r="C21" s="26">
        <v>3370</v>
      </c>
      <c r="D21" s="3" t="s">
        <v>293</v>
      </c>
      <c r="E21" s="113">
        <v>30000</v>
      </c>
    </row>
    <row r="22" spans="1:5">
      <c r="A22" s="1" t="s">
        <v>38</v>
      </c>
      <c r="B22" s="3" t="s">
        <v>293</v>
      </c>
      <c r="C22" s="26">
        <v>1000</v>
      </c>
      <c r="D22" s="3" t="s">
        <v>293</v>
      </c>
      <c r="E22" s="113">
        <v>7000</v>
      </c>
    </row>
    <row r="23" spans="1:5">
      <c r="A23" s="1" t="s">
        <v>40</v>
      </c>
      <c r="B23" s="3" t="s">
        <v>293</v>
      </c>
      <c r="C23" s="26">
        <v>4000</v>
      </c>
      <c r="D23" s="3" t="s">
        <v>293</v>
      </c>
      <c r="E23" s="113">
        <v>18000</v>
      </c>
    </row>
    <row r="24" spans="1:5" ht="15.75" customHeight="1">
      <c r="A24" s="32" t="s">
        <v>25</v>
      </c>
      <c r="B24" s="7"/>
      <c r="C24" s="7"/>
      <c r="D24" s="7"/>
      <c r="E24" s="115"/>
    </row>
    <row r="25" spans="1:5">
      <c r="A25" s="1" t="s">
        <v>41</v>
      </c>
      <c r="B25" s="1" t="s">
        <v>294</v>
      </c>
      <c r="C25" s="116">
        <v>6</v>
      </c>
      <c r="D25" s="1" t="s">
        <v>42</v>
      </c>
      <c r="E25" s="113">
        <v>80000</v>
      </c>
    </row>
    <row r="26" spans="1:5">
      <c r="A26" s="1" t="s">
        <v>5</v>
      </c>
      <c r="B26" s="1" t="s">
        <v>1</v>
      </c>
      <c r="C26" s="26">
        <v>50</v>
      </c>
      <c r="D26" s="1" t="s">
        <v>3</v>
      </c>
      <c r="E26" s="113">
        <v>20000</v>
      </c>
    </row>
    <row r="27" spans="1:5">
      <c r="A27" s="1" t="s">
        <v>11</v>
      </c>
      <c r="B27" s="1" t="s">
        <v>1</v>
      </c>
      <c r="C27" s="26">
        <v>25</v>
      </c>
      <c r="D27" s="1" t="s">
        <v>3</v>
      </c>
      <c r="E27" s="113">
        <v>50000</v>
      </c>
    </row>
    <row r="28" spans="1:5">
      <c r="A28" s="5" t="s">
        <v>29</v>
      </c>
      <c r="B28" s="3" t="s">
        <v>45</v>
      </c>
      <c r="C28" s="26">
        <v>15</v>
      </c>
      <c r="D28" s="5" t="s">
        <v>3</v>
      </c>
      <c r="E28" s="113">
        <v>44000</v>
      </c>
    </row>
    <row r="29" spans="1:5">
      <c r="A29" s="5" t="s">
        <v>35</v>
      </c>
      <c r="B29" s="3" t="s">
        <v>293</v>
      </c>
      <c r="C29" s="26">
        <v>1000</v>
      </c>
      <c r="D29" s="3" t="s">
        <v>293</v>
      </c>
      <c r="E29" s="113">
        <v>9000</v>
      </c>
    </row>
    <row r="30" spans="1:5" ht="21">
      <c r="A30" s="123" t="s">
        <v>70</v>
      </c>
      <c r="B30" s="124"/>
      <c r="C30" s="124"/>
      <c r="D30" s="125"/>
      <c r="E30" s="35">
        <f>SUM(E4:E29)</f>
        <v>862000</v>
      </c>
    </row>
  </sheetData>
  <mergeCells count="2">
    <mergeCell ref="A1:E1"/>
    <mergeCell ref="A30:D30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D34"/>
  <sheetViews>
    <sheetView zoomScale="90" zoomScaleNormal="90" workbookViewId="0">
      <selection activeCell="B7" sqref="B7"/>
    </sheetView>
  </sheetViews>
  <sheetFormatPr baseColWidth="10" defaultRowHeight="15"/>
  <cols>
    <col min="1" max="1" width="26.85546875" bestFit="1" customWidth="1"/>
    <col min="2" max="2" width="14.140625" style="12" bestFit="1" customWidth="1"/>
  </cols>
  <sheetData>
    <row r="1" spans="1:2" ht="21">
      <c r="A1" s="146" t="s">
        <v>285</v>
      </c>
      <c r="B1" s="146"/>
    </row>
    <row r="2" spans="1:2" ht="21">
      <c r="A2" s="147" t="s">
        <v>286</v>
      </c>
      <c r="B2" s="148"/>
    </row>
    <row r="3" spans="1:2" ht="21">
      <c r="A3" s="149">
        <v>42736</v>
      </c>
      <c r="B3" s="148"/>
    </row>
    <row r="4" spans="1:2">
      <c r="A4" s="22" t="s">
        <v>133</v>
      </c>
      <c r="B4" s="13"/>
    </row>
    <row r="5" spans="1:2">
      <c r="A5" s="1" t="s">
        <v>134</v>
      </c>
      <c r="B5" s="13"/>
    </row>
    <row r="6" spans="1:2">
      <c r="A6" s="1" t="s">
        <v>135</v>
      </c>
      <c r="B6" s="13">
        <v>4138000</v>
      </c>
    </row>
    <row r="7" spans="1:2">
      <c r="A7" s="1" t="s">
        <v>136</v>
      </c>
      <c r="B7" s="13">
        <f>'Insumos Mercado 2016 '!E30</f>
        <v>862000</v>
      </c>
    </row>
    <row r="8" spans="1:2">
      <c r="A8" s="1"/>
      <c r="B8" s="13"/>
    </row>
    <row r="9" spans="1:2">
      <c r="A9" s="1" t="s">
        <v>139</v>
      </c>
      <c r="B9" s="13">
        <f>B6+B7</f>
        <v>5000000</v>
      </c>
    </row>
    <row r="10" spans="1:2">
      <c r="A10" s="1"/>
      <c r="B10" s="13"/>
    </row>
    <row r="11" spans="1:2">
      <c r="A11" s="1" t="s">
        <v>137</v>
      </c>
      <c r="B11" s="13"/>
    </row>
    <row r="12" spans="1:2">
      <c r="A12" s="1" t="s">
        <v>138</v>
      </c>
      <c r="B12" s="13">
        <v>20000000</v>
      </c>
    </row>
    <row r="13" spans="1:2">
      <c r="A13" s="1" t="s">
        <v>140</v>
      </c>
      <c r="B13" s="13">
        <f>B12</f>
        <v>20000000</v>
      </c>
    </row>
    <row r="14" spans="1:2">
      <c r="A14" s="1"/>
      <c r="B14" s="13"/>
    </row>
    <row r="15" spans="1:2">
      <c r="A15" s="22" t="s">
        <v>141</v>
      </c>
      <c r="B15" s="13">
        <f>B9+B13</f>
        <v>25000000</v>
      </c>
    </row>
    <row r="16" spans="1:2">
      <c r="A16" s="1"/>
      <c r="B16" s="13"/>
    </row>
    <row r="17" spans="1:4">
      <c r="A17" s="22" t="s">
        <v>142</v>
      </c>
      <c r="B17" s="13"/>
    </row>
    <row r="18" spans="1:4">
      <c r="A18" s="1" t="s">
        <v>134</v>
      </c>
      <c r="B18" s="13"/>
    </row>
    <row r="19" spans="1:4">
      <c r="A19" s="1"/>
      <c r="B19" s="13"/>
    </row>
    <row r="20" spans="1:4">
      <c r="A20" s="1"/>
      <c r="B20" s="13"/>
    </row>
    <row r="21" spans="1:4">
      <c r="A21" s="1" t="s">
        <v>144</v>
      </c>
      <c r="B21" s="13"/>
    </row>
    <row r="22" spans="1:4">
      <c r="A22" s="1"/>
      <c r="B22" s="13"/>
    </row>
    <row r="23" spans="1:4">
      <c r="A23" s="1" t="s">
        <v>137</v>
      </c>
      <c r="B23" s="13"/>
      <c r="D23" s="4"/>
    </row>
    <row r="24" spans="1:4">
      <c r="A24" s="1" t="s">
        <v>145</v>
      </c>
      <c r="B24" s="13"/>
    </row>
    <row r="25" spans="1:4">
      <c r="A25" s="1"/>
      <c r="B25" s="13"/>
    </row>
    <row r="26" spans="1:4">
      <c r="A26" s="22" t="s">
        <v>143</v>
      </c>
      <c r="B26" s="13">
        <f>B21+B24</f>
        <v>0</v>
      </c>
    </row>
    <row r="27" spans="1:4">
      <c r="A27" s="1"/>
      <c r="B27" s="13"/>
    </row>
    <row r="28" spans="1:4">
      <c r="A28" s="1"/>
      <c r="B28" s="13"/>
    </row>
    <row r="29" spans="1:4">
      <c r="A29" s="22" t="s">
        <v>146</v>
      </c>
      <c r="B29" s="13"/>
    </row>
    <row r="30" spans="1:4">
      <c r="A30" s="1" t="s">
        <v>147</v>
      </c>
      <c r="B30" s="13">
        <v>25000000</v>
      </c>
    </row>
    <row r="31" spans="1:4">
      <c r="A31" s="1"/>
      <c r="B31" s="13"/>
    </row>
    <row r="32" spans="1:4">
      <c r="A32" s="42" t="s">
        <v>148</v>
      </c>
      <c r="B32" s="68">
        <f>B30</f>
        <v>25000000</v>
      </c>
    </row>
    <row r="33" spans="1:2">
      <c r="A33" s="69" t="s">
        <v>262</v>
      </c>
      <c r="B33" s="68">
        <f>+B32+B26</f>
        <v>25000000</v>
      </c>
    </row>
    <row r="34" spans="1:2">
      <c r="A34" s="69" t="s">
        <v>257</v>
      </c>
      <c r="B34" s="68">
        <f>+B15-B33</f>
        <v>0</v>
      </c>
    </row>
  </sheetData>
  <mergeCells count="3">
    <mergeCell ref="A1:B1"/>
    <mergeCell ref="A2:B2"/>
    <mergeCell ref="A3:B3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>
  <sheetPr>
    <tabColor theme="3" tint="0.39997558519241921"/>
  </sheetPr>
  <dimension ref="A1:I30"/>
  <sheetViews>
    <sheetView zoomScale="90" zoomScaleNormal="90" workbookViewId="0">
      <selection activeCell="I12" sqref="I12"/>
    </sheetView>
  </sheetViews>
  <sheetFormatPr baseColWidth="10" defaultRowHeight="15"/>
  <cols>
    <col min="1" max="1" width="36" customWidth="1"/>
    <col min="2" max="2" width="18.85546875" customWidth="1"/>
    <col min="3" max="3" width="26.7109375" customWidth="1"/>
    <col min="4" max="4" width="24.7109375" customWidth="1"/>
    <col min="5" max="5" width="18.42578125" customWidth="1"/>
    <col min="6" max="6" width="12.140625" customWidth="1"/>
  </cols>
  <sheetData>
    <row r="1" spans="1:9" ht="21">
      <c r="A1" s="150" t="s">
        <v>39</v>
      </c>
      <c r="B1" s="150"/>
      <c r="C1" s="150"/>
      <c r="D1" s="150"/>
      <c r="E1" s="150"/>
    </row>
    <row r="2" spans="1:9" ht="17.25" customHeight="1">
      <c r="A2" s="27" t="s">
        <v>17</v>
      </c>
      <c r="B2" s="27" t="s">
        <v>18</v>
      </c>
      <c r="C2" s="27" t="s">
        <v>19</v>
      </c>
      <c r="D2" s="27" t="s">
        <v>20</v>
      </c>
      <c r="E2" s="27" t="s">
        <v>21</v>
      </c>
    </row>
    <row r="3" spans="1:9" ht="15.75" customHeight="1">
      <c r="A3" s="28" t="s">
        <v>22</v>
      </c>
      <c r="B3" s="10"/>
      <c r="C3" s="10"/>
      <c r="D3" s="10"/>
      <c r="E3" s="10"/>
    </row>
    <row r="4" spans="1:9">
      <c r="A4" s="1" t="s">
        <v>0</v>
      </c>
      <c r="B4" s="1" t="s">
        <v>1</v>
      </c>
      <c r="C4" s="1" t="s">
        <v>2</v>
      </c>
      <c r="D4" s="1" t="s">
        <v>3</v>
      </c>
      <c r="E4" s="13">
        <v>90000</v>
      </c>
    </row>
    <row r="5" spans="1:9">
      <c r="A5" s="1" t="s">
        <v>4</v>
      </c>
      <c r="B5" s="1" t="s">
        <v>1</v>
      </c>
      <c r="C5" s="1" t="s">
        <v>2</v>
      </c>
      <c r="D5" s="1" t="s">
        <v>3</v>
      </c>
      <c r="E5" s="13">
        <v>80000</v>
      </c>
    </row>
    <row r="6" spans="1:9" ht="14.25" customHeight="1">
      <c r="A6" s="29" t="s">
        <v>23</v>
      </c>
      <c r="B6" s="8"/>
      <c r="C6" s="8"/>
      <c r="D6" s="8"/>
      <c r="E6" s="14"/>
    </row>
    <row r="7" spans="1:9">
      <c r="A7" s="1" t="s">
        <v>9</v>
      </c>
      <c r="B7" s="1" t="s">
        <v>3</v>
      </c>
      <c r="C7" s="1" t="s">
        <v>7</v>
      </c>
      <c r="D7" s="1" t="s">
        <v>3</v>
      </c>
      <c r="E7" s="13">
        <v>18000</v>
      </c>
    </row>
    <row r="8" spans="1:9" ht="15.75" customHeight="1">
      <c r="A8" s="1" t="s">
        <v>12</v>
      </c>
      <c r="B8" s="1" t="s">
        <v>3</v>
      </c>
      <c r="C8" s="1" t="s">
        <v>13</v>
      </c>
      <c r="D8" s="1" t="s">
        <v>3</v>
      </c>
      <c r="E8" s="13">
        <v>14000</v>
      </c>
    </row>
    <row r="9" spans="1:9">
      <c r="A9" s="1" t="s">
        <v>8</v>
      </c>
      <c r="B9" s="1" t="s">
        <v>3</v>
      </c>
      <c r="C9" s="1" t="s">
        <v>7</v>
      </c>
      <c r="D9" s="1" t="s">
        <v>3</v>
      </c>
      <c r="E9" s="13">
        <v>9000</v>
      </c>
      <c r="I9" s="57" t="s">
        <v>49</v>
      </c>
    </row>
    <row r="10" spans="1:9">
      <c r="A10" s="1" t="s">
        <v>14</v>
      </c>
      <c r="B10" s="1" t="s">
        <v>15</v>
      </c>
      <c r="C10" s="26">
        <v>500</v>
      </c>
      <c r="D10" s="1" t="s">
        <v>16</v>
      </c>
      <c r="E10" s="13">
        <v>7000</v>
      </c>
    </row>
    <row r="11" spans="1:9">
      <c r="A11" s="1" t="s">
        <v>100</v>
      </c>
      <c r="B11" s="1" t="s">
        <v>3</v>
      </c>
      <c r="C11" s="1" t="s">
        <v>7</v>
      </c>
      <c r="D11" s="1" t="s">
        <v>3</v>
      </c>
      <c r="E11" s="13">
        <v>14000</v>
      </c>
    </row>
    <row r="12" spans="1:9" ht="18" customHeight="1">
      <c r="A12" s="30" t="s">
        <v>24</v>
      </c>
      <c r="B12" s="11"/>
      <c r="C12" s="11"/>
      <c r="D12" s="11"/>
      <c r="E12" s="15"/>
      <c r="I12" s="57" t="s">
        <v>50</v>
      </c>
    </row>
    <row r="13" spans="1:9" ht="12" customHeight="1">
      <c r="A13" s="6" t="s">
        <v>47</v>
      </c>
      <c r="B13" s="3" t="s">
        <v>45</v>
      </c>
      <c r="C13" s="3">
        <v>5</v>
      </c>
      <c r="D13" s="3" t="s">
        <v>46</v>
      </c>
      <c r="E13" s="16">
        <v>36000</v>
      </c>
    </row>
    <row r="14" spans="1:9" s="4" customFormat="1" ht="12" customHeight="1">
      <c r="A14" s="6" t="s">
        <v>48</v>
      </c>
      <c r="B14" s="3" t="s">
        <v>28</v>
      </c>
      <c r="C14" s="3">
        <v>4000</v>
      </c>
      <c r="D14" s="3" t="s">
        <v>28</v>
      </c>
      <c r="E14" s="16">
        <v>40000</v>
      </c>
    </row>
    <row r="15" spans="1:9">
      <c r="A15" s="1" t="s">
        <v>6</v>
      </c>
      <c r="B15" s="1" t="s">
        <v>3</v>
      </c>
      <c r="C15" s="1" t="s">
        <v>7</v>
      </c>
      <c r="D15" s="1" t="s">
        <v>3</v>
      </c>
      <c r="E15" s="13">
        <v>11000</v>
      </c>
    </row>
    <row r="16" spans="1:9" ht="16.5" customHeight="1">
      <c r="A16" s="31" t="s">
        <v>26</v>
      </c>
      <c r="B16" s="9"/>
      <c r="C16" s="9"/>
      <c r="D16" s="9"/>
      <c r="E16" s="17"/>
    </row>
    <row r="17" spans="1:5">
      <c r="A17" s="1" t="s">
        <v>27</v>
      </c>
      <c r="B17" s="1" t="s">
        <v>15</v>
      </c>
      <c r="C17" s="1">
        <v>4000</v>
      </c>
      <c r="D17" s="1" t="s">
        <v>16</v>
      </c>
      <c r="E17" s="13">
        <v>32000</v>
      </c>
    </row>
    <row r="18" spans="1:5">
      <c r="A18" s="1" t="s">
        <v>32</v>
      </c>
      <c r="B18" s="1" t="s">
        <v>15</v>
      </c>
      <c r="C18" s="1">
        <v>1000</v>
      </c>
      <c r="D18" s="1" t="s">
        <v>16</v>
      </c>
      <c r="E18" s="13">
        <v>7900</v>
      </c>
    </row>
    <row r="19" spans="1:5">
      <c r="A19" s="1" t="s">
        <v>33</v>
      </c>
      <c r="B19" s="1" t="s">
        <v>15</v>
      </c>
      <c r="C19" s="1">
        <v>3000</v>
      </c>
      <c r="D19" s="1" t="s">
        <v>16</v>
      </c>
      <c r="E19" s="13">
        <v>18000</v>
      </c>
    </row>
    <row r="20" spans="1:5">
      <c r="A20" s="1" t="s">
        <v>34</v>
      </c>
      <c r="B20" s="1" t="s">
        <v>15</v>
      </c>
      <c r="C20" s="1">
        <v>1000</v>
      </c>
      <c r="D20" s="1" t="s">
        <v>16</v>
      </c>
      <c r="E20" s="13">
        <v>8000</v>
      </c>
    </row>
    <row r="21" spans="1:5">
      <c r="A21" s="1" t="s">
        <v>37</v>
      </c>
      <c r="B21" s="1" t="s">
        <v>15</v>
      </c>
      <c r="C21" s="1">
        <v>3370</v>
      </c>
      <c r="D21" s="1" t="s">
        <v>16</v>
      </c>
      <c r="E21" s="13">
        <v>40000</v>
      </c>
    </row>
    <row r="22" spans="1:5">
      <c r="A22" s="1" t="s">
        <v>38</v>
      </c>
      <c r="B22" s="1" t="s">
        <v>16</v>
      </c>
      <c r="C22" s="1">
        <v>1000</v>
      </c>
      <c r="D22" s="1" t="s">
        <v>16</v>
      </c>
      <c r="E22" s="13">
        <v>7900</v>
      </c>
    </row>
    <row r="23" spans="1:5">
      <c r="A23" s="1" t="s">
        <v>40</v>
      </c>
      <c r="B23" s="1" t="s">
        <v>16</v>
      </c>
      <c r="C23" s="1">
        <v>4015</v>
      </c>
      <c r="D23" s="1" t="s">
        <v>15</v>
      </c>
      <c r="E23" s="13">
        <v>21000</v>
      </c>
    </row>
    <row r="24" spans="1:5" ht="15.75" customHeight="1">
      <c r="A24" s="32" t="s">
        <v>25</v>
      </c>
      <c r="B24" s="7"/>
      <c r="C24" s="7"/>
      <c r="D24" s="7"/>
      <c r="E24" s="18"/>
    </row>
    <row r="25" spans="1:5">
      <c r="A25" s="1" t="s">
        <v>41</v>
      </c>
      <c r="B25" s="1" t="s">
        <v>43</v>
      </c>
      <c r="C25" s="2" t="s">
        <v>44</v>
      </c>
      <c r="D25" s="1" t="s">
        <v>42</v>
      </c>
      <c r="E25" s="13">
        <v>79000</v>
      </c>
    </row>
    <row r="26" spans="1:5">
      <c r="A26" s="1" t="s">
        <v>5</v>
      </c>
      <c r="B26" s="1" t="s">
        <v>1</v>
      </c>
      <c r="C26" s="1" t="s">
        <v>2</v>
      </c>
      <c r="D26" s="1" t="s">
        <v>3</v>
      </c>
      <c r="E26" s="13">
        <v>30000</v>
      </c>
    </row>
    <row r="27" spans="1:5">
      <c r="A27" s="1" t="s">
        <v>11</v>
      </c>
      <c r="B27" s="1" t="s">
        <v>10</v>
      </c>
      <c r="C27" s="1" t="s">
        <v>2</v>
      </c>
      <c r="D27" s="1" t="s">
        <v>3</v>
      </c>
      <c r="E27" s="13">
        <v>100000</v>
      </c>
    </row>
    <row r="28" spans="1:5">
      <c r="A28" s="5" t="s">
        <v>29</v>
      </c>
      <c r="B28" s="5" t="s">
        <v>30</v>
      </c>
      <c r="C28" s="1" t="s">
        <v>31</v>
      </c>
      <c r="D28" s="5" t="s">
        <v>3</v>
      </c>
      <c r="E28" s="13">
        <v>63000</v>
      </c>
    </row>
    <row r="29" spans="1:5">
      <c r="A29" s="5" t="s">
        <v>35</v>
      </c>
      <c r="B29" s="5" t="s">
        <v>16</v>
      </c>
      <c r="C29" s="1" t="s">
        <v>36</v>
      </c>
      <c r="D29" s="5" t="s">
        <v>16</v>
      </c>
      <c r="E29" s="13">
        <v>12000</v>
      </c>
    </row>
    <row r="30" spans="1:5">
      <c r="D30" s="19" t="s">
        <v>70</v>
      </c>
      <c r="E30" s="20">
        <f>SUM(E4:E29)</f>
        <v>737800</v>
      </c>
    </row>
  </sheetData>
  <mergeCells count="1">
    <mergeCell ref="A1:E1"/>
  </mergeCells>
  <hyperlinks>
    <hyperlink ref="I9" r:id="rId1"/>
    <hyperlink ref="I12" r:id="rId2"/>
  </hyperlinks>
  <pageMargins left="0.7" right="0.7" top="0.75" bottom="0.75" header="0.3" footer="0.3"/>
  <pageSetup orientation="portrait" r:id="rId3"/>
</worksheet>
</file>

<file path=xl/worksheets/sheet12.xml><?xml version="1.0" encoding="utf-8"?>
<worksheet xmlns="http://schemas.openxmlformats.org/spreadsheetml/2006/main" xmlns:r="http://schemas.openxmlformats.org/officeDocument/2006/relationships">
  <sheetPr>
    <tabColor theme="5"/>
  </sheetPr>
  <dimension ref="A2:H21"/>
  <sheetViews>
    <sheetView workbookViewId="0">
      <selection activeCell="E37" sqref="E37"/>
    </sheetView>
  </sheetViews>
  <sheetFormatPr baseColWidth="10" defaultRowHeight="15"/>
  <cols>
    <col min="1" max="1" width="20.140625" customWidth="1"/>
    <col min="7" max="7" width="16" customWidth="1"/>
  </cols>
  <sheetData>
    <row r="2" spans="1:8">
      <c r="A2" s="151" t="s">
        <v>65</v>
      </c>
      <c r="B2" s="151"/>
      <c r="D2" s="153" t="s">
        <v>121</v>
      </c>
      <c r="E2" s="153"/>
      <c r="F2" s="153"/>
      <c r="G2" s="39">
        <f>(B3+B4+B5+B6)/4</f>
        <v>12750</v>
      </c>
      <c r="H2" s="38"/>
    </row>
    <row r="3" spans="1:8">
      <c r="A3" s="1" t="s">
        <v>51</v>
      </c>
      <c r="B3" s="13">
        <v>11000</v>
      </c>
    </row>
    <row r="4" spans="1:8">
      <c r="A4" s="1" t="s">
        <v>52</v>
      </c>
      <c r="B4" s="13">
        <v>12000</v>
      </c>
    </row>
    <row r="5" spans="1:8">
      <c r="A5" s="1" t="s">
        <v>53</v>
      </c>
      <c r="B5" s="13">
        <v>15000</v>
      </c>
    </row>
    <row r="6" spans="1:8">
      <c r="A6" s="1" t="s">
        <v>54</v>
      </c>
      <c r="B6" s="13">
        <v>13000</v>
      </c>
    </row>
    <row r="7" spans="1:8">
      <c r="A7" s="1"/>
      <c r="B7" s="1"/>
    </row>
    <row r="8" spans="1:8">
      <c r="A8" s="152" t="s">
        <v>66</v>
      </c>
      <c r="B8" s="152"/>
    </row>
    <row r="9" spans="1:8">
      <c r="A9" s="1" t="s">
        <v>55</v>
      </c>
      <c r="B9" s="13">
        <v>2000</v>
      </c>
    </row>
    <row r="10" spans="1:8">
      <c r="A10" s="1" t="s">
        <v>56</v>
      </c>
      <c r="B10" s="13">
        <v>3500</v>
      </c>
    </row>
    <row r="11" spans="1:8">
      <c r="A11" s="1" t="s">
        <v>57</v>
      </c>
      <c r="B11" s="13">
        <v>3500</v>
      </c>
    </row>
    <row r="12" spans="1:8">
      <c r="A12" s="1" t="s">
        <v>58</v>
      </c>
      <c r="B12" s="13">
        <v>3500</v>
      </c>
    </row>
    <row r="13" spans="1:8">
      <c r="A13" s="1" t="s">
        <v>59</v>
      </c>
      <c r="B13" s="13">
        <v>3500</v>
      </c>
    </row>
    <row r="14" spans="1:8">
      <c r="A14" s="1" t="s">
        <v>60</v>
      </c>
      <c r="B14" s="13">
        <v>2000</v>
      </c>
    </row>
    <row r="15" spans="1:8">
      <c r="A15" s="1" t="s">
        <v>61</v>
      </c>
      <c r="B15" s="13">
        <v>5000</v>
      </c>
    </row>
    <row r="16" spans="1:8">
      <c r="A16" s="1"/>
      <c r="B16" s="13"/>
    </row>
    <row r="17" spans="1:2">
      <c r="A17" s="152" t="s">
        <v>67</v>
      </c>
      <c r="B17" s="152"/>
    </row>
    <row r="18" spans="1:2">
      <c r="A18" s="1" t="s">
        <v>62</v>
      </c>
      <c r="B18" s="13">
        <v>2500</v>
      </c>
    </row>
    <row r="19" spans="1:2">
      <c r="A19" s="1" t="s">
        <v>64</v>
      </c>
      <c r="B19" s="13">
        <v>2000</v>
      </c>
    </row>
    <row r="20" spans="1:2">
      <c r="A20" s="1" t="s">
        <v>63</v>
      </c>
      <c r="B20" s="13">
        <v>2000</v>
      </c>
    </row>
    <row r="21" spans="1:2">
      <c r="A21" s="1"/>
      <c r="B21" s="1"/>
    </row>
  </sheetData>
  <mergeCells count="4">
    <mergeCell ref="A2:B2"/>
    <mergeCell ref="A8:B8"/>
    <mergeCell ref="A17:B17"/>
    <mergeCell ref="D2:F2"/>
  </mergeCells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>
  <sheetPr>
    <tabColor rgb="FF002060"/>
  </sheetPr>
  <dimension ref="A1:L75"/>
  <sheetViews>
    <sheetView zoomScale="80" zoomScaleNormal="80" workbookViewId="0">
      <selection activeCell="D25" sqref="D25"/>
    </sheetView>
  </sheetViews>
  <sheetFormatPr baseColWidth="10" defaultRowHeight="15"/>
  <cols>
    <col min="1" max="1" width="30.140625" customWidth="1"/>
    <col min="2" max="2" width="18.42578125" customWidth="1"/>
    <col min="3" max="3" width="15" customWidth="1"/>
    <col min="4" max="4" width="28.7109375" customWidth="1"/>
    <col min="5" max="5" width="15.7109375" style="12" customWidth="1"/>
    <col min="6" max="6" width="16.28515625" style="33" customWidth="1"/>
    <col min="7" max="7" width="26.140625" customWidth="1"/>
    <col min="8" max="8" width="37" customWidth="1"/>
    <col min="9" max="9" width="12.140625" customWidth="1"/>
    <col min="10" max="10" width="12.5703125" customWidth="1"/>
    <col min="11" max="11" width="15.42578125" customWidth="1"/>
    <col min="12" max="12" width="12.28515625" customWidth="1"/>
    <col min="13" max="13" width="14.140625" customWidth="1"/>
    <col min="14" max="14" width="15.5703125" customWidth="1"/>
  </cols>
  <sheetData>
    <row r="1" spans="1:10" ht="33.75">
      <c r="A1" s="158" t="s">
        <v>168</v>
      </c>
      <c r="B1" s="158"/>
      <c r="C1" s="158"/>
      <c r="D1" s="158"/>
      <c r="E1" s="158"/>
      <c r="F1" s="158"/>
      <c r="H1" s="21" t="s">
        <v>175</v>
      </c>
    </row>
    <row r="2" spans="1:10">
      <c r="A2" s="46" t="s">
        <v>88</v>
      </c>
      <c r="B2" s="46" t="s">
        <v>103</v>
      </c>
      <c r="D2" s="47" t="s">
        <v>89</v>
      </c>
      <c r="E2" s="47" t="s">
        <v>103</v>
      </c>
      <c r="F2" s="47" t="s">
        <v>102</v>
      </c>
      <c r="H2" s="19" t="s">
        <v>176</v>
      </c>
      <c r="I2" s="13">
        <v>689500</v>
      </c>
      <c r="J2" s="1"/>
    </row>
    <row r="3" spans="1:10">
      <c r="A3" s="1" t="s">
        <v>96</v>
      </c>
      <c r="B3" s="13">
        <v>120000</v>
      </c>
      <c r="D3" s="1" t="s">
        <v>69</v>
      </c>
      <c r="E3" s="13">
        <f>D20*F3</f>
        <v>240000</v>
      </c>
      <c r="F3" s="13">
        <v>600</v>
      </c>
      <c r="H3" s="19" t="s">
        <v>177</v>
      </c>
      <c r="I3" s="1">
        <v>50.6</v>
      </c>
      <c r="J3" s="51">
        <f>I3/100</f>
        <v>0.50600000000000001</v>
      </c>
    </row>
    <row r="4" spans="1:10">
      <c r="A4" s="1" t="s">
        <v>68</v>
      </c>
      <c r="B4" s="13">
        <v>30000</v>
      </c>
      <c r="D4" s="1" t="s">
        <v>90</v>
      </c>
      <c r="E4" s="13">
        <f>'Insumos Mercado 2016'!E30</f>
        <v>737800</v>
      </c>
      <c r="F4" s="34"/>
    </row>
    <row r="5" spans="1:10">
      <c r="A5" s="1" t="s">
        <v>97</v>
      </c>
      <c r="B5" s="13">
        <v>200000</v>
      </c>
      <c r="D5" s="1" t="s">
        <v>174</v>
      </c>
      <c r="E5" s="13">
        <f>I2*(1+J3)</f>
        <v>1038387</v>
      </c>
      <c r="F5" s="34"/>
    </row>
    <row r="6" spans="1:10">
      <c r="A6" s="1"/>
      <c r="B6" s="13"/>
      <c r="D6" s="1"/>
      <c r="E6" s="13"/>
      <c r="F6" s="34"/>
    </row>
    <row r="7" spans="1:10">
      <c r="A7" s="22" t="s">
        <v>91</v>
      </c>
      <c r="B7" s="35">
        <f>B3+B4+B5+B6</f>
        <v>350000</v>
      </c>
      <c r="D7" s="22" t="s">
        <v>92</v>
      </c>
      <c r="E7" s="35">
        <f>SUM(E3:E6)</f>
        <v>2016187</v>
      </c>
      <c r="F7" s="34"/>
    </row>
    <row r="8" spans="1:10">
      <c r="A8" s="48"/>
      <c r="B8" s="49"/>
      <c r="D8" s="48"/>
      <c r="E8" s="49"/>
      <c r="F8" s="50"/>
    </row>
    <row r="9" spans="1:10">
      <c r="A9" s="22" t="s">
        <v>172</v>
      </c>
      <c r="B9" s="20">
        <f>B7*12</f>
        <v>4200000</v>
      </c>
      <c r="D9" s="22" t="s">
        <v>173</v>
      </c>
      <c r="E9" s="20">
        <f>E7*12</f>
        <v>24194244</v>
      </c>
    </row>
    <row r="10" spans="1:10">
      <c r="B10" s="12"/>
    </row>
    <row r="11" spans="1:10">
      <c r="B11" s="12"/>
    </row>
    <row r="12" spans="1:10">
      <c r="B12" s="12"/>
    </row>
    <row r="13" spans="1:10">
      <c r="B13" s="12"/>
    </row>
    <row r="14" spans="1:10" ht="33.75">
      <c r="A14" s="159" t="s">
        <v>169</v>
      </c>
      <c r="B14" s="159"/>
      <c r="C14" s="159"/>
      <c r="D14" s="159"/>
      <c r="E14" s="159"/>
      <c r="F14" s="159"/>
      <c r="G14" s="159"/>
      <c r="H14" s="159"/>
    </row>
    <row r="15" spans="1:10">
      <c r="A15" s="19" t="s">
        <v>104</v>
      </c>
      <c r="B15" s="19" t="s">
        <v>117</v>
      </c>
      <c r="C15" s="19" t="s">
        <v>115</v>
      </c>
      <c r="D15" s="19" t="s">
        <v>116</v>
      </c>
      <c r="E15" s="19" t="s">
        <v>109</v>
      </c>
      <c r="F15" s="19" t="s">
        <v>112</v>
      </c>
      <c r="G15" s="19" t="s">
        <v>113</v>
      </c>
      <c r="H15" s="19" t="s">
        <v>109</v>
      </c>
    </row>
    <row r="16" spans="1:10">
      <c r="A16" s="1" t="s">
        <v>105</v>
      </c>
      <c r="B16" s="1">
        <v>5</v>
      </c>
      <c r="C16" s="1">
        <v>25</v>
      </c>
      <c r="D16" s="1">
        <f>C16*4</f>
        <v>100</v>
      </c>
      <c r="E16" s="1" t="s">
        <v>110</v>
      </c>
      <c r="F16" s="13">
        <v>11000</v>
      </c>
      <c r="G16" s="40">
        <f>F16*D16</f>
        <v>1100000</v>
      </c>
      <c r="H16" s="1" t="s">
        <v>114</v>
      </c>
    </row>
    <row r="17" spans="1:8">
      <c r="A17" s="1" t="s">
        <v>106</v>
      </c>
      <c r="B17" s="1">
        <v>5</v>
      </c>
      <c r="C17" s="1">
        <v>25</v>
      </c>
      <c r="D17" s="1">
        <f t="shared" ref="D17:D19" si="0">C17*4</f>
        <v>100</v>
      </c>
      <c r="E17" s="1" t="s">
        <v>110</v>
      </c>
      <c r="F17" s="13">
        <v>12000</v>
      </c>
      <c r="G17" s="40">
        <f t="shared" ref="G17:G19" si="1">F17*D17</f>
        <v>1200000</v>
      </c>
      <c r="H17" s="1" t="s">
        <v>114</v>
      </c>
    </row>
    <row r="18" spans="1:8">
      <c r="A18" s="1" t="s">
        <v>107</v>
      </c>
      <c r="B18" s="1">
        <v>5</v>
      </c>
      <c r="C18" s="1">
        <v>25</v>
      </c>
      <c r="D18" s="1">
        <f t="shared" si="0"/>
        <v>100</v>
      </c>
      <c r="E18" s="1" t="s">
        <v>110</v>
      </c>
      <c r="F18" s="13">
        <v>15000</v>
      </c>
      <c r="G18" s="40">
        <f t="shared" si="1"/>
        <v>1500000</v>
      </c>
      <c r="H18" s="1" t="s">
        <v>114</v>
      </c>
    </row>
    <row r="19" spans="1:8">
      <c r="A19" s="1" t="s">
        <v>108</v>
      </c>
      <c r="B19" s="1">
        <v>5</v>
      </c>
      <c r="C19" s="1">
        <v>25</v>
      </c>
      <c r="D19" s="1">
        <f t="shared" si="0"/>
        <v>100</v>
      </c>
      <c r="E19" s="1" t="s">
        <v>110</v>
      </c>
      <c r="F19" s="13">
        <v>13000</v>
      </c>
      <c r="G19" s="40">
        <f t="shared" si="1"/>
        <v>1300000</v>
      </c>
      <c r="H19" s="1" t="s">
        <v>114</v>
      </c>
    </row>
    <row r="20" spans="1:8">
      <c r="A20" s="19" t="s">
        <v>111</v>
      </c>
      <c r="B20" s="1"/>
      <c r="C20" s="1"/>
      <c r="D20" s="36">
        <f>SUM(D16:D19)</f>
        <v>400</v>
      </c>
      <c r="E20" s="37" t="s">
        <v>110</v>
      </c>
      <c r="F20" s="13"/>
      <c r="G20" s="41">
        <f>SUM(G16:G19)</f>
        <v>5100000</v>
      </c>
      <c r="H20" s="37" t="s">
        <v>118</v>
      </c>
    </row>
    <row r="21" spans="1:8">
      <c r="B21" s="12"/>
    </row>
    <row r="22" spans="1:8">
      <c r="A22" s="19" t="s">
        <v>171</v>
      </c>
      <c r="B22" s="13"/>
      <c r="C22" s="1"/>
      <c r="D22" s="37">
        <f>D20*12</f>
        <v>4800</v>
      </c>
      <c r="E22" s="37" t="s">
        <v>110</v>
      </c>
      <c r="F22" s="20">
        <f>F16*1200+F17*1200+F18*1200+F19*1200</f>
        <v>61200000</v>
      </c>
      <c r="G22" s="1"/>
      <c r="H22" s="1"/>
    </row>
    <row r="23" spans="1:8">
      <c r="B23" s="12"/>
    </row>
    <row r="24" spans="1:8">
      <c r="B24" s="12"/>
    </row>
    <row r="25" spans="1:8">
      <c r="B25" s="12"/>
    </row>
    <row r="26" spans="1:8">
      <c r="B26" s="12"/>
    </row>
    <row r="27" spans="1:8" ht="33.75">
      <c r="A27" s="160" t="s">
        <v>170</v>
      </c>
      <c r="B27" s="161"/>
      <c r="E27"/>
      <c r="F27"/>
    </row>
    <row r="28" spans="1:8" ht="20.25" customHeight="1">
      <c r="A28" s="54"/>
      <c r="B28" s="55" t="s">
        <v>103</v>
      </c>
      <c r="E28"/>
      <c r="F28"/>
    </row>
    <row r="29" spans="1:8">
      <c r="A29" s="1" t="s">
        <v>194</v>
      </c>
      <c r="B29" s="13">
        <v>450000</v>
      </c>
      <c r="C29" s="12"/>
      <c r="E29"/>
      <c r="F29"/>
    </row>
    <row r="30" spans="1:8">
      <c r="A30" s="1" t="s">
        <v>195</v>
      </c>
      <c r="B30" s="13">
        <v>383300</v>
      </c>
      <c r="C30" s="12"/>
    </row>
    <row r="31" spans="1:8">
      <c r="A31" s="19" t="s">
        <v>171</v>
      </c>
      <c r="B31" s="20">
        <f>B29+B30</f>
        <v>833300</v>
      </c>
      <c r="C31" s="12"/>
    </row>
    <row r="33" spans="1:11">
      <c r="A33" s="22" t="s">
        <v>187</v>
      </c>
      <c r="B33" s="41">
        <f>B31*12</f>
        <v>9999600</v>
      </c>
    </row>
    <row r="34" spans="1:11">
      <c r="A34" s="48"/>
      <c r="B34" s="56"/>
    </row>
    <row r="35" spans="1:11">
      <c r="A35" s="158" t="s">
        <v>192</v>
      </c>
      <c r="B35" s="158"/>
      <c r="C35" s="158"/>
      <c r="D35" s="158"/>
      <c r="E35" s="158"/>
      <c r="F35" s="158"/>
      <c r="G35" s="158"/>
      <c r="H35" s="158"/>
      <c r="I35" s="158"/>
      <c r="J35" s="158"/>
      <c r="K35" s="158"/>
    </row>
    <row r="36" spans="1:11">
      <c r="A36" s="158"/>
      <c r="B36" s="158"/>
      <c r="C36" s="158"/>
      <c r="D36" s="158"/>
      <c r="E36" s="158"/>
      <c r="F36" s="158"/>
      <c r="G36" s="158"/>
      <c r="H36" s="158"/>
      <c r="I36" s="158"/>
      <c r="J36" s="158"/>
      <c r="K36" s="158"/>
    </row>
    <row r="38" spans="1:11" ht="25.5">
      <c r="A38" s="154" t="s">
        <v>94</v>
      </c>
      <c r="B38" s="154"/>
      <c r="C38" s="154"/>
      <c r="D38" s="154"/>
      <c r="E38" s="154"/>
      <c r="G38" s="155" t="s">
        <v>95</v>
      </c>
      <c r="H38" s="156"/>
      <c r="I38" s="156"/>
      <c r="J38" s="156"/>
      <c r="K38" s="157"/>
    </row>
    <row r="39" spans="1:11">
      <c r="A39" s="22" t="s">
        <v>82</v>
      </c>
      <c r="B39" s="1"/>
      <c r="C39" s="1"/>
      <c r="D39" s="1"/>
      <c r="E39" s="13"/>
      <c r="G39" s="22" t="s">
        <v>82</v>
      </c>
      <c r="H39" s="1"/>
      <c r="I39" s="1"/>
      <c r="J39" s="1"/>
      <c r="K39" s="13"/>
    </row>
    <row r="40" spans="1:11">
      <c r="A40" s="1"/>
      <c r="B40" s="22" t="s">
        <v>71</v>
      </c>
      <c r="C40" s="22" t="s">
        <v>72</v>
      </c>
      <c r="D40" s="22" t="s">
        <v>80</v>
      </c>
      <c r="E40" s="23" t="s">
        <v>75</v>
      </c>
      <c r="G40" s="1"/>
      <c r="H40" s="22" t="s">
        <v>71</v>
      </c>
      <c r="I40" s="22" t="s">
        <v>72</v>
      </c>
      <c r="J40" s="22" t="s">
        <v>80</v>
      </c>
      <c r="K40" s="23" t="s">
        <v>75</v>
      </c>
    </row>
    <row r="41" spans="1:11">
      <c r="A41" s="1"/>
      <c r="B41" s="1" t="s">
        <v>73</v>
      </c>
      <c r="C41" s="1" t="s">
        <v>74</v>
      </c>
      <c r="D41" s="1">
        <v>1.8</v>
      </c>
      <c r="E41" s="13">
        <v>450</v>
      </c>
      <c r="G41" s="1"/>
      <c r="H41" s="1" t="s">
        <v>73</v>
      </c>
      <c r="I41" s="1" t="s">
        <v>74</v>
      </c>
      <c r="J41" s="1">
        <v>1.8</v>
      </c>
      <c r="K41" s="13">
        <v>450</v>
      </c>
    </row>
    <row r="42" spans="1:11">
      <c r="A42" s="1"/>
      <c r="B42" s="1" t="s">
        <v>76</v>
      </c>
      <c r="C42" s="1" t="s">
        <v>77</v>
      </c>
      <c r="D42" s="1">
        <v>18</v>
      </c>
      <c r="E42" s="13">
        <v>1800</v>
      </c>
      <c r="G42" s="1"/>
      <c r="H42" s="1" t="s">
        <v>98</v>
      </c>
      <c r="I42" s="1" t="s">
        <v>77</v>
      </c>
      <c r="J42" s="1">
        <v>14</v>
      </c>
      <c r="K42" s="13">
        <v>1400</v>
      </c>
    </row>
    <row r="43" spans="1:11">
      <c r="A43" s="1"/>
      <c r="B43" s="1" t="s">
        <v>78</v>
      </c>
      <c r="C43" s="1" t="s">
        <v>79</v>
      </c>
      <c r="D43" s="1">
        <v>7.9</v>
      </c>
      <c r="E43" s="13">
        <v>1185</v>
      </c>
      <c r="G43" s="1"/>
      <c r="H43" s="1" t="s">
        <v>78</v>
      </c>
      <c r="I43" s="1" t="s">
        <v>79</v>
      </c>
      <c r="J43" s="1">
        <v>7.9</v>
      </c>
      <c r="K43" s="13">
        <v>1185</v>
      </c>
    </row>
    <row r="44" spans="1:11">
      <c r="A44" s="1"/>
      <c r="B44" s="1" t="s">
        <v>81</v>
      </c>
      <c r="C44" s="1"/>
      <c r="D44" s="1">
        <v>600</v>
      </c>
      <c r="E44" s="13">
        <v>600</v>
      </c>
      <c r="G44" s="1"/>
      <c r="H44" s="1" t="s">
        <v>189</v>
      </c>
      <c r="I44" s="1" t="s">
        <v>79</v>
      </c>
      <c r="J44" s="1">
        <v>6</v>
      </c>
      <c r="K44" s="13">
        <v>900</v>
      </c>
    </row>
    <row r="45" spans="1:11">
      <c r="A45" s="22" t="s">
        <v>83</v>
      </c>
      <c r="B45" s="1"/>
      <c r="C45" s="1"/>
      <c r="D45" s="1"/>
      <c r="E45" s="23">
        <f>SUM(E41:E44)</f>
        <v>4035</v>
      </c>
      <c r="G45" s="1"/>
      <c r="H45" s="1" t="s">
        <v>81</v>
      </c>
      <c r="I45" s="1"/>
      <c r="J45" s="1">
        <v>600</v>
      </c>
      <c r="K45" s="13">
        <v>600</v>
      </c>
    </row>
    <row r="46" spans="1:11">
      <c r="A46" s="1"/>
      <c r="B46" s="1"/>
      <c r="C46" s="1"/>
      <c r="D46" s="1"/>
      <c r="E46" s="13"/>
      <c r="G46" s="22" t="s">
        <v>83</v>
      </c>
      <c r="H46" s="1"/>
      <c r="I46" s="1"/>
      <c r="J46" s="1"/>
      <c r="K46" s="23">
        <f>SUM(K41:K45)</f>
        <v>4535</v>
      </c>
    </row>
    <row r="47" spans="1:11">
      <c r="A47" s="22" t="s">
        <v>84</v>
      </c>
      <c r="B47" s="1"/>
      <c r="C47" s="1"/>
      <c r="D47" s="1"/>
      <c r="E47" s="13"/>
      <c r="G47" s="1"/>
      <c r="H47" s="1"/>
      <c r="I47" s="1"/>
      <c r="J47" s="1"/>
      <c r="K47" s="13"/>
    </row>
    <row r="48" spans="1:11">
      <c r="A48" s="1"/>
      <c r="B48" s="1" t="s">
        <v>119</v>
      </c>
      <c r="C48" s="1"/>
      <c r="D48" s="1"/>
      <c r="E48" s="13">
        <v>875</v>
      </c>
      <c r="G48" s="22" t="s">
        <v>84</v>
      </c>
      <c r="H48" s="1"/>
      <c r="I48" s="1"/>
      <c r="J48" s="1"/>
      <c r="K48" s="13"/>
    </row>
    <row r="49" spans="1:12">
      <c r="A49" s="22" t="s">
        <v>93</v>
      </c>
      <c r="B49" s="1"/>
      <c r="C49" s="1"/>
      <c r="D49" s="1"/>
      <c r="E49" s="23">
        <v>875</v>
      </c>
      <c r="G49" s="1"/>
      <c r="H49" s="1" t="s">
        <v>119</v>
      </c>
      <c r="I49" s="1"/>
      <c r="J49" s="1"/>
      <c r="K49" s="13">
        <v>875</v>
      </c>
    </row>
    <row r="50" spans="1:12">
      <c r="A50" s="22" t="s">
        <v>85</v>
      </c>
      <c r="B50" s="1"/>
      <c r="C50" s="1"/>
      <c r="D50" s="1"/>
      <c r="E50" s="20">
        <f>E45+E49</f>
        <v>4910</v>
      </c>
      <c r="G50" s="22" t="s">
        <v>93</v>
      </c>
      <c r="H50" s="1"/>
      <c r="I50" s="1"/>
      <c r="J50" s="1"/>
      <c r="K50" s="23">
        <v>875</v>
      </c>
    </row>
    <row r="51" spans="1:12">
      <c r="A51" s="22" t="s">
        <v>86</v>
      </c>
      <c r="B51" s="1"/>
      <c r="C51" s="1"/>
      <c r="D51" s="1"/>
      <c r="E51" s="13">
        <v>11000</v>
      </c>
      <c r="G51" s="22" t="s">
        <v>85</v>
      </c>
      <c r="H51" s="1"/>
      <c r="I51" s="1"/>
      <c r="J51" s="1"/>
      <c r="K51" s="20">
        <f>K46+K49</f>
        <v>5410</v>
      </c>
    </row>
    <row r="52" spans="1:12">
      <c r="A52" s="22"/>
      <c r="B52" s="1"/>
      <c r="C52" s="1"/>
      <c r="D52" s="1"/>
      <c r="E52" s="24">
        <f>E50/E51</f>
        <v>0.44636363636363635</v>
      </c>
      <c r="G52" s="22" t="s">
        <v>86</v>
      </c>
      <c r="H52" s="1"/>
      <c r="I52" s="1"/>
      <c r="J52" s="1"/>
      <c r="K52" s="13">
        <v>12000</v>
      </c>
    </row>
    <row r="53" spans="1:12">
      <c r="A53" s="22" t="s">
        <v>87</v>
      </c>
      <c r="B53" s="1"/>
      <c r="C53" s="1"/>
      <c r="D53" s="1"/>
      <c r="E53" s="25">
        <v>0.55000000000000004</v>
      </c>
      <c r="G53" s="22"/>
      <c r="H53" s="1"/>
      <c r="I53" s="1"/>
      <c r="J53" s="1"/>
      <c r="K53" s="24">
        <f>K51/K52</f>
        <v>0.45083333333333331</v>
      </c>
      <c r="L53" s="33"/>
    </row>
    <row r="54" spans="1:12">
      <c r="G54" s="22" t="s">
        <v>87</v>
      </c>
      <c r="H54" s="1"/>
      <c r="I54" s="1"/>
      <c r="J54" s="1"/>
      <c r="K54" s="25">
        <v>0.55000000000000004</v>
      </c>
    </row>
    <row r="55" spans="1:12" ht="25.5">
      <c r="A55" s="143"/>
      <c r="B55" s="143"/>
      <c r="C55" s="143"/>
      <c r="D55" s="143"/>
      <c r="E55" s="143"/>
    </row>
    <row r="56" spans="1:12" ht="25.5">
      <c r="A56" s="155" t="s">
        <v>99</v>
      </c>
      <c r="B56" s="156"/>
      <c r="C56" s="156"/>
      <c r="D56" s="156"/>
      <c r="E56" s="157"/>
      <c r="G56" s="154" t="s">
        <v>101</v>
      </c>
      <c r="H56" s="154"/>
      <c r="I56" s="154"/>
      <c r="J56" s="154"/>
      <c r="K56" s="154"/>
    </row>
    <row r="57" spans="1:12">
      <c r="A57" s="22" t="s">
        <v>82</v>
      </c>
      <c r="B57" s="1"/>
      <c r="C57" s="1"/>
      <c r="D57" s="1"/>
      <c r="E57" s="13"/>
      <c r="G57" s="22" t="s">
        <v>82</v>
      </c>
      <c r="H57" s="1"/>
      <c r="I57" s="1"/>
      <c r="J57" s="1"/>
      <c r="K57" s="13"/>
    </row>
    <row r="58" spans="1:12">
      <c r="A58" s="1"/>
      <c r="B58" s="22" t="s">
        <v>71</v>
      </c>
      <c r="C58" s="22" t="s">
        <v>72</v>
      </c>
      <c r="D58" s="22" t="s">
        <v>80</v>
      </c>
      <c r="E58" s="23" t="s">
        <v>75</v>
      </c>
      <c r="G58" s="1"/>
      <c r="H58" s="22" t="s">
        <v>71</v>
      </c>
      <c r="I58" s="22" t="s">
        <v>72</v>
      </c>
      <c r="J58" s="22" t="s">
        <v>80</v>
      </c>
      <c r="K58" s="23" t="s">
        <v>75</v>
      </c>
    </row>
    <row r="59" spans="1:12">
      <c r="A59" s="1"/>
      <c r="B59" s="1" t="s">
        <v>73</v>
      </c>
      <c r="C59" s="1" t="s">
        <v>74</v>
      </c>
      <c r="D59" s="1">
        <v>1.8</v>
      </c>
      <c r="E59" s="13">
        <v>450</v>
      </c>
      <c r="G59" s="1"/>
      <c r="H59" s="1" t="s">
        <v>193</v>
      </c>
      <c r="I59" s="1" t="s">
        <v>74</v>
      </c>
      <c r="J59" s="1">
        <v>1.8</v>
      </c>
      <c r="K59" s="13">
        <v>400</v>
      </c>
    </row>
    <row r="60" spans="1:12">
      <c r="A60" s="1"/>
      <c r="B60" s="1" t="s">
        <v>100</v>
      </c>
      <c r="C60" s="1" t="s">
        <v>77</v>
      </c>
      <c r="D60" s="1">
        <v>14</v>
      </c>
      <c r="E60" s="13">
        <v>1400</v>
      </c>
      <c r="G60" s="1"/>
      <c r="H60" s="1" t="s">
        <v>120</v>
      </c>
      <c r="I60" s="1" t="s">
        <v>77</v>
      </c>
      <c r="J60" s="1">
        <v>14</v>
      </c>
      <c r="K60" s="13">
        <v>1400</v>
      </c>
    </row>
    <row r="61" spans="1:12">
      <c r="A61" s="1"/>
      <c r="B61" s="1" t="s">
        <v>98</v>
      </c>
      <c r="C61" s="1" t="s">
        <v>77</v>
      </c>
      <c r="D61" s="1">
        <v>14</v>
      </c>
      <c r="E61" s="13">
        <v>1400</v>
      </c>
      <c r="G61" s="1"/>
      <c r="H61" s="1" t="s">
        <v>190</v>
      </c>
      <c r="I61" s="1" t="s">
        <v>79</v>
      </c>
      <c r="J61" s="1">
        <v>8</v>
      </c>
      <c r="K61" s="13">
        <v>1200</v>
      </c>
    </row>
    <row r="62" spans="1:12">
      <c r="A62" s="1"/>
      <c r="B62" s="1" t="s">
        <v>191</v>
      </c>
      <c r="C62" s="1" t="s">
        <v>77</v>
      </c>
      <c r="D62" s="1">
        <v>9</v>
      </c>
      <c r="E62" s="13">
        <v>900</v>
      </c>
      <c r="G62" s="1"/>
      <c r="H62" s="1" t="s">
        <v>6</v>
      </c>
      <c r="I62" s="1" t="s">
        <v>79</v>
      </c>
      <c r="J62" s="1">
        <v>10</v>
      </c>
      <c r="K62" s="13">
        <v>1500</v>
      </c>
    </row>
    <row r="63" spans="1:12">
      <c r="A63" s="1"/>
      <c r="B63" s="1" t="s">
        <v>189</v>
      </c>
      <c r="C63" s="1" t="s">
        <v>79</v>
      </c>
      <c r="D63" s="1">
        <v>6</v>
      </c>
      <c r="E63" s="13">
        <v>900</v>
      </c>
      <c r="G63" s="1"/>
      <c r="H63" s="1" t="s">
        <v>78</v>
      </c>
      <c r="I63" s="1" t="s">
        <v>79</v>
      </c>
      <c r="J63" s="1">
        <v>7.9</v>
      </c>
      <c r="K63" s="13">
        <v>1185</v>
      </c>
    </row>
    <row r="64" spans="1:12">
      <c r="A64" s="1"/>
      <c r="B64" s="1" t="s">
        <v>78</v>
      </c>
      <c r="C64" s="1" t="s">
        <v>79</v>
      </c>
      <c r="D64" s="1">
        <v>7.9</v>
      </c>
      <c r="E64" s="13">
        <v>1185</v>
      </c>
      <c r="G64" s="1"/>
      <c r="H64" s="1" t="s">
        <v>81</v>
      </c>
      <c r="I64" s="1"/>
      <c r="J64" s="1">
        <v>600</v>
      </c>
      <c r="K64" s="13">
        <v>600</v>
      </c>
    </row>
    <row r="65" spans="1:11">
      <c r="A65" s="1"/>
      <c r="B65" s="1" t="s">
        <v>190</v>
      </c>
      <c r="C65" s="1" t="s">
        <v>79</v>
      </c>
      <c r="D65" s="1">
        <v>8</v>
      </c>
      <c r="E65" s="13">
        <v>1200</v>
      </c>
      <c r="G65" s="22" t="s">
        <v>83</v>
      </c>
      <c r="H65" s="1"/>
      <c r="I65" s="1"/>
      <c r="J65" s="1"/>
      <c r="K65" s="23">
        <f>SUM(K59:K64)</f>
        <v>6285</v>
      </c>
    </row>
    <row r="66" spans="1:11">
      <c r="A66" s="1"/>
      <c r="B66" s="1" t="s">
        <v>81</v>
      </c>
      <c r="C66" s="1"/>
      <c r="D66" s="1">
        <v>600</v>
      </c>
      <c r="E66" s="13">
        <v>600</v>
      </c>
      <c r="G66" s="1"/>
      <c r="H66" s="1"/>
      <c r="I66" s="1"/>
      <c r="J66" s="1"/>
      <c r="K66" s="13"/>
    </row>
    <row r="67" spans="1:11">
      <c r="A67" s="22" t="s">
        <v>83</v>
      </c>
      <c r="B67" s="1"/>
      <c r="C67" s="1"/>
      <c r="D67" s="1"/>
      <c r="E67" s="23">
        <f>SUM(E59:E66)</f>
        <v>8035</v>
      </c>
      <c r="G67" s="22" t="s">
        <v>84</v>
      </c>
      <c r="H67" s="1"/>
      <c r="I67" s="1"/>
      <c r="J67" s="1"/>
      <c r="K67" s="13"/>
    </row>
    <row r="68" spans="1:11">
      <c r="A68" s="1"/>
      <c r="B68" s="1"/>
      <c r="C68" s="1"/>
      <c r="D68" s="1"/>
      <c r="E68" s="13"/>
      <c r="G68" s="1"/>
      <c r="H68" s="1" t="s">
        <v>119</v>
      </c>
      <c r="I68" s="1"/>
      <c r="J68" s="1"/>
      <c r="K68" s="13">
        <v>875</v>
      </c>
    </row>
    <row r="69" spans="1:11">
      <c r="A69" s="22" t="s">
        <v>84</v>
      </c>
      <c r="B69" s="1"/>
      <c r="C69" s="1"/>
      <c r="D69" s="1"/>
      <c r="E69" s="13"/>
      <c r="G69" s="22" t="s">
        <v>93</v>
      </c>
      <c r="H69" s="1"/>
      <c r="I69" s="1"/>
      <c r="J69" s="1"/>
      <c r="K69" s="23">
        <v>875</v>
      </c>
    </row>
    <row r="70" spans="1:11">
      <c r="A70" s="1"/>
      <c r="B70" s="1" t="s">
        <v>119</v>
      </c>
      <c r="C70" s="1"/>
      <c r="D70" s="1"/>
      <c r="E70" s="13">
        <v>875</v>
      </c>
      <c r="G70" s="22" t="s">
        <v>85</v>
      </c>
      <c r="H70" s="1"/>
      <c r="I70" s="1"/>
      <c r="J70" s="1"/>
      <c r="K70" s="20">
        <f>K65+K69</f>
        <v>7160</v>
      </c>
    </row>
    <row r="71" spans="1:11">
      <c r="A71" s="22" t="s">
        <v>93</v>
      </c>
      <c r="B71" s="1"/>
      <c r="C71" s="1"/>
      <c r="D71" s="1"/>
      <c r="E71" s="23">
        <v>875</v>
      </c>
      <c r="G71" s="22" t="s">
        <v>86</v>
      </c>
      <c r="H71" s="1"/>
      <c r="I71" s="1"/>
      <c r="J71" s="1"/>
      <c r="K71" s="13">
        <v>13000</v>
      </c>
    </row>
    <row r="72" spans="1:11">
      <c r="A72" s="22" t="s">
        <v>85</v>
      </c>
      <c r="B72" s="1"/>
      <c r="C72" s="1"/>
      <c r="D72" s="1"/>
      <c r="E72" s="20">
        <f>E67+E71</f>
        <v>8910</v>
      </c>
      <c r="G72" s="22"/>
      <c r="H72" s="1"/>
      <c r="I72" s="1"/>
      <c r="J72" s="1"/>
      <c r="K72" s="24">
        <f>K70/K71</f>
        <v>0.55076923076923079</v>
      </c>
    </row>
    <row r="73" spans="1:11">
      <c r="A73" s="22" t="s">
        <v>86</v>
      </c>
      <c r="B73" s="1"/>
      <c r="C73" s="1"/>
      <c r="D73" s="1"/>
      <c r="E73" s="13">
        <v>15000</v>
      </c>
      <c r="G73" s="22" t="s">
        <v>87</v>
      </c>
      <c r="H73" s="1"/>
      <c r="I73" s="1"/>
      <c r="J73" s="1"/>
      <c r="K73" s="25">
        <v>0.45</v>
      </c>
    </row>
    <row r="74" spans="1:11">
      <c r="A74" s="22"/>
      <c r="B74" s="1"/>
      <c r="C74" s="1"/>
      <c r="D74" s="1"/>
      <c r="E74" s="24">
        <f>E72/E73</f>
        <v>0.59399999999999997</v>
      </c>
    </row>
    <row r="75" spans="1:11">
      <c r="A75" s="22" t="s">
        <v>87</v>
      </c>
      <c r="B75" s="1"/>
      <c r="C75" s="1"/>
      <c r="D75" s="1"/>
      <c r="E75" s="25">
        <v>0.41</v>
      </c>
    </row>
  </sheetData>
  <mergeCells count="9">
    <mergeCell ref="A38:E38"/>
    <mergeCell ref="G38:K38"/>
    <mergeCell ref="A55:E55"/>
    <mergeCell ref="G56:K56"/>
    <mergeCell ref="A1:F1"/>
    <mergeCell ref="A14:H14"/>
    <mergeCell ref="A27:B27"/>
    <mergeCell ref="A35:K36"/>
    <mergeCell ref="A56:E56"/>
  </mergeCells>
  <pageMargins left="0.7" right="0.7" top="0.75" bottom="0.75" header="0.3" footer="0.3"/>
  <pageSetup orientation="portrait" r:id="rId1"/>
  <legacyDrawing r:id="rId2"/>
</worksheet>
</file>

<file path=xl/worksheets/sheet14.xml><?xml version="1.0" encoding="utf-8"?>
<worksheet xmlns="http://schemas.openxmlformats.org/spreadsheetml/2006/main" xmlns:r="http://schemas.openxmlformats.org/officeDocument/2006/relationships">
  <sheetPr>
    <tabColor theme="6" tint="-0.249977111117893"/>
  </sheetPr>
  <dimension ref="A1:G11"/>
  <sheetViews>
    <sheetView zoomScale="120" zoomScaleNormal="120" workbookViewId="0">
      <selection activeCell="C63" sqref="C63"/>
    </sheetView>
  </sheetViews>
  <sheetFormatPr baseColWidth="10" defaultRowHeight="15"/>
  <cols>
    <col min="1" max="1" width="34.28515625" customWidth="1"/>
    <col min="3" max="3" width="57.85546875" customWidth="1"/>
    <col min="4" max="4" width="14.28515625" customWidth="1"/>
    <col min="5" max="5" width="34.7109375" customWidth="1"/>
    <col min="6" max="6" width="16.7109375" customWidth="1"/>
    <col min="7" max="7" width="12.5703125" bestFit="1" customWidth="1"/>
  </cols>
  <sheetData>
    <row r="1" spans="1:7">
      <c r="E1" s="22" t="s">
        <v>181</v>
      </c>
      <c r="F1" s="22" t="s">
        <v>179</v>
      </c>
      <c r="G1" s="22" t="s">
        <v>180</v>
      </c>
    </row>
    <row r="2" spans="1:7" ht="33.75">
      <c r="A2" s="158" t="s">
        <v>178</v>
      </c>
      <c r="B2" s="158"/>
      <c r="C2" s="158"/>
      <c r="E2" s="42" t="s">
        <v>125</v>
      </c>
      <c r="F2" s="23">
        <f>'CF,CV,GASTOS Y VENTAS'!B7</f>
        <v>350000</v>
      </c>
      <c r="G2" s="23">
        <f>F2*12</f>
        <v>4200000</v>
      </c>
    </row>
    <row r="3" spans="1:7">
      <c r="E3" s="42" t="s">
        <v>126</v>
      </c>
      <c r="F3" s="23">
        <f>'CF,CV,GASTOS Y VENTAS'!E7</f>
        <v>2016187</v>
      </c>
      <c r="G3" s="23">
        <f>F3*12</f>
        <v>24194244</v>
      </c>
    </row>
    <row r="4" spans="1:7">
      <c r="E4" s="42" t="s">
        <v>127</v>
      </c>
      <c r="F4" s="23">
        <v>5100000</v>
      </c>
      <c r="G4" s="23">
        <f>F4*12</f>
        <v>61200000</v>
      </c>
    </row>
    <row r="5" spans="1:7">
      <c r="E5" s="42" t="s">
        <v>129</v>
      </c>
      <c r="F5" s="43">
        <v>12750</v>
      </c>
      <c r="G5" s="23"/>
    </row>
    <row r="7" spans="1:7">
      <c r="A7" s="44" t="s">
        <v>186</v>
      </c>
      <c r="B7" s="44"/>
      <c r="C7" s="44" t="s">
        <v>184</v>
      </c>
      <c r="D7" s="44" t="s">
        <v>182</v>
      </c>
      <c r="E7" s="44" t="s">
        <v>183</v>
      </c>
      <c r="F7" s="44" t="s">
        <v>185</v>
      </c>
    </row>
    <row r="8" spans="1:7">
      <c r="A8" s="162" t="s">
        <v>124</v>
      </c>
      <c r="B8" s="164" t="s">
        <v>122</v>
      </c>
      <c r="C8" s="164" t="s">
        <v>123</v>
      </c>
      <c r="D8" s="166">
        <f>F2/(1-F3/F4)</f>
        <v>578828.87191927654</v>
      </c>
      <c r="E8" s="166">
        <f>D8*12</f>
        <v>6945946.463031318</v>
      </c>
      <c r="F8" s="162" t="s">
        <v>131</v>
      </c>
    </row>
    <row r="9" spans="1:7">
      <c r="A9" s="163"/>
      <c r="B9" s="165"/>
      <c r="C9" s="165"/>
      <c r="D9" s="167"/>
      <c r="E9" s="167"/>
      <c r="F9" s="163"/>
    </row>
    <row r="10" spans="1:7">
      <c r="A10" s="162" t="s">
        <v>128</v>
      </c>
      <c r="B10" s="164" t="s">
        <v>122</v>
      </c>
      <c r="C10" s="164" t="s">
        <v>130</v>
      </c>
      <c r="D10" s="166">
        <f>D8/F5</f>
        <v>45.398342895629533</v>
      </c>
      <c r="E10" s="166">
        <f>D10*12</f>
        <v>544.78011474755442</v>
      </c>
      <c r="F10" s="162" t="s">
        <v>132</v>
      </c>
    </row>
    <row r="11" spans="1:7">
      <c r="A11" s="163"/>
      <c r="B11" s="165"/>
      <c r="C11" s="165"/>
      <c r="D11" s="167"/>
      <c r="E11" s="167"/>
      <c r="F11" s="163"/>
    </row>
  </sheetData>
  <mergeCells count="13">
    <mergeCell ref="E8:E9"/>
    <mergeCell ref="F8:F9"/>
    <mergeCell ref="D10:D11"/>
    <mergeCell ref="E10:E11"/>
    <mergeCell ref="F10:F11"/>
    <mergeCell ref="D8:D9"/>
    <mergeCell ref="A2:C2"/>
    <mergeCell ref="A8:A9"/>
    <mergeCell ref="A10:A11"/>
    <mergeCell ref="C8:C9"/>
    <mergeCell ref="C10:C11"/>
    <mergeCell ref="B8:B9"/>
    <mergeCell ref="B10:B11"/>
  </mergeCells>
  <pageMargins left="0.7" right="0.7" top="0.75" bottom="0.75" header="0.3" footer="0.3"/>
  <pageSetup orientation="portrait" r:id="rId1"/>
  <drawing r:id="rId2"/>
</worksheet>
</file>

<file path=xl/worksheets/sheet15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G11"/>
  <sheetViews>
    <sheetView workbookViewId="0">
      <selection activeCell="C31" sqref="C31"/>
    </sheetView>
  </sheetViews>
  <sheetFormatPr baseColWidth="10" defaultRowHeight="15"/>
  <cols>
    <col min="1" max="1" width="34.28515625" customWidth="1"/>
    <col min="3" max="3" width="57.85546875" customWidth="1"/>
    <col min="4" max="4" width="14.28515625" customWidth="1"/>
    <col min="5" max="5" width="37.28515625" customWidth="1"/>
    <col min="6" max="6" width="16.7109375" customWidth="1"/>
    <col min="7" max="7" width="16.28515625" customWidth="1"/>
  </cols>
  <sheetData>
    <row r="1" spans="1:7" ht="15" customHeight="1">
      <c r="A1" s="168" t="s">
        <v>178</v>
      </c>
      <c r="B1" s="169"/>
      <c r="C1" s="169"/>
      <c r="E1" s="91" t="s">
        <v>181</v>
      </c>
      <c r="F1" s="91" t="s">
        <v>179</v>
      </c>
      <c r="G1" s="91" t="s">
        <v>180</v>
      </c>
    </row>
    <row r="2" spans="1:7" ht="33.75" customHeight="1">
      <c r="A2" s="170"/>
      <c r="B2" s="171"/>
      <c r="C2" s="171"/>
      <c r="E2" s="42" t="s">
        <v>125</v>
      </c>
      <c r="F2" s="23">
        <f>COSTOS!D20</f>
        <v>740000</v>
      </c>
      <c r="G2" s="23">
        <f>F2*12</f>
        <v>8880000</v>
      </c>
    </row>
    <row r="3" spans="1:7">
      <c r="E3" s="42" t="s">
        <v>126</v>
      </c>
      <c r="F3" s="23">
        <f>COSTOS!D7+COSTOS!D13</f>
        <v>3407907.55</v>
      </c>
      <c r="G3" s="23">
        <f>F3*12</f>
        <v>40894890.599999994</v>
      </c>
    </row>
    <row r="4" spans="1:7">
      <c r="E4" s="42" t="s">
        <v>127</v>
      </c>
      <c r="F4" s="23">
        <f>VENTAS!D7</f>
        <v>6630000</v>
      </c>
      <c r="G4" s="23">
        <f>F4*12</f>
        <v>79560000</v>
      </c>
    </row>
    <row r="5" spans="1:7">
      <c r="E5" s="42" t="s">
        <v>318</v>
      </c>
      <c r="F5" s="43">
        <v>12750</v>
      </c>
      <c r="G5" s="23"/>
    </row>
    <row r="7" spans="1:7">
      <c r="A7" s="74" t="s">
        <v>186</v>
      </c>
      <c r="B7" s="74"/>
      <c r="C7" s="74" t="s">
        <v>184</v>
      </c>
      <c r="D7" s="74" t="s">
        <v>182</v>
      </c>
      <c r="E7" s="74" t="s">
        <v>183</v>
      </c>
      <c r="F7" s="74" t="s">
        <v>185</v>
      </c>
    </row>
    <row r="8" spans="1:7">
      <c r="A8" s="162" t="s">
        <v>124</v>
      </c>
      <c r="B8" s="164" t="s">
        <v>122</v>
      </c>
      <c r="C8" s="164" t="s">
        <v>123</v>
      </c>
      <c r="D8" s="166">
        <f>F2/(1-F3/F4)</f>
        <v>1522675.1175311559</v>
      </c>
      <c r="E8" s="166">
        <f>D8*12</f>
        <v>18272101.41037387</v>
      </c>
      <c r="F8" s="162" t="s">
        <v>131</v>
      </c>
    </row>
    <row r="9" spans="1:7">
      <c r="A9" s="163"/>
      <c r="B9" s="165"/>
      <c r="C9" s="165"/>
      <c r="D9" s="167"/>
      <c r="E9" s="167"/>
      <c r="F9" s="163"/>
    </row>
    <row r="10" spans="1:7">
      <c r="A10" s="162" t="s">
        <v>128</v>
      </c>
      <c r="B10" s="164" t="s">
        <v>122</v>
      </c>
      <c r="C10" s="164" t="s">
        <v>130</v>
      </c>
      <c r="D10" s="166">
        <f>D8/F5</f>
        <v>119.4254994142083</v>
      </c>
      <c r="E10" s="166">
        <f>D10*12</f>
        <v>1433.1059929704998</v>
      </c>
      <c r="F10" s="162" t="s">
        <v>132</v>
      </c>
    </row>
    <row r="11" spans="1:7">
      <c r="A11" s="163"/>
      <c r="B11" s="165"/>
      <c r="C11" s="165"/>
      <c r="D11" s="167"/>
      <c r="E11" s="167"/>
      <c r="F11" s="163"/>
    </row>
  </sheetData>
  <mergeCells count="13">
    <mergeCell ref="A1:C2"/>
    <mergeCell ref="F8:F9"/>
    <mergeCell ref="A10:A11"/>
    <mergeCell ref="B10:B11"/>
    <mergeCell ref="C10:C11"/>
    <mergeCell ref="D10:D11"/>
    <mergeCell ref="E10:E11"/>
    <mergeCell ref="F10:F11"/>
    <mergeCell ref="E8:E9"/>
    <mergeCell ref="A8:A9"/>
    <mergeCell ref="B8:B9"/>
    <mergeCell ref="C8:C9"/>
    <mergeCell ref="D8:D9"/>
  </mergeCells>
  <pageMargins left="0.7" right="0.7" top="0.75" bottom="0.75" header="0.3" footer="0.3"/>
  <pageSetup orientation="portrait" r:id="rId1"/>
  <drawing r:id="rId2"/>
</worksheet>
</file>

<file path=xl/worksheets/sheet16.xml><?xml version="1.0" encoding="utf-8"?>
<worksheet xmlns="http://schemas.openxmlformats.org/spreadsheetml/2006/main" xmlns:r="http://schemas.openxmlformats.org/officeDocument/2006/relationships">
  <dimension ref="A1:P20"/>
  <sheetViews>
    <sheetView zoomScale="90" zoomScaleNormal="90" workbookViewId="0">
      <selection activeCell="H25" sqref="H25"/>
    </sheetView>
  </sheetViews>
  <sheetFormatPr baseColWidth="10" defaultRowHeight="15"/>
  <cols>
    <col min="3" max="3" width="12.7109375" customWidth="1"/>
    <col min="4" max="4" width="14.28515625" customWidth="1"/>
    <col min="5" max="5" width="14.85546875" customWidth="1"/>
    <col min="6" max="6" width="14.42578125" customWidth="1"/>
    <col min="7" max="7" width="13.42578125" customWidth="1"/>
    <col min="8" max="8" width="12.140625" customWidth="1"/>
    <col min="9" max="9" width="11.85546875" customWidth="1"/>
    <col min="10" max="10" width="12.7109375" customWidth="1"/>
    <col min="11" max="11" width="12.28515625" customWidth="1"/>
    <col min="12" max="12" width="12" customWidth="1"/>
    <col min="13" max="13" width="12.42578125" customWidth="1"/>
    <col min="14" max="14" width="12.7109375" customWidth="1"/>
    <col min="15" max="15" width="13" bestFit="1" customWidth="1"/>
    <col min="16" max="16" width="16" bestFit="1" customWidth="1"/>
  </cols>
  <sheetData>
    <row r="1" spans="1:16" ht="21">
      <c r="A1" s="173" t="s">
        <v>319</v>
      </c>
      <c r="B1" s="173"/>
      <c r="C1" s="173"/>
      <c r="D1" s="173"/>
      <c r="E1" s="173"/>
      <c r="F1" s="173"/>
      <c r="G1" s="173"/>
      <c r="H1" s="173"/>
      <c r="I1" s="173"/>
      <c r="J1" s="173"/>
      <c r="K1" s="173"/>
      <c r="L1" s="173"/>
      <c r="M1" s="173"/>
      <c r="N1" s="173"/>
      <c r="O1" s="174" t="s">
        <v>70</v>
      </c>
      <c r="P1" s="175"/>
    </row>
    <row r="2" spans="1:16" ht="15.75">
      <c r="A2" s="132" t="s">
        <v>297</v>
      </c>
      <c r="B2" s="132"/>
      <c r="C2" s="118" t="s">
        <v>298</v>
      </c>
      <c r="D2" s="118" t="s">
        <v>299</v>
      </c>
      <c r="E2" s="118" t="s">
        <v>300</v>
      </c>
      <c r="F2" s="118" t="s">
        <v>301</v>
      </c>
      <c r="G2" s="118" t="s">
        <v>302</v>
      </c>
      <c r="H2" s="118" t="s">
        <v>303</v>
      </c>
      <c r="I2" s="118" t="s">
        <v>304</v>
      </c>
      <c r="J2" s="118" t="s">
        <v>305</v>
      </c>
      <c r="K2" s="118" t="s">
        <v>306</v>
      </c>
      <c r="L2" s="118" t="s">
        <v>307</v>
      </c>
      <c r="M2" s="118" t="s">
        <v>308</v>
      </c>
      <c r="N2" s="118" t="s">
        <v>309</v>
      </c>
      <c r="O2" s="1"/>
      <c r="P2" s="1"/>
    </row>
    <row r="3" spans="1:16" ht="15.75">
      <c r="A3" s="172" t="s">
        <v>310</v>
      </c>
      <c r="B3" s="172"/>
      <c r="C3" s="119">
        <f>VENTAS!D7</f>
        <v>6630000</v>
      </c>
      <c r="D3" s="119">
        <v>6630000</v>
      </c>
      <c r="E3" s="119">
        <v>6630000</v>
      </c>
      <c r="F3" s="119">
        <v>6630000</v>
      </c>
      <c r="G3" s="119">
        <v>6630000</v>
      </c>
      <c r="H3" s="119">
        <v>6630000</v>
      </c>
      <c r="I3" s="119">
        <v>6630000</v>
      </c>
      <c r="J3" s="119">
        <v>6630000</v>
      </c>
      <c r="K3" s="119">
        <v>6630000</v>
      </c>
      <c r="L3" s="119">
        <v>6630000</v>
      </c>
      <c r="M3" s="119">
        <v>6630000</v>
      </c>
      <c r="N3" s="119">
        <v>6630000</v>
      </c>
      <c r="O3" s="120"/>
      <c r="P3" s="120">
        <f>SUM(C3:O3)</f>
        <v>79560000</v>
      </c>
    </row>
    <row r="4" spans="1:16" ht="15.75">
      <c r="A4" s="132" t="s">
        <v>311</v>
      </c>
      <c r="B4" s="132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</row>
    <row r="5" spans="1:16" ht="15.75">
      <c r="A5" s="172" t="s">
        <v>312</v>
      </c>
      <c r="B5" s="172"/>
      <c r="C5" s="119">
        <v>20000000</v>
      </c>
      <c r="D5" s="119">
        <v>0</v>
      </c>
      <c r="E5" s="119">
        <v>0</v>
      </c>
      <c r="F5" s="119">
        <v>0</v>
      </c>
      <c r="G5" s="119">
        <v>0</v>
      </c>
      <c r="H5" s="119">
        <v>0</v>
      </c>
      <c r="I5" s="119">
        <v>0</v>
      </c>
      <c r="J5" s="119">
        <v>0</v>
      </c>
      <c r="K5" s="119">
        <v>0</v>
      </c>
      <c r="L5" s="119">
        <v>0</v>
      </c>
      <c r="M5" s="119">
        <v>0</v>
      </c>
      <c r="N5" s="119">
        <v>0</v>
      </c>
      <c r="O5" s="120"/>
      <c r="P5" s="120">
        <f>SUM(C5:O5)</f>
        <v>20000000</v>
      </c>
    </row>
    <row r="6" spans="1:16" ht="15.75">
      <c r="A6" s="176" t="s">
        <v>168</v>
      </c>
      <c r="B6" s="176"/>
      <c r="C6" s="1"/>
      <c r="D6" s="1"/>
      <c r="E6" s="1"/>
      <c r="F6" s="1"/>
      <c r="G6" s="1"/>
      <c r="H6" s="1"/>
      <c r="I6" s="1"/>
      <c r="J6" s="1"/>
      <c r="K6" s="1"/>
      <c r="L6" s="1"/>
      <c r="M6" s="1"/>
      <c r="N6" s="1"/>
      <c r="O6" s="1"/>
      <c r="P6" s="1"/>
    </row>
    <row r="7" spans="1:16" ht="15.75">
      <c r="A7" s="177" t="s">
        <v>156</v>
      </c>
      <c r="B7" s="177"/>
      <c r="C7" s="119">
        <v>862000</v>
      </c>
      <c r="D7" s="119">
        <v>862000</v>
      </c>
      <c r="E7" s="119">
        <v>862000</v>
      </c>
      <c r="F7" s="119">
        <v>862000</v>
      </c>
      <c r="G7" s="119">
        <v>862000</v>
      </c>
      <c r="H7" s="119">
        <v>862000</v>
      </c>
      <c r="I7" s="119">
        <v>862000</v>
      </c>
      <c r="J7" s="119">
        <v>862000</v>
      </c>
      <c r="K7" s="119">
        <v>862000</v>
      </c>
      <c r="L7" s="119">
        <v>862000</v>
      </c>
      <c r="M7" s="119">
        <v>862000</v>
      </c>
      <c r="N7" s="119">
        <v>862000</v>
      </c>
      <c r="O7" s="120"/>
      <c r="P7" s="120">
        <f>SUM(C7:O7)</f>
        <v>10344000</v>
      </c>
    </row>
    <row r="8" spans="1:16" ht="15.75">
      <c r="A8" s="177" t="s">
        <v>155</v>
      </c>
      <c r="B8" s="177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</row>
    <row r="9" spans="1:16" ht="15.75">
      <c r="A9" s="177" t="s">
        <v>313</v>
      </c>
      <c r="B9" s="177"/>
      <c r="C9" s="119">
        <v>1506900</v>
      </c>
      <c r="D9" s="119">
        <v>1506900</v>
      </c>
      <c r="E9" s="119">
        <v>1506900</v>
      </c>
      <c r="F9" s="119">
        <v>1506900</v>
      </c>
      <c r="G9" s="119">
        <v>1506900</v>
      </c>
      <c r="H9" s="119">
        <v>1506900</v>
      </c>
      <c r="I9" s="119">
        <v>1506900</v>
      </c>
      <c r="J9" s="119">
        <v>1506900</v>
      </c>
      <c r="K9" s="119">
        <v>1506900</v>
      </c>
      <c r="L9" s="119">
        <v>1506900</v>
      </c>
      <c r="M9" s="119">
        <v>1506900</v>
      </c>
      <c r="N9" s="119">
        <v>1506900</v>
      </c>
      <c r="O9" s="121">
        <f>SUM(C9:N9)</f>
        <v>18082800</v>
      </c>
      <c r="P9" s="178">
        <f>O9+O10</f>
        <v>30550896</v>
      </c>
    </row>
    <row r="10" spans="1:16" ht="15.75">
      <c r="A10" s="177" t="s">
        <v>314</v>
      </c>
      <c r="B10" s="177"/>
      <c r="C10" s="119">
        <v>1039008</v>
      </c>
      <c r="D10" s="119">
        <v>1039008</v>
      </c>
      <c r="E10" s="119">
        <v>1039008</v>
      </c>
      <c r="F10" s="119">
        <v>1039008</v>
      </c>
      <c r="G10" s="119">
        <v>1039008</v>
      </c>
      <c r="H10" s="119">
        <v>1039008</v>
      </c>
      <c r="I10" s="119">
        <v>1039008</v>
      </c>
      <c r="J10" s="119">
        <v>1039008</v>
      </c>
      <c r="K10" s="119">
        <v>1039008</v>
      </c>
      <c r="L10" s="119">
        <v>1039008</v>
      </c>
      <c r="M10" s="119">
        <v>1039008</v>
      </c>
      <c r="N10" s="119">
        <v>1039008</v>
      </c>
      <c r="O10" s="121">
        <f>SUM(C10:N10)</f>
        <v>12468096</v>
      </c>
      <c r="P10" s="179"/>
    </row>
    <row r="11" spans="1:16" ht="15.75">
      <c r="A11" s="177" t="s">
        <v>242</v>
      </c>
      <c r="B11" s="177"/>
      <c r="C11" s="119">
        <v>740000</v>
      </c>
      <c r="D11" s="119">
        <v>740000</v>
      </c>
      <c r="E11" s="119">
        <v>740000</v>
      </c>
      <c r="F11" s="119">
        <v>740000</v>
      </c>
      <c r="G11" s="119">
        <v>740000</v>
      </c>
      <c r="H11" s="119">
        <v>740000</v>
      </c>
      <c r="I11" s="119">
        <v>740000</v>
      </c>
      <c r="J11" s="119">
        <v>740000</v>
      </c>
      <c r="K11" s="119">
        <v>740000</v>
      </c>
      <c r="L11" s="119">
        <v>740000</v>
      </c>
      <c r="M11" s="119">
        <v>740000</v>
      </c>
      <c r="N11" s="119">
        <v>740000</v>
      </c>
      <c r="O11" s="1"/>
      <c r="P11" s="120">
        <f>SUM(C11:O11)</f>
        <v>8880000</v>
      </c>
    </row>
    <row r="12" spans="1:16" ht="15.75">
      <c r="A12" s="176" t="s">
        <v>170</v>
      </c>
      <c r="B12" s="176"/>
      <c r="C12" s="119">
        <v>833300</v>
      </c>
      <c r="D12" s="119">
        <v>833300</v>
      </c>
      <c r="E12" s="119">
        <v>833300</v>
      </c>
      <c r="F12" s="119">
        <v>833300</v>
      </c>
      <c r="G12" s="119">
        <v>833300</v>
      </c>
      <c r="H12" s="119">
        <v>833300</v>
      </c>
      <c r="I12" s="119">
        <v>833300</v>
      </c>
      <c r="J12" s="119">
        <v>833300</v>
      </c>
      <c r="K12" s="119">
        <v>833300</v>
      </c>
      <c r="L12" s="119">
        <v>833300</v>
      </c>
      <c r="M12" s="119">
        <v>833300</v>
      </c>
      <c r="N12" s="119">
        <v>833300</v>
      </c>
      <c r="O12" s="1"/>
      <c r="P12" s="120">
        <f>SUM(C12:O12)</f>
        <v>9999600</v>
      </c>
    </row>
    <row r="13" spans="1:16" ht="15.75">
      <c r="A13" s="176" t="s">
        <v>315</v>
      </c>
      <c r="B13" s="176"/>
      <c r="C13" s="119"/>
      <c r="D13" s="119"/>
      <c r="E13" s="119"/>
      <c r="F13" s="119"/>
      <c r="G13" s="119"/>
      <c r="H13" s="119"/>
      <c r="I13" s="119"/>
      <c r="J13" s="119"/>
      <c r="K13" s="119"/>
      <c r="L13" s="119"/>
      <c r="M13" s="119"/>
      <c r="N13" s="119"/>
      <c r="O13" s="1"/>
      <c r="P13" s="83">
        <f>P3-(P5+P7+P9+P11+P12)</f>
        <v>-214496</v>
      </c>
    </row>
    <row r="14" spans="1:16" ht="15.75">
      <c r="A14" s="132" t="s">
        <v>316</v>
      </c>
      <c r="B14" s="132"/>
      <c r="C14" s="119">
        <v>25000000</v>
      </c>
      <c r="D14" s="119">
        <v>0</v>
      </c>
      <c r="E14" s="119">
        <v>0</v>
      </c>
      <c r="F14" s="119">
        <v>0</v>
      </c>
      <c r="G14" s="119">
        <v>0</v>
      </c>
      <c r="H14" s="119">
        <v>0</v>
      </c>
      <c r="I14" s="119">
        <v>0</v>
      </c>
      <c r="J14" s="119">
        <v>0</v>
      </c>
      <c r="K14" s="119">
        <v>0</v>
      </c>
      <c r="L14" s="119">
        <v>0</v>
      </c>
      <c r="M14" s="119">
        <v>0</v>
      </c>
      <c r="N14" s="119">
        <v>0</v>
      </c>
      <c r="O14" s="1"/>
      <c r="P14" s="120">
        <f>SUM(C14:N14)</f>
        <v>25000000</v>
      </c>
    </row>
    <row r="15" spans="1:16" ht="15.75">
      <c r="A15" s="132" t="s">
        <v>317</v>
      </c>
      <c r="B15" s="132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19">
        <f>P14+P13</f>
        <v>24785504</v>
      </c>
    </row>
    <row r="16" spans="1:16">
      <c r="A16" s="180"/>
      <c r="B16" s="180"/>
    </row>
    <row r="17" spans="1:2">
      <c r="A17" s="180"/>
      <c r="B17" s="180"/>
    </row>
    <row r="18" spans="1:2">
      <c r="A18" s="180"/>
      <c r="B18" s="180"/>
    </row>
    <row r="19" spans="1:2">
      <c r="A19" s="180"/>
      <c r="B19" s="180"/>
    </row>
    <row r="20" spans="1:2">
      <c r="A20" s="180"/>
      <c r="B20" s="180"/>
    </row>
  </sheetData>
  <mergeCells count="22">
    <mergeCell ref="A17:B17"/>
    <mergeCell ref="A18:B18"/>
    <mergeCell ref="A19:B19"/>
    <mergeCell ref="A20:B20"/>
    <mergeCell ref="A11:B11"/>
    <mergeCell ref="A12:B12"/>
    <mergeCell ref="A13:B13"/>
    <mergeCell ref="A14:B14"/>
    <mergeCell ref="A15:B15"/>
    <mergeCell ref="A16:B16"/>
    <mergeCell ref="A6:B6"/>
    <mergeCell ref="A7:B7"/>
    <mergeCell ref="A8:B8"/>
    <mergeCell ref="A9:B9"/>
    <mergeCell ref="P9:P10"/>
    <mergeCell ref="A10:B10"/>
    <mergeCell ref="A5:B5"/>
    <mergeCell ref="A1:N1"/>
    <mergeCell ref="O1:P1"/>
    <mergeCell ref="A2:B2"/>
    <mergeCell ref="A3:B3"/>
    <mergeCell ref="A4:B4"/>
  </mergeCells>
  <pageMargins left="0.7" right="0.7" top="0.75" bottom="0.75" header="0.3" footer="0.3"/>
  <pageSetup paperSize="9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F22"/>
  <sheetViews>
    <sheetView workbookViewId="0">
      <selection activeCell="B27" sqref="B27"/>
    </sheetView>
  </sheetViews>
  <sheetFormatPr baseColWidth="10" defaultRowHeight="15"/>
  <cols>
    <col min="1" max="1" width="30.140625" customWidth="1"/>
    <col min="2" max="2" width="32.85546875" customWidth="1"/>
    <col min="3" max="3" width="28" customWidth="1"/>
    <col min="4" max="4" width="29.140625" customWidth="1"/>
    <col min="5" max="5" width="24.85546875" customWidth="1"/>
    <col min="6" max="6" width="28.5703125" customWidth="1"/>
  </cols>
  <sheetData>
    <row r="1" spans="1:6" ht="26.25">
      <c r="A1" s="122" t="s">
        <v>196</v>
      </c>
      <c r="B1" s="122"/>
      <c r="C1" s="122"/>
      <c r="D1" s="122"/>
      <c r="E1" s="122"/>
    </row>
    <row r="2" spans="1:6" ht="18.75">
      <c r="A2" s="84" t="s">
        <v>197</v>
      </c>
      <c r="B2" s="84" t="s">
        <v>295</v>
      </c>
      <c r="C2" s="84" t="s">
        <v>296</v>
      </c>
      <c r="D2" s="84" t="s">
        <v>198</v>
      </c>
      <c r="E2" s="85" t="s">
        <v>200</v>
      </c>
    </row>
    <row r="3" spans="1:6" ht="15.75">
      <c r="A3" s="63" t="s">
        <v>105</v>
      </c>
      <c r="B3" s="58">
        <v>130</v>
      </c>
      <c r="C3" s="80">
        <v>11000</v>
      </c>
      <c r="D3" s="80">
        <f>+B3*C3</f>
        <v>1430000</v>
      </c>
      <c r="E3" s="80">
        <f>+D3*12</f>
        <v>17160000</v>
      </c>
    </row>
    <row r="4" spans="1:6" ht="15.75">
      <c r="A4" s="63" t="s">
        <v>106</v>
      </c>
      <c r="B4" s="58">
        <v>130</v>
      </c>
      <c r="C4" s="80">
        <v>12000</v>
      </c>
      <c r="D4" s="80">
        <f t="shared" ref="D4:D6" si="0">+B4*C4</f>
        <v>1560000</v>
      </c>
      <c r="E4" s="80">
        <f t="shared" ref="E4:E6" si="1">+D4*12</f>
        <v>18720000</v>
      </c>
    </row>
    <row r="5" spans="1:6" ht="15.75">
      <c r="A5" s="63" t="s">
        <v>107</v>
      </c>
      <c r="B5" s="58">
        <v>130</v>
      </c>
      <c r="C5" s="80">
        <v>15000</v>
      </c>
      <c r="D5" s="80">
        <f t="shared" si="0"/>
        <v>1950000</v>
      </c>
      <c r="E5" s="80">
        <f t="shared" si="1"/>
        <v>23400000</v>
      </c>
    </row>
    <row r="6" spans="1:6" ht="15.75">
      <c r="A6" s="63" t="s">
        <v>108</v>
      </c>
      <c r="B6" s="58">
        <v>130</v>
      </c>
      <c r="C6" s="80">
        <v>13000</v>
      </c>
      <c r="D6" s="80">
        <f t="shared" si="0"/>
        <v>1690000</v>
      </c>
      <c r="E6" s="80">
        <f t="shared" si="1"/>
        <v>20280000</v>
      </c>
    </row>
    <row r="7" spans="1:6" ht="15.75">
      <c r="A7" s="78" t="s">
        <v>321</v>
      </c>
      <c r="B7" s="117">
        <f>SUM(B3:B6)</f>
        <v>520</v>
      </c>
      <c r="C7" s="80">
        <f t="shared" ref="C7:E7" si="2">SUM(C3:C6)</f>
        <v>51000</v>
      </c>
      <c r="D7" s="81">
        <f t="shared" si="2"/>
        <v>6630000</v>
      </c>
      <c r="E7" s="81">
        <f t="shared" si="2"/>
        <v>79560000</v>
      </c>
    </row>
    <row r="8" spans="1:6">
      <c r="E8" s="82"/>
    </row>
    <row r="10" spans="1:6" ht="26.25">
      <c r="A10" s="122" t="s">
        <v>270</v>
      </c>
      <c r="B10" s="122"/>
      <c r="C10" s="122"/>
      <c r="D10" s="122"/>
      <c r="E10" s="122"/>
    </row>
    <row r="11" spans="1:6" ht="15.75">
      <c r="A11" s="78" t="s">
        <v>201</v>
      </c>
      <c r="B11" s="30" t="s">
        <v>207</v>
      </c>
      <c r="C11" s="89">
        <v>0.05</v>
      </c>
      <c r="D11" s="1"/>
      <c r="E11" s="1"/>
      <c r="F11" s="1"/>
    </row>
    <row r="12" spans="1:6" ht="15.75">
      <c r="A12" s="86"/>
      <c r="B12" s="87" t="s">
        <v>202</v>
      </c>
      <c r="C12" s="87" t="s">
        <v>203</v>
      </c>
      <c r="D12" s="87" t="s">
        <v>204</v>
      </c>
      <c r="E12" s="87" t="s">
        <v>205</v>
      </c>
      <c r="F12" s="87" t="s">
        <v>206</v>
      </c>
    </row>
    <row r="13" spans="1:6" ht="15.75">
      <c r="A13" s="63" t="s">
        <v>105</v>
      </c>
      <c r="B13" s="80">
        <f>+E3</f>
        <v>17160000</v>
      </c>
      <c r="C13" s="80">
        <f>+B13*(1+$C$11)</f>
        <v>18018000</v>
      </c>
      <c r="D13" s="80">
        <f t="shared" ref="D13:F13" si="3">+C13*(1+$C$11)</f>
        <v>18918900</v>
      </c>
      <c r="E13" s="80">
        <f t="shared" si="3"/>
        <v>19864845</v>
      </c>
      <c r="F13" s="80">
        <f t="shared" si="3"/>
        <v>20858087.25</v>
      </c>
    </row>
    <row r="14" spans="1:6" ht="15.75">
      <c r="A14" s="63" t="s">
        <v>106</v>
      </c>
      <c r="B14" s="80">
        <f>+E4</f>
        <v>18720000</v>
      </c>
      <c r="C14" s="80">
        <f t="shared" ref="C14:F17" si="4">+B14*(1+$C$11)</f>
        <v>19656000</v>
      </c>
      <c r="D14" s="80">
        <f t="shared" si="4"/>
        <v>20638800</v>
      </c>
      <c r="E14" s="80">
        <f t="shared" si="4"/>
        <v>21670740</v>
      </c>
      <c r="F14" s="80">
        <f t="shared" si="4"/>
        <v>22754277</v>
      </c>
    </row>
    <row r="15" spans="1:6" ht="15.75">
      <c r="A15" s="63" t="s">
        <v>107</v>
      </c>
      <c r="B15" s="80">
        <f>+E5</f>
        <v>23400000</v>
      </c>
      <c r="C15" s="80">
        <f t="shared" si="4"/>
        <v>24570000</v>
      </c>
      <c r="D15" s="80">
        <f t="shared" si="4"/>
        <v>25798500</v>
      </c>
      <c r="E15" s="80">
        <f t="shared" si="4"/>
        <v>27088425</v>
      </c>
      <c r="F15" s="80">
        <f t="shared" si="4"/>
        <v>28442846.25</v>
      </c>
    </row>
    <row r="16" spans="1:6" ht="15.75">
      <c r="A16" s="63" t="s">
        <v>108</v>
      </c>
      <c r="B16" s="80">
        <f>+E6</f>
        <v>20280000</v>
      </c>
      <c r="C16" s="80">
        <f t="shared" si="4"/>
        <v>21294000</v>
      </c>
      <c r="D16" s="80">
        <f t="shared" si="4"/>
        <v>22358700</v>
      </c>
      <c r="E16" s="80">
        <f t="shared" si="4"/>
        <v>23476635</v>
      </c>
      <c r="F16" s="80">
        <f t="shared" si="4"/>
        <v>24650466.75</v>
      </c>
    </row>
    <row r="17" spans="1:6" ht="15.75">
      <c r="A17" s="79" t="s">
        <v>199</v>
      </c>
      <c r="B17" s="81">
        <f>SUM(B13:B16)</f>
        <v>79560000</v>
      </c>
      <c r="C17" s="81">
        <f t="shared" si="4"/>
        <v>83538000</v>
      </c>
      <c r="D17" s="81">
        <f t="shared" si="4"/>
        <v>87714900</v>
      </c>
      <c r="E17" s="81">
        <f t="shared" si="4"/>
        <v>92100645</v>
      </c>
      <c r="F17" s="81">
        <f t="shared" si="4"/>
        <v>96705677.25</v>
      </c>
    </row>
    <row r="22" spans="1:6">
      <c r="B22" s="88"/>
    </row>
  </sheetData>
  <mergeCells count="2">
    <mergeCell ref="A1:E1"/>
    <mergeCell ref="A10:E10"/>
  </mergeCells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D6"/>
  <sheetViews>
    <sheetView workbookViewId="0">
      <selection activeCell="C10" sqref="C10"/>
    </sheetView>
  </sheetViews>
  <sheetFormatPr baseColWidth="10" defaultRowHeight="15"/>
  <cols>
    <col min="1" max="1" width="25.7109375" customWidth="1"/>
    <col min="2" max="2" width="20.5703125" customWidth="1"/>
    <col min="3" max="3" width="25.5703125" customWidth="1"/>
    <col min="4" max="4" width="27.42578125" customWidth="1"/>
  </cols>
  <sheetData>
    <row r="1" spans="1:4" ht="28.5" customHeight="1">
      <c r="A1" s="126" t="s">
        <v>154</v>
      </c>
      <c r="B1" s="126"/>
      <c r="C1" s="126"/>
      <c r="D1" s="126"/>
    </row>
    <row r="2" spans="1:4">
      <c r="A2" s="91" t="s">
        <v>210</v>
      </c>
      <c r="B2" s="91" t="s">
        <v>277</v>
      </c>
      <c r="C2" s="91" t="s">
        <v>280</v>
      </c>
      <c r="D2" s="91" t="s">
        <v>281</v>
      </c>
    </row>
    <row r="3" spans="1:4">
      <c r="A3" s="1" t="s">
        <v>194</v>
      </c>
      <c r="B3" s="1">
        <v>12</v>
      </c>
      <c r="C3" s="83">
        <v>450000</v>
      </c>
      <c r="D3" s="83">
        <f>+C3*B3</f>
        <v>5400000</v>
      </c>
    </row>
    <row r="4" spans="1:4">
      <c r="A4" s="1" t="s">
        <v>195</v>
      </c>
      <c r="B4" s="1">
        <v>12</v>
      </c>
      <c r="C4" s="83">
        <v>383300</v>
      </c>
      <c r="D4" s="83">
        <f>+C4*B4</f>
        <v>4599600</v>
      </c>
    </row>
    <row r="5" spans="1:4">
      <c r="A5" s="1"/>
      <c r="B5" s="1"/>
      <c r="C5" s="83"/>
      <c r="D5" s="83"/>
    </row>
    <row r="6" spans="1:4">
      <c r="A6" s="22" t="s">
        <v>279</v>
      </c>
      <c r="B6" s="1">
        <f>SUM(B3:B5)</f>
        <v>24</v>
      </c>
      <c r="C6" s="90">
        <f t="shared" ref="C6:D6" si="0">SUM(C3:C5)</f>
        <v>833300</v>
      </c>
      <c r="D6" s="90">
        <f t="shared" si="0"/>
        <v>9999600</v>
      </c>
    </row>
  </sheetData>
  <mergeCells count="1">
    <mergeCell ref="A1:D1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E21"/>
  <sheetViews>
    <sheetView workbookViewId="0">
      <selection activeCell="F13" sqref="F13"/>
    </sheetView>
  </sheetViews>
  <sheetFormatPr baseColWidth="10" defaultRowHeight="15"/>
  <cols>
    <col min="1" max="1" width="37" bestFit="1" customWidth="1"/>
    <col min="2" max="2" width="20.7109375" customWidth="1"/>
    <col min="3" max="3" width="21" customWidth="1"/>
    <col min="4" max="4" width="26.85546875" customWidth="1"/>
    <col min="5" max="5" width="24.42578125" customWidth="1"/>
  </cols>
  <sheetData>
    <row r="1" spans="1:5" ht="37.5" customHeight="1">
      <c r="A1" s="127" t="s">
        <v>271</v>
      </c>
      <c r="B1" s="128"/>
      <c r="C1" s="128"/>
      <c r="D1" s="128"/>
      <c r="E1" s="129"/>
    </row>
    <row r="2" spans="1:5" ht="15.75">
      <c r="A2" s="130" t="s">
        <v>272</v>
      </c>
      <c r="B2" s="131"/>
      <c r="C2" s="131"/>
      <c r="D2" s="131"/>
      <c r="E2" s="131"/>
    </row>
    <row r="3" spans="1:5">
      <c r="A3" s="91" t="s">
        <v>216</v>
      </c>
      <c r="B3" s="91" t="s">
        <v>217</v>
      </c>
      <c r="C3" s="91" t="s">
        <v>277</v>
      </c>
      <c r="D3" s="91" t="s">
        <v>274</v>
      </c>
      <c r="E3" s="91" t="s">
        <v>275</v>
      </c>
    </row>
    <row r="4" spans="1:5">
      <c r="A4" s="3" t="s">
        <v>288</v>
      </c>
      <c r="B4" s="3" t="s">
        <v>218</v>
      </c>
      <c r="C4" s="3">
        <v>12</v>
      </c>
      <c r="D4" s="93">
        <f>'Insumos Mercado 2016 '!E30</f>
        <v>862000</v>
      </c>
      <c r="E4" s="93">
        <f>+C4*D4</f>
        <v>10344000</v>
      </c>
    </row>
    <row r="5" spans="1:5">
      <c r="A5" s="3"/>
      <c r="B5" s="3"/>
      <c r="C5" s="3"/>
      <c r="D5" s="60"/>
      <c r="E5" s="93">
        <f>+C5*D5</f>
        <v>0</v>
      </c>
    </row>
    <row r="6" spans="1:5">
      <c r="A6" s="3"/>
      <c r="B6" s="3"/>
      <c r="C6" s="3"/>
      <c r="D6" s="60"/>
      <c r="E6" s="93">
        <f>+D6*C6</f>
        <v>0</v>
      </c>
    </row>
    <row r="7" spans="1:5">
      <c r="A7" s="92" t="s">
        <v>199</v>
      </c>
      <c r="B7" s="3"/>
      <c r="C7" s="3"/>
      <c r="D7" s="94">
        <f>SUM(D4:D6)</f>
        <v>862000</v>
      </c>
      <c r="E7" s="94">
        <f>SUM(E4:E6)</f>
        <v>10344000</v>
      </c>
    </row>
    <row r="8" spans="1:5" ht="15.75">
      <c r="A8" s="132" t="s">
        <v>273</v>
      </c>
      <c r="B8" s="132"/>
      <c r="C8" s="132"/>
      <c r="D8" s="132"/>
      <c r="E8" s="132"/>
    </row>
    <row r="9" spans="1:5">
      <c r="A9" s="22" t="s">
        <v>219</v>
      </c>
      <c r="B9" s="95">
        <v>0.50690000000000002</v>
      </c>
      <c r="C9" s="1"/>
      <c r="D9" s="1"/>
      <c r="E9" s="1"/>
    </row>
    <row r="10" spans="1:5">
      <c r="A10" s="91" t="s">
        <v>220</v>
      </c>
      <c r="B10" s="91" t="s">
        <v>221</v>
      </c>
      <c r="C10" s="91" t="s">
        <v>222</v>
      </c>
      <c r="D10" s="91" t="s">
        <v>223</v>
      </c>
      <c r="E10" s="91" t="s">
        <v>224</v>
      </c>
    </row>
    <row r="11" spans="1:5">
      <c r="A11" s="3" t="s">
        <v>225</v>
      </c>
      <c r="B11" s="93">
        <v>689500</v>
      </c>
      <c r="C11" s="93">
        <f>+B11*$B$9</f>
        <v>349507.55</v>
      </c>
      <c r="D11" s="93">
        <f>+B11+C11</f>
        <v>1039007.55</v>
      </c>
      <c r="E11" s="93">
        <f>+D11*12</f>
        <v>12468090.600000001</v>
      </c>
    </row>
    <row r="12" spans="1:5">
      <c r="A12" s="3" t="s">
        <v>229</v>
      </c>
      <c r="B12" s="93">
        <v>1000000</v>
      </c>
      <c r="C12" s="93">
        <f t="shared" ref="C12" si="0">+B12*$B$9</f>
        <v>506900</v>
      </c>
      <c r="D12" s="93">
        <f>+B12+C12</f>
        <v>1506900</v>
      </c>
      <c r="E12" s="93">
        <f t="shared" ref="E12" si="1">+D12*12</f>
        <v>18082800</v>
      </c>
    </row>
    <row r="13" spans="1:5">
      <c r="A13" s="92" t="s">
        <v>199</v>
      </c>
      <c r="B13" s="93">
        <f>SUM(B11:B12)</f>
        <v>1689500</v>
      </c>
      <c r="C13" s="93">
        <f>SUM(C11:C12)</f>
        <v>856407.55</v>
      </c>
      <c r="D13" s="94">
        <f>SUM(D11:D12)</f>
        <v>2545907.5499999998</v>
      </c>
      <c r="E13" s="94">
        <f>SUM(E11:E12)</f>
        <v>30550890.600000001</v>
      </c>
    </row>
    <row r="14" spans="1:5" ht="15.75">
      <c r="A14" s="132" t="s">
        <v>278</v>
      </c>
      <c r="B14" s="132"/>
      <c r="C14" s="132"/>
      <c r="D14" s="132"/>
      <c r="E14" s="132"/>
    </row>
    <row r="15" spans="1:5">
      <c r="A15" s="91" t="s">
        <v>210</v>
      </c>
      <c r="B15" s="91" t="s">
        <v>211</v>
      </c>
      <c r="C15" s="91" t="s">
        <v>277</v>
      </c>
      <c r="D15" s="91" t="s">
        <v>226</v>
      </c>
      <c r="E15" s="91" t="s">
        <v>287</v>
      </c>
    </row>
    <row r="16" spans="1:5">
      <c r="A16" s="3" t="s">
        <v>96</v>
      </c>
      <c r="B16" s="3">
        <v>1</v>
      </c>
      <c r="C16" s="3">
        <v>12</v>
      </c>
      <c r="D16" s="93">
        <v>120000</v>
      </c>
      <c r="E16" s="93">
        <f>+D16*C16</f>
        <v>1440000</v>
      </c>
    </row>
    <row r="17" spans="1:5">
      <c r="A17" s="3" t="s">
        <v>227</v>
      </c>
      <c r="B17" s="3">
        <v>1</v>
      </c>
      <c r="C17" s="3">
        <v>12</v>
      </c>
      <c r="D17" s="93">
        <v>30000</v>
      </c>
      <c r="E17" s="93">
        <f>+D17*C17</f>
        <v>360000</v>
      </c>
    </row>
    <row r="18" spans="1:5">
      <c r="A18" s="3" t="s">
        <v>240</v>
      </c>
      <c r="B18" s="3">
        <v>1</v>
      </c>
      <c r="C18" s="3">
        <v>12</v>
      </c>
      <c r="D18" s="93">
        <v>350000</v>
      </c>
      <c r="E18" s="93">
        <f>+D18*C18</f>
        <v>4200000</v>
      </c>
    </row>
    <row r="19" spans="1:5">
      <c r="A19" s="3" t="s">
        <v>241</v>
      </c>
      <c r="B19" s="3">
        <v>1</v>
      </c>
      <c r="C19" s="3">
        <v>12</v>
      </c>
      <c r="D19" s="93">
        <v>240000</v>
      </c>
      <c r="E19" s="93">
        <f>+D19*C19</f>
        <v>2880000</v>
      </c>
    </row>
    <row r="20" spans="1:5">
      <c r="A20" s="92" t="s">
        <v>199</v>
      </c>
      <c r="B20" s="3"/>
      <c r="C20" s="94"/>
      <c r="D20" s="94">
        <f>SUM(D16:D19)</f>
        <v>740000</v>
      </c>
      <c r="E20" s="94">
        <f>SUM(E16:E19)</f>
        <v>8880000</v>
      </c>
    </row>
    <row r="21" spans="1:5">
      <c r="A21" s="87" t="s">
        <v>228</v>
      </c>
      <c r="B21" s="11"/>
      <c r="C21" s="11"/>
      <c r="D21" s="11"/>
      <c r="E21" s="96">
        <f>+E20+E13+E7</f>
        <v>49774890.600000001</v>
      </c>
    </row>
  </sheetData>
  <mergeCells count="4">
    <mergeCell ref="A1:E1"/>
    <mergeCell ref="A2:E2"/>
    <mergeCell ref="A8:E8"/>
    <mergeCell ref="A14:E14"/>
  </mergeCells>
  <pageMargins left="0.7" right="0.7" top="0.75" bottom="0.75" header="0.3" footer="0.3"/>
  <pageSetup paperSize="9" orientation="portrait" r:id="rId1"/>
</worksheet>
</file>

<file path=xl/worksheets/sheet5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L38"/>
  <sheetViews>
    <sheetView zoomScale="80" zoomScaleNormal="80" workbookViewId="0">
      <selection activeCell="L41" sqref="L41"/>
    </sheetView>
  </sheetViews>
  <sheetFormatPr baseColWidth="10" defaultRowHeight="15"/>
  <cols>
    <col min="1" max="1" width="30.140625" customWidth="1"/>
    <col min="2" max="2" width="18.42578125" customWidth="1"/>
    <col min="3" max="3" width="15" customWidth="1"/>
    <col min="4" max="4" width="28.7109375" customWidth="1"/>
    <col min="5" max="5" width="15.7109375" style="12" customWidth="1"/>
    <col min="6" max="6" width="16.28515625" style="33" customWidth="1"/>
    <col min="7" max="7" width="26.140625" customWidth="1"/>
    <col min="8" max="8" width="37" customWidth="1"/>
    <col min="9" max="9" width="12.140625" customWidth="1"/>
    <col min="10" max="10" width="12.5703125" customWidth="1"/>
    <col min="11" max="11" width="15.42578125" customWidth="1"/>
    <col min="12" max="12" width="12.28515625" customWidth="1"/>
    <col min="13" max="13" width="14.140625" customWidth="1"/>
    <col min="14" max="14" width="15.5703125" customWidth="1"/>
  </cols>
  <sheetData>
    <row r="1" spans="1:11" ht="15" customHeight="1">
      <c r="A1" s="133" t="s">
        <v>192</v>
      </c>
      <c r="B1" s="134"/>
      <c r="C1" s="134"/>
      <c r="D1" s="134"/>
      <c r="E1" s="134"/>
      <c r="F1" s="134"/>
      <c r="G1" s="134"/>
      <c r="H1" s="134"/>
      <c r="I1" s="134"/>
      <c r="J1" s="134"/>
      <c r="K1" s="135"/>
    </row>
    <row r="2" spans="1:11" ht="15" customHeight="1">
      <c r="A2" s="136"/>
      <c r="B2" s="137"/>
      <c r="C2" s="137"/>
      <c r="D2" s="137"/>
      <c r="E2" s="137"/>
      <c r="F2" s="137"/>
      <c r="G2" s="137"/>
      <c r="H2" s="137"/>
      <c r="I2" s="137"/>
      <c r="J2" s="137"/>
      <c r="K2" s="138"/>
    </row>
    <row r="3" spans="1:11" ht="25.5">
      <c r="A3" s="139" t="s">
        <v>289</v>
      </c>
      <c r="B3" s="139"/>
      <c r="C3" s="139"/>
      <c r="D3" s="139"/>
      <c r="E3" s="139"/>
      <c r="G3" s="140" t="s">
        <v>290</v>
      </c>
      <c r="H3" s="141"/>
      <c r="I3" s="141"/>
      <c r="J3" s="141"/>
      <c r="K3" s="142"/>
    </row>
    <row r="4" spans="1:11">
      <c r="A4" s="22" t="s">
        <v>267</v>
      </c>
      <c r="B4" s="1"/>
      <c r="C4" s="1"/>
      <c r="D4" s="1"/>
      <c r="E4" s="13"/>
      <c r="G4" s="22" t="s">
        <v>267</v>
      </c>
      <c r="H4" s="1"/>
      <c r="I4" s="1"/>
      <c r="J4" s="1"/>
      <c r="K4" s="13"/>
    </row>
    <row r="5" spans="1:11">
      <c r="A5" s="1"/>
      <c r="B5" s="22" t="s">
        <v>71</v>
      </c>
      <c r="C5" s="22" t="s">
        <v>72</v>
      </c>
      <c r="D5" s="22" t="s">
        <v>80</v>
      </c>
      <c r="E5" s="23" t="s">
        <v>75</v>
      </c>
      <c r="G5" s="1"/>
      <c r="H5" s="22" t="s">
        <v>71</v>
      </c>
      <c r="I5" s="22" t="s">
        <v>72</v>
      </c>
      <c r="J5" s="22" t="s">
        <v>80</v>
      </c>
      <c r="K5" s="23" t="s">
        <v>75</v>
      </c>
    </row>
    <row r="6" spans="1:11">
      <c r="A6" s="1"/>
      <c r="B6" s="1" t="s">
        <v>73</v>
      </c>
      <c r="C6" s="1" t="s">
        <v>74</v>
      </c>
      <c r="D6" s="1">
        <v>1.8</v>
      </c>
      <c r="E6" s="13">
        <v>450</v>
      </c>
      <c r="G6" s="1"/>
      <c r="H6" s="1" t="s">
        <v>73</v>
      </c>
      <c r="I6" s="1" t="s">
        <v>74</v>
      </c>
      <c r="J6" s="1">
        <v>1.8</v>
      </c>
      <c r="K6" s="13">
        <v>450</v>
      </c>
    </row>
    <row r="7" spans="1:11">
      <c r="A7" s="1"/>
      <c r="B7" s="1" t="s">
        <v>76</v>
      </c>
      <c r="C7" s="1" t="s">
        <v>77</v>
      </c>
      <c r="D7" s="1">
        <v>18</v>
      </c>
      <c r="E7" s="13">
        <v>1800</v>
      </c>
      <c r="G7" s="1"/>
      <c r="H7" s="1" t="s">
        <v>98</v>
      </c>
      <c r="I7" s="1" t="s">
        <v>77</v>
      </c>
      <c r="J7" s="1">
        <v>14</v>
      </c>
      <c r="K7" s="13">
        <v>1400</v>
      </c>
    </row>
    <row r="8" spans="1:11">
      <c r="A8" s="1"/>
      <c r="B8" s="1" t="s">
        <v>78</v>
      </c>
      <c r="C8" s="1" t="s">
        <v>79</v>
      </c>
      <c r="D8" s="1">
        <v>7.9</v>
      </c>
      <c r="E8" s="13">
        <v>1185</v>
      </c>
      <c r="G8" s="1"/>
      <c r="H8" s="1" t="s">
        <v>78</v>
      </c>
      <c r="I8" s="1" t="s">
        <v>79</v>
      </c>
      <c r="J8" s="1">
        <v>7.9</v>
      </c>
      <c r="K8" s="13">
        <v>1185</v>
      </c>
    </row>
    <row r="9" spans="1:11">
      <c r="A9" s="22" t="s">
        <v>83</v>
      </c>
      <c r="B9" s="1"/>
      <c r="C9" s="1"/>
      <c r="D9" s="1"/>
      <c r="E9" s="23">
        <f>SUM(E6:E8)</f>
        <v>3435</v>
      </c>
      <c r="G9" s="1"/>
      <c r="H9" s="1" t="s">
        <v>189</v>
      </c>
      <c r="I9" s="1" t="s">
        <v>79</v>
      </c>
      <c r="J9" s="1">
        <v>6</v>
      </c>
      <c r="K9" s="13">
        <v>900</v>
      </c>
    </row>
    <row r="10" spans="1:11">
      <c r="A10" s="1"/>
      <c r="B10" s="1"/>
      <c r="C10" s="1"/>
      <c r="D10" s="1"/>
      <c r="E10" s="13"/>
      <c r="G10" s="22" t="s">
        <v>83</v>
      </c>
      <c r="H10" s="1"/>
      <c r="I10" s="1"/>
      <c r="J10" s="1"/>
      <c r="K10" s="23">
        <f>SUM(K6:K9)</f>
        <v>3935</v>
      </c>
    </row>
    <row r="11" spans="1:11">
      <c r="A11" s="22" t="s">
        <v>84</v>
      </c>
      <c r="B11" s="1"/>
      <c r="C11" s="1"/>
      <c r="D11" s="1"/>
      <c r="E11" s="13"/>
      <c r="G11" s="1"/>
      <c r="H11" s="1"/>
      <c r="I11" s="1"/>
      <c r="J11" s="1"/>
      <c r="K11" s="13"/>
    </row>
    <row r="12" spans="1:11">
      <c r="A12" s="1"/>
      <c r="B12" s="1" t="s">
        <v>320</v>
      </c>
      <c r="C12" s="1"/>
      <c r="D12" s="1"/>
      <c r="E12" s="13"/>
      <c r="G12" s="22" t="s">
        <v>84</v>
      </c>
      <c r="H12" s="1"/>
      <c r="I12" s="1"/>
      <c r="J12" s="1"/>
      <c r="K12" s="13"/>
    </row>
    <row r="13" spans="1:11">
      <c r="A13" s="22" t="s">
        <v>268</v>
      </c>
      <c r="B13" s="1"/>
      <c r="C13" s="1"/>
      <c r="D13" s="1"/>
      <c r="E13" s="13">
        <v>1423</v>
      </c>
      <c r="G13" s="1"/>
      <c r="H13" s="1" t="s">
        <v>320</v>
      </c>
      <c r="I13" s="1"/>
      <c r="J13" s="1"/>
      <c r="K13" s="13"/>
    </row>
    <row r="14" spans="1:11">
      <c r="A14" s="22" t="s">
        <v>85</v>
      </c>
      <c r="B14" s="1"/>
      <c r="C14" s="1"/>
      <c r="D14" s="1"/>
      <c r="E14" s="20">
        <f>E9+E13</f>
        <v>4858</v>
      </c>
      <c r="G14" s="22" t="s">
        <v>268</v>
      </c>
      <c r="H14" s="1"/>
      <c r="I14" s="1"/>
      <c r="J14" s="1"/>
      <c r="K14" s="13">
        <v>1423</v>
      </c>
    </row>
    <row r="15" spans="1:11">
      <c r="A15" s="22" t="s">
        <v>86</v>
      </c>
      <c r="B15" s="1"/>
      <c r="C15" s="1"/>
      <c r="D15" s="1"/>
      <c r="E15" s="13">
        <v>11000</v>
      </c>
      <c r="G15" s="22" t="s">
        <v>85</v>
      </c>
      <c r="H15" s="1"/>
      <c r="I15" s="1"/>
      <c r="J15" s="1"/>
      <c r="K15" s="20">
        <f>K10+K14</f>
        <v>5358</v>
      </c>
    </row>
    <row r="16" spans="1:11">
      <c r="A16" s="75" t="s">
        <v>269</v>
      </c>
      <c r="B16" s="1"/>
      <c r="C16" s="1"/>
      <c r="D16" s="1"/>
      <c r="E16" s="24">
        <f>E14/E15</f>
        <v>0.44163636363636366</v>
      </c>
      <c r="G16" s="22" t="s">
        <v>86</v>
      </c>
      <c r="H16" s="1"/>
      <c r="I16" s="1"/>
      <c r="J16" s="1"/>
      <c r="K16" s="13">
        <v>12000</v>
      </c>
    </row>
    <row r="17" spans="1:12">
      <c r="A17" s="22" t="s">
        <v>87</v>
      </c>
      <c r="B17" s="1"/>
      <c r="C17" s="1"/>
      <c r="D17" s="1"/>
      <c r="E17" s="25">
        <v>0.56000000000000005</v>
      </c>
      <c r="G17" s="75" t="s">
        <v>269</v>
      </c>
      <c r="H17" s="1"/>
      <c r="I17" s="1"/>
      <c r="J17" s="1"/>
      <c r="K17" s="24">
        <f>K15/K16</f>
        <v>0.44650000000000001</v>
      </c>
    </row>
    <row r="18" spans="1:12">
      <c r="G18" s="22" t="s">
        <v>87</v>
      </c>
      <c r="H18" s="1"/>
      <c r="I18" s="1"/>
      <c r="J18" s="1"/>
      <c r="K18" s="25">
        <v>0.55000000000000004</v>
      </c>
      <c r="L18" s="33"/>
    </row>
    <row r="19" spans="1:12" ht="25.5">
      <c r="A19" s="143"/>
      <c r="B19" s="143"/>
      <c r="C19" s="143"/>
      <c r="D19" s="143"/>
      <c r="E19" s="143"/>
    </row>
    <row r="20" spans="1:12" ht="25.5">
      <c r="A20" s="140" t="s">
        <v>291</v>
      </c>
      <c r="B20" s="141"/>
      <c r="C20" s="141"/>
      <c r="D20" s="141"/>
      <c r="E20" s="142"/>
      <c r="G20" s="139" t="s">
        <v>292</v>
      </c>
      <c r="H20" s="139"/>
      <c r="I20" s="139"/>
      <c r="J20" s="139"/>
      <c r="K20" s="139"/>
    </row>
    <row r="21" spans="1:12">
      <c r="A21" s="22" t="s">
        <v>267</v>
      </c>
      <c r="B21" s="1"/>
      <c r="C21" s="1"/>
      <c r="D21" s="1"/>
      <c r="E21" s="13"/>
      <c r="G21" s="22" t="s">
        <v>267</v>
      </c>
      <c r="H21" s="1"/>
      <c r="I21" s="1"/>
      <c r="J21" s="1"/>
      <c r="K21" s="13"/>
    </row>
    <row r="22" spans="1:12">
      <c r="A22" s="1"/>
      <c r="B22" s="22" t="s">
        <v>71</v>
      </c>
      <c r="C22" s="22" t="s">
        <v>72</v>
      </c>
      <c r="D22" s="22" t="s">
        <v>80</v>
      </c>
      <c r="E22" s="23" t="s">
        <v>75</v>
      </c>
      <c r="G22" s="1"/>
      <c r="H22" s="22" t="s">
        <v>71</v>
      </c>
      <c r="I22" s="22" t="s">
        <v>72</v>
      </c>
      <c r="J22" s="22" t="s">
        <v>80</v>
      </c>
      <c r="K22" s="23" t="s">
        <v>75</v>
      </c>
    </row>
    <row r="23" spans="1:12">
      <c r="A23" s="1"/>
      <c r="B23" s="1" t="s">
        <v>73</v>
      </c>
      <c r="C23" s="1" t="s">
        <v>74</v>
      </c>
      <c r="D23" s="1">
        <v>1.8</v>
      </c>
      <c r="E23" s="13">
        <v>450</v>
      </c>
      <c r="G23" s="1"/>
      <c r="H23" s="1" t="s">
        <v>193</v>
      </c>
      <c r="I23" s="1" t="s">
        <v>74</v>
      </c>
      <c r="J23" s="1">
        <v>1.8</v>
      </c>
      <c r="K23" s="13">
        <v>400</v>
      </c>
    </row>
    <row r="24" spans="1:12">
      <c r="A24" s="1"/>
      <c r="B24" s="1" t="s">
        <v>100</v>
      </c>
      <c r="C24" s="1" t="s">
        <v>77</v>
      </c>
      <c r="D24" s="1">
        <v>14</v>
      </c>
      <c r="E24" s="13">
        <v>1400</v>
      </c>
      <c r="G24" s="1"/>
      <c r="H24" s="1" t="s">
        <v>120</v>
      </c>
      <c r="I24" s="1" t="s">
        <v>77</v>
      </c>
      <c r="J24" s="1">
        <v>14</v>
      </c>
      <c r="K24" s="13">
        <v>1400</v>
      </c>
    </row>
    <row r="25" spans="1:12">
      <c r="A25" s="1"/>
      <c r="B25" s="1" t="s">
        <v>98</v>
      </c>
      <c r="C25" s="1" t="s">
        <v>77</v>
      </c>
      <c r="D25" s="1">
        <v>14</v>
      </c>
      <c r="E25" s="13">
        <v>1400</v>
      </c>
      <c r="G25" s="1"/>
      <c r="H25" s="1" t="s">
        <v>190</v>
      </c>
      <c r="I25" s="1" t="s">
        <v>79</v>
      </c>
      <c r="J25" s="1">
        <v>8</v>
      </c>
      <c r="K25" s="13">
        <v>1200</v>
      </c>
    </row>
    <row r="26" spans="1:12">
      <c r="A26" s="1"/>
      <c r="B26" s="1" t="s">
        <v>191</v>
      </c>
      <c r="C26" s="1" t="s">
        <v>77</v>
      </c>
      <c r="D26" s="1">
        <v>9</v>
      </c>
      <c r="E26" s="13">
        <v>900</v>
      </c>
      <c r="G26" s="1"/>
      <c r="H26" s="1" t="s">
        <v>6</v>
      </c>
      <c r="I26" s="1" t="s">
        <v>79</v>
      </c>
      <c r="J26" s="1">
        <v>10</v>
      </c>
      <c r="K26" s="13">
        <v>1500</v>
      </c>
    </row>
    <row r="27" spans="1:12">
      <c r="A27" s="1"/>
      <c r="B27" s="1" t="s">
        <v>189</v>
      </c>
      <c r="C27" s="1" t="s">
        <v>79</v>
      </c>
      <c r="D27" s="1">
        <v>6</v>
      </c>
      <c r="E27" s="13">
        <v>900</v>
      </c>
      <c r="G27" s="1"/>
      <c r="H27" s="1" t="s">
        <v>78</v>
      </c>
      <c r="I27" s="1" t="s">
        <v>79</v>
      </c>
      <c r="J27" s="1">
        <v>7.9</v>
      </c>
      <c r="K27" s="13">
        <v>1185</v>
      </c>
    </row>
    <row r="28" spans="1:12">
      <c r="A28" s="1"/>
      <c r="B28" s="1" t="s">
        <v>78</v>
      </c>
      <c r="C28" s="1" t="s">
        <v>79</v>
      </c>
      <c r="D28" s="1">
        <v>7.9</v>
      </c>
      <c r="E28" s="13">
        <v>1185</v>
      </c>
      <c r="G28" s="1"/>
      <c r="H28" s="1"/>
      <c r="I28" s="1"/>
      <c r="J28" s="1"/>
      <c r="K28" s="23">
        <f>SUM(K23:K27)</f>
        <v>5685</v>
      </c>
    </row>
    <row r="29" spans="1:12">
      <c r="A29" s="1"/>
      <c r="B29" s="1" t="s">
        <v>190</v>
      </c>
      <c r="C29" s="1" t="s">
        <v>79</v>
      </c>
      <c r="D29" s="1">
        <v>8</v>
      </c>
      <c r="E29" s="13">
        <v>1200</v>
      </c>
      <c r="G29" s="22" t="s">
        <v>83</v>
      </c>
      <c r="H29" s="1"/>
      <c r="I29" s="1"/>
      <c r="J29" s="1"/>
      <c r="K29" s="13"/>
    </row>
    <row r="30" spans="1:12">
      <c r="A30" s="22" t="s">
        <v>83</v>
      </c>
      <c r="B30" s="1"/>
      <c r="C30" s="1"/>
      <c r="D30" s="1"/>
      <c r="E30" s="23">
        <f>SUM(E23:E29)</f>
        <v>7435</v>
      </c>
      <c r="G30" s="1"/>
      <c r="H30" s="1"/>
      <c r="I30" s="1"/>
      <c r="J30" s="1"/>
      <c r="K30" s="13"/>
    </row>
    <row r="31" spans="1:12">
      <c r="A31" s="1"/>
      <c r="B31" s="1"/>
      <c r="C31" s="1"/>
      <c r="D31" s="1"/>
      <c r="E31" s="13"/>
      <c r="G31" s="22" t="s">
        <v>84</v>
      </c>
      <c r="H31" s="1" t="s">
        <v>320</v>
      </c>
      <c r="I31" s="1"/>
      <c r="J31" s="1"/>
      <c r="K31" s="13"/>
    </row>
    <row r="32" spans="1:12">
      <c r="A32" s="22" t="s">
        <v>84</v>
      </c>
      <c r="B32" s="1"/>
      <c r="C32" s="1"/>
      <c r="D32" s="1"/>
      <c r="E32" s="13"/>
      <c r="G32" s="22" t="s">
        <v>268</v>
      </c>
      <c r="H32" s="1"/>
      <c r="I32" s="1"/>
      <c r="J32" s="1"/>
      <c r="K32" s="13">
        <v>1423</v>
      </c>
    </row>
    <row r="33" spans="1:11">
      <c r="A33" s="1"/>
      <c r="B33" s="1" t="s">
        <v>320</v>
      </c>
      <c r="C33" s="1"/>
      <c r="D33" s="1"/>
      <c r="E33" s="13"/>
      <c r="G33" s="22" t="s">
        <v>85</v>
      </c>
      <c r="H33" s="1"/>
      <c r="I33" s="1"/>
      <c r="J33" s="1"/>
      <c r="K33" s="20">
        <f>K28+K32</f>
        <v>7108</v>
      </c>
    </row>
    <row r="34" spans="1:11">
      <c r="A34" s="22" t="s">
        <v>268</v>
      </c>
      <c r="B34" s="1"/>
      <c r="C34" s="1"/>
      <c r="D34" s="1"/>
      <c r="E34" s="13">
        <v>1423</v>
      </c>
      <c r="G34" s="22" t="s">
        <v>86</v>
      </c>
      <c r="H34" s="1"/>
      <c r="I34" s="1"/>
      <c r="J34" s="1"/>
      <c r="K34" s="13">
        <v>13000</v>
      </c>
    </row>
    <row r="35" spans="1:11">
      <c r="A35" s="22" t="s">
        <v>85</v>
      </c>
      <c r="B35" s="1"/>
      <c r="C35" s="1"/>
      <c r="D35" s="1"/>
      <c r="E35" s="20">
        <f>E30+E34</f>
        <v>8858</v>
      </c>
      <c r="G35" s="76" t="s">
        <v>269</v>
      </c>
      <c r="H35" s="1"/>
      <c r="I35" s="1"/>
      <c r="J35" s="1"/>
      <c r="K35" s="24">
        <f>K33/K34</f>
        <v>0.54676923076923079</v>
      </c>
    </row>
    <row r="36" spans="1:11">
      <c r="A36" s="22" t="s">
        <v>86</v>
      </c>
      <c r="B36" s="1"/>
      <c r="C36" s="1"/>
      <c r="D36" s="1"/>
      <c r="E36" s="13">
        <v>15000</v>
      </c>
      <c r="G36" s="22" t="s">
        <v>87</v>
      </c>
      <c r="H36" s="1"/>
      <c r="I36" s="1"/>
      <c r="J36" s="1"/>
      <c r="K36" s="25">
        <v>0.45</v>
      </c>
    </row>
    <row r="37" spans="1:11">
      <c r="A37" s="75" t="s">
        <v>269</v>
      </c>
      <c r="B37" s="1"/>
      <c r="C37" s="1"/>
      <c r="D37" s="1"/>
      <c r="E37" s="24">
        <f>E35/E36</f>
        <v>0.59053333333333335</v>
      </c>
    </row>
    <row r="38" spans="1:11">
      <c r="A38" s="22" t="s">
        <v>87</v>
      </c>
      <c r="B38" s="1"/>
      <c r="C38" s="1"/>
      <c r="D38" s="1"/>
      <c r="E38" s="25">
        <v>0.41</v>
      </c>
    </row>
  </sheetData>
  <mergeCells count="6">
    <mergeCell ref="A1:K2"/>
    <mergeCell ref="A3:E3"/>
    <mergeCell ref="G3:K3"/>
    <mergeCell ref="A19:E19"/>
    <mergeCell ref="A20:E20"/>
    <mergeCell ref="G20:K20"/>
  </mergeCells>
  <pageMargins left="0.7" right="0.7" top="0.75" bottom="0.75" header="0.3" footer="0.3"/>
  <pageSetup orientation="portrait" r:id="rId1"/>
  <legacyDrawing r:id="rId2"/>
</worksheet>
</file>

<file path=xl/worksheets/sheet6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D6"/>
  <sheetViews>
    <sheetView workbookViewId="0">
      <selection activeCell="C20" sqref="C20"/>
    </sheetView>
  </sheetViews>
  <sheetFormatPr baseColWidth="10" defaultRowHeight="15"/>
  <cols>
    <col min="1" max="1" width="22.85546875" customWidth="1"/>
    <col min="2" max="2" width="17" customWidth="1"/>
    <col min="3" max="3" width="26.28515625" customWidth="1"/>
    <col min="4" max="4" width="25.7109375" customWidth="1"/>
  </cols>
  <sheetData>
    <row r="1" spans="1:4" ht="26.25">
      <c r="A1" s="122" t="s">
        <v>208</v>
      </c>
      <c r="B1" s="122"/>
      <c r="C1" s="122"/>
      <c r="D1" s="122"/>
    </row>
    <row r="2" spans="1:4" ht="18.75">
      <c r="A2" s="84" t="s">
        <v>210</v>
      </c>
      <c r="B2" s="84" t="s">
        <v>211</v>
      </c>
      <c r="C2" s="84" t="s">
        <v>212</v>
      </c>
      <c r="D2" s="84" t="s">
        <v>213</v>
      </c>
    </row>
    <row r="3" spans="1:4">
      <c r="A3" s="1" t="s">
        <v>209</v>
      </c>
      <c r="B3" s="1">
        <v>1</v>
      </c>
      <c r="C3" s="83">
        <v>20000000</v>
      </c>
      <c r="D3" s="83">
        <f>+C3*B3</f>
        <v>20000000</v>
      </c>
    </row>
    <row r="4" spans="1:4">
      <c r="A4" s="1"/>
      <c r="B4" s="1"/>
      <c r="C4" s="59"/>
      <c r="D4" s="59"/>
    </row>
    <row r="5" spans="1:4">
      <c r="A5" s="1"/>
      <c r="B5" s="1"/>
      <c r="C5" s="59"/>
      <c r="D5" s="59"/>
    </row>
    <row r="6" spans="1:4">
      <c r="A6" s="1" t="s">
        <v>214</v>
      </c>
      <c r="B6" s="1">
        <f>SUM(B3:B5)</f>
        <v>1</v>
      </c>
      <c r="C6" s="83">
        <f>SUM(C3:C5)</f>
        <v>20000000</v>
      </c>
      <c r="D6" s="90">
        <f>SUM(D3:D5)</f>
        <v>20000000</v>
      </c>
    </row>
  </sheetData>
  <mergeCells count="1">
    <mergeCell ref="A1:D1"/>
  </mergeCells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J36"/>
  <sheetViews>
    <sheetView topLeftCell="A2" zoomScale="90" zoomScaleNormal="90" workbookViewId="0">
      <selection activeCell="J13" sqref="J13"/>
    </sheetView>
  </sheetViews>
  <sheetFormatPr baseColWidth="10" defaultColWidth="11.5703125" defaultRowHeight="15"/>
  <cols>
    <col min="1" max="1" width="27.140625" style="45" bestFit="1" customWidth="1"/>
    <col min="2" max="2" width="23.5703125" style="45" customWidth="1"/>
    <col min="3" max="3" width="22.42578125" style="45" customWidth="1"/>
    <col min="4" max="7" width="20.7109375" style="45" customWidth="1"/>
    <col min="8" max="8" width="23.28515625" style="45" customWidth="1"/>
    <col min="9" max="16384" width="11.5703125" style="45"/>
  </cols>
  <sheetData>
    <row r="1" spans="1:10" ht="28.9" customHeight="1">
      <c r="A1" s="127" t="s">
        <v>167</v>
      </c>
      <c r="B1" s="128"/>
      <c r="C1" s="128"/>
      <c r="D1" s="128"/>
      <c r="E1" s="128"/>
      <c r="F1" s="128"/>
      <c r="G1" s="128"/>
      <c r="I1" s="52" t="s">
        <v>188</v>
      </c>
      <c r="J1" s="53">
        <v>0.05</v>
      </c>
    </row>
    <row r="2" spans="1:10">
      <c r="A2" s="52"/>
      <c r="B2" s="52"/>
      <c r="C2" s="72" t="s">
        <v>207</v>
      </c>
      <c r="D2" s="99">
        <v>1.05</v>
      </c>
      <c r="E2" s="52"/>
      <c r="F2" s="52"/>
      <c r="G2" s="52"/>
    </row>
    <row r="3" spans="1:10" ht="15.75">
      <c r="A3" s="97"/>
      <c r="B3" s="98" t="s">
        <v>166</v>
      </c>
      <c r="C3" s="98" t="s">
        <v>165</v>
      </c>
      <c r="D3" s="98" t="s">
        <v>164</v>
      </c>
      <c r="E3" s="98" t="s">
        <v>163</v>
      </c>
      <c r="F3" s="98" t="s">
        <v>162</v>
      </c>
      <c r="G3" s="98" t="s">
        <v>161</v>
      </c>
    </row>
    <row r="4" spans="1:10" ht="15.75">
      <c r="A4" s="62" t="s">
        <v>160</v>
      </c>
      <c r="B4" s="61"/>
      <c r="C4" s="61"/>
      <c r="D4" s="61"/>
      <c r="E4" s="61"/>
      <c r="F4" s="61"/>
      <c r="G4" s="61"/>
    </row>
    <row r="5" spans="1:10" ht="15.75">
      <c r="A5" s="61" t="s">
        <v>260</v>
      </c>
      <c r="B5" s="61">
        <v>25000000</v>
      </c>
      <c r="C5" s="61"/>
      <c r="D5" s="61"/>
      <c r="E5" s="61"/>
      <c r="F5" s="61"/>
      <c r="G5" s="61"/>
    </row>
    <row r="6" spans="1:10" ht="15.75">
      <c r="A6" s="61" t="s">
        <v>159</v>
      </c>
      <c r="B6" s="61"/>
      <c r="C6" s="61">
        <f>+VENTAS!B17</f>
        <v>79560000</v>
      </c>
      <c r="D6" s="61">
        <f>+VENTAS!C17</f>
        <v>83538000</v>
      </c>
      <c r="E6" s="61">
        <f>+VENTAS!D17</f>
        <v>87714900</v>
      </c>
      <c r="F6" s="61">
        <f>+VENTAS!E17</f>
        <v>92100645</v>
      </c>
      <c r="G6" s="61">
        <f>+VENTAS!F17</f>
        <v>96705677.25</v>
      </c>
    </row>
    <row r="7" spans="1:10" ht="15.75">
      <c r="A7" s="62" t="s">
        <v>158</v>
      </c>
      <c r="B7" s="62">
        <f>SUM(B5:B6)</f>
        <v>25000000</v>
      </c>
      <c r="C7" s="100">
        <f>SUM(C5:C6)</f>
        <v>79560000</v>
      </c>
      <c r="D7" s="100">
        <f t="shared" ref="D7:G7" si="0">SUM(D6:D6)</f>
        <v>83538000</v>
      </c>
      <c r="E7" s="100">
        <f t="shared" si="0"/>
        <v>87714900</v>
      </c>
      <c r="F7" s="100">
        <f t="shared" si="0"/>
        <v>92100645</v>
      </c>
      <c r="G7" s="100">
        <f t="shared" si="0"/>
        <v>96705677.25</v>
      </c>
    </row>
    <row r="8" spans="1:10" ht="15.75">
      <c r="A8" s="61"/>
      <c r="B8" s="61"/>
      <c r="C8" s="61"/>
      <c r="D8" s="61"/>
      <c r="E8" s="61"/>
      <c r="F8" s="61"/>
      <c r="G8" s="61"/>
    </row>
    <row r="9" spans="1:10" ht="15.75">
      <c r="A9" s="62" t="s">
        <v>157</v>
      </c>
      <c r="B9" s="61"/>
      <c r="C9" s="61"/>
      <c r="D9" s="61"/>
      <c r="E9" s="61"/>
      <c r="F9" s="61"/>
      <c r="G9" s="61"/>
    </row>
    <row r="10" spans="1:10" ht="15.75">
      <c r="A10" s="61" t="s">
        <v>215</v>
      </c>
      <c r="B10" s="61"/>
      <c r="C10" s="61">
        <v>20000000</v>
      </c>
      <c r="D10" s="61"/>
      <c r="E10" s="61"/>
      <c r="F10" s="61"/>
      <c r="G10" s="61"/>
    </row>
    <row r="11" spans="1:10" ht="15.75">
      <c r="A11" s="62" t="s">
        <v>214</v>
      </c>
      <c r="B11" s="62">
        <f>+B10</f>
        <v>0</v>
      </c>
      <c r="C11" s="100">
        <v>20000000</v>
      </c>
      <c r="D11" s="62">
        <f t="shared" ref="D11:G11" si="1">+D10</f>
        <v>0</v>
      </c>
      <c r="E11" s="62">
        <f t="shared" si="1"/>
        <v>0</v>
      </c>
      <c r="F11" s="62">
        <f t="shared" si="1"/>
        <v>0</v>
      </c>
      <c r="G11" s="62">
        <f t="shared" si="1"/>
        <v>0</v>
      </c>
    </row>
    <row r="12" spans="1:10" ht="15.75">
      <c r="A12" s="62"/>
      <c r="B12" s="61"/>
      <c r="C12" s="61"/>
      <c r="D12" s="61"/>
      <c r="E12" s="61"/>
      <c r="F12" s="61"/>
      <c r="G12" s="61"/>
    </row>
    <row r="13" spans="1:10" ht="15.75">
      <c r="A13" s="62"/>
      <c r="B13" s="61"/>
      <c r="C13" s="61"/>
      <c r="D13" s="61"/>
      <c r="E13" s="61"/>
      <c r="F13" s="61"/>
      <c r="G13" s="61"/>
    </row>
    <row r="14" spans="1:10" ht="15.75">
      <c r="A14" s="62" t="s">
        <v>271</v>
      </c>
      <c r="B14" s="61"/>
      <c r="C14" s="61"/>
      <c r="D14" s="61"/>
      <c r="E14" s="61"/>
      <c r="F14" s="61"/>
      <c r="G14" s="61"/>
    </row>
    <row r="15" spans="1:10" ht="15.75">
      <c r="A15" s="61" t="s">
        <v>156</v>
      </c>
      <c r="B15" s="61"/>
      <c r="C15" s="61">
        <f>+COSTOS!E7</f>
        <v>10344000</v>
      </c>
      <c r="D15" s="61">
        <f>+C15*(1+$J$1)</f>
        <v>10861200</v>
      </c>
      <c r="E15" s="61">
        <f t="shared" ref="E15:G15" si="2">+D15*(1+$J$1)</f>
        <v>11404260</v>
      </c>
      <c r="F15" s="61">
        <f t="shared" si="2"/>
        <v>11974473</v>
      </c>
      <c r="G15" s="61">
        <f t="shared" si="2"/>
        <v>12573196.65</v>
      </c>
    </row>
    <row r="16" spans="1:10" ht="15.75">
      <c r="A16" s="61" t="s">
        <v>155</v>
      </c>
      <c r="B16" s="61"/>
      <c r="C16" s="61">
        <f>+COSTOS!E13</f>
        <v>30550890.600000001</v>
      </c>
      <c r="D16" s="61">
        <f t="shared" ref="D16:G16" si="3">+C16*$D$2</f>
        <v>32078435.130000003</v>
      </c>
      <c r="E16" s="61">
        <f t="shared" si="3"/>
        <v>33682356.886500001</v>
      </c>
      <c r="F16" s="61">
        <f t="shared" si="3"/>
        <v>35366474.730825</v>
      </c>
      <c r="G16" s="61">
        <f t="shared" si="3"/>
        <v>37134798.467366248</v>
      </c>
    </row>
    <row r="17" spans="1:8" ht="15.75">
      <c r="A17" s="61" t="s">
        <v>242</v>
      </c>
      <c r="B17" s="61"/>
      <c r="C17" s="61">
        <f>+COSTOS!E20</f>
        <v>8880000</v>
      </c>
      <c r="D17" s="61">
        <f>+C17*(1+$J$1)</f>
        <v>9324000</v>
      </c>
      <c r="E17" s="61">
        <f t="shared" ref="E17:G17" si="4">+D17*(1+$J$1)</f>
        <v>9790200</v>
      </c>
      <c r="F17" s="61">
        <f t="shared" si="4"/>
        <v>10279710</v>
      </c>
      <c r="G17" s="61">
        <f t="shared" si="4"/>
        <v>10793695.5</v>
      </c>
    </row>
    <row r="18" spans="1:8" ht="15.75">
      <c r="A18" s="62" t="s">
        <v>228</v>
      </c>
      <c r="B18" s="62">
        <f t="shared" ref="B18:G18" si="5">SUM(B15:B17)</f>
        <v>0</v>
      </c>
      <c r="C18" s="100">
        <f t="shared" si="5"/>
        <v>49774890.600000001</v>
      </c>
      <c r="D18" s="100">
        <f t="shared" si="5"/>
        <v>52263635.130000003</v>
      </c>
      <c r="E18" s="100">
        <f t="shared" si="5"/>
        <v>54876816.886500001</v>
      </c>
      <c r="F18" s="100">
        <f t="shared" si="5"/>
        <v>57620657.730825</v>
      </c>
      <c r="G18" s="100">
        <f t="shared" si="5"/>
        <v>60501690.617366247</v>
      </c>
    </row>
    <row r="19" spans="1:8" ht="15.75">
      <c r="A19" s="62" t="s">
        <v>154</v>
      </c>
      <c r="B19" s="61"/>
      <c r="C19" s="61"/>
      <c r="D19" s="61"/>
      <c r="E19" s="61"/>
      <c r="F19" s="61"/>
      <c r="G19" s="61"/>
    </row>
    <row r="20" spans="1:8" ht="15.75">
      <c r="A20" s="61" t="s">
        <v>153</v>
      </c>
      <c r="B20" s="61"/>
      <c r="C20" s="61">
        <f>+GASTOS!D6</f>
        <v>9999600</v>
      </c>
      <c r="D20" s="61">
        <f t="shared" ref="D20:G20" si="6">+C20*$D$2</f>
        <v>10499580</v>
      </c>
      <c r="E20" s="61">
        <f t="shared" si="6"/>
        <v>11024559</v>
      </c>
      <c r="F20" s="61">
        <f t="shared" si="6"/>
        <v>11575786.950000001</v>
      </c>
      <c r="G20" s="61">
        <f t="shared" si="6"/>
        <v>12154576.297500001</v>
      </c>
    </row>
    <row r="21" spans="1:8" ht="15.75">
      <c r="A21" s="62" t="s">
        <v>231</v>
      </c>
      <c r="B21" s="62"/>
      <c r="C21" s="100">
        <f>+C20</f>
        <v>9999600</v>
      </c>
      <c r="D21" s="100">
        <f t="shared" ref="D21:G21" si="7">+D20</f>
        <v>10499580</v>
      </c>
      <c r="E21" s="100">
        <f t="shared" si="7"/>
        <v>11024559</v>
      </c>
      <c r="F21" s="100">
        <f t="shared" si="7"/>
        <v>11575786.950000001</v>
      </c>
      <c r="G21" s="100">
        <f t="shared" si="7"/>
        <v>12154576.297500001</v>
      </c>
    </row>
    <row r="22" spans="1:8" ht="15.75">
      <c r="A22" s="62" t="s">
        <v>230</v>
      </c>
      <c r="B22" s="62">
        <f t="shared" ref="B22:G22" si="8">+B11+B18+B21</f>
        <v>0</v>
      </c>
      <c r="C22" s="100">
        <f t="shared" si="8"/>
        <v>79774490.599999994</v>
      </c>
      <c r="D22" s="100">
        <f t="shared" si="8"/>
        <v>62763215.130000003</v>
      </c>
      <c r="E22" s="100">
        <f t="shared" si="8"/>
        <v>65901375.886500001</v>
      </c>
      <c r="F22" s="100">
        <f t="shared" si="8"/>
        <v>69196444.680824995</v>
      </c>
      <c r="G22" s="100">
        <f t="shared" si="8"/>
        <v>72656266.914866254</v>
      </c>
    </row>
    <row r="23" spans="1:8" ht="15.75">
      <c r="A23" s="61"/>
      <c r="B23" s="61"/>
      <c r="C23" s="61"/>
      <c r="D23" s="61"/>
      <c r="E23" s="61"/>
      <c r="F23" s="61"/>
      <c r="G23" s="61"/>
    </row>
    <row r="24" spans="1:8" ht="15.75">
      <c r="A24" s="62" t="s">
        <v>258</v>
      </c>
      <c r="B24" s="62">
        <f t="shared" ref="B24:G24" si="9">+B7-B22</f>
        <v>25000000</v>
      </c>
      <c r="C24" s="62">
        <f t="shared" si="9"/>
        <v>-214490.59999999404</v>
      </c>
      <c r="D24" s="62">
        <f t="shared" si="9"/>
        <v>20774784.869999997</v>
      </c>
      <c r="E24" s="62">
        <f t="shared" si="9"/>
        <v>21813524.113499999</v>
      </c>
      <c r="F24" s="62">
        <f t="shared" si="9"/>
        <v>22904200.319175005</v>
      </c>
      <c r="G24" s="62">
        <f t="shared" si="9"/>
        <v>24049410.335133746</v>
      </c>
    </row>
    <row r="25" spans="1:8" ht="15.75">
      <c r="A25" s="62" t="s">
        <v>259</v>
      </c>
      <c r="B25" s="62"/>
      <c r="C25" s="62">
        <f>+B26</f>
        <v>25000000</v>
      </c>
      <c r="D25" s="62">
        <f t="shared" ref="D25:G25" si="10">+C26</f>
        <v>24785509.400000006</v>
      </c>
      <c r="E25" s="62">
        <f t="shared" si="10"/>
        <v>45560294.270000003</v>
      </c>
      <c r="F25" s="62">
        <f t="shared" si="10"/>
        <v>67373818.38350001</v>
      </c>
      <c r="G25" s="62">
        <f t="shared" si="10"/>
        <v>90278018.702675015</v>
      </c>
    </row>
    <row r="26" spans="1:8" ht="15.75">
      <c r="A26" s="62" t="s">
        <v>266</v>
      </c>
      <c r="B26" s="62">
        <f>+B24</f>
        <v>25000000</v>
      </c>
      <c r="C26" s="62">
        <f>+C24+C25</f>
        <v>24785509.400000006</v>
      </c>
      <c r="D26" s="62">
        <f t="shared" ref="D26:G26" si="11">+D24+D25</f>
        <v>45560294.270000003</v>
      </c>
      <c r="E26" s="62">
        <f t="shared" si="11"/>
        <v>67373818.38350001</v>
      </c>
      <c r="F26" s="62">
        <f t="shared" si="11"/>
        <v>90278018.702675015</v>
      </c>
      <c r="G26" s="62">
        <f t="shared" si="11"/>
        <v>114327429.03780876</v>
      </c>
    </row>
    <row r="27" spans="1:8" ht="15.75">
      <c r="A27" s="101"/>
      <c r="B27" s="101"/>
      <c r="C27" s="101"/>
      <c r="D27" s="101"/>
      <c r="E27" s="101"/>
      <c r="F27" s="101"/>
      <c r="G27" s="101"/>
    </row>
    <row r="28" spans="1:8" ht="14.25" hidden="1" customHeight="1">
      <c r="B28" s="102">
        <v>-25000000</v>
      </c>
      <c r="C28" s="102">
        <v>214491</v>
      </c>
      <c r="D28" s="102">
        <v>20774785</v>
      </c>
      <c r="E28" s="102">
        <v>21813524</v>
      </c>
      <c r="F28" s="102">
        <v>22904200</v>
      </c>
      <c r="G28" s="102">
        <v>24049410</v>
      </c>
      <c r="H28" s="103" t="s">
        <v>282</v>
      </c>
    </row>
    <row r="30" spans="1:8">
      <c r="A30" s="144" t="s">
        <v>265</v>
      </c>
      <c r="B30" s="145"/>
    </row>
    <row r="31" spans="1:8">
      <c r="A31" s="72" t="s">
        <v>152</v>
      </c>
      <c r="B31" s="73">
        <f>IRR(B28:G28)</f>
        <v>0.47068071521623933</v>
      </c>
      <c r="C31" s="70"/>
    </row>
    <row r="32" spans="1:8">
      <c r="A32" s="72" t="s">
        <v>264</v>
      </c>
      <c r="B32" s="52">
        <f>+C33+B26</f>
        <v>216269119.43956408</v>
      </c>
    </row>
    <row r="33" spans="1:3">
      <c r="A33" s="52" t="s">
        <v>263</v>
      </c>
      <c r="B33" s="24">
        <v>0.18</v>
      </c>
      <c r="C33" s="71">
        <f>NPV(B33,C26:G26)</f>
        <v>191269119.43956408</v>
      </c>
    </row>
    <row r="34" spans="1:3">
      <c r="A34" s="52" t="s">
        <v>151</v>
      </c>
      <c r="B34" s="52">
        <f>NPV(20%,C7:G7)</f>
        <v>258353100.5859375</v>
      </c>
    </row>
    <row r="35" spans="1:3">
      <c r="A35" s="52" t="s">
        <v>150</v>
      </c>
      <c r="B35" s="52">
        <f>NPV(20%,C22:G22)</f>
        <v>210770801.68998209</v>
      </c>
    </row>
    <row r="36" spans="1:3">
      <c r="A36" s="52" t="s">
        <v>149</v>
      </c>
      <c r="B36" s="53">
        <f>+B34/B35</f>
        <v>1.2257537501135622</v>
      </c>
    </row>
  </sheetData>
  <mergeCells count="2">
    <mergeCell ref="A1:G1"/>
    <mergeCell ref="A30:B30"/>
  </mergeCells>
  <pageMargins left="0.7" right="0.7" top="0.75" bottom="0.75" header="0.3" footer="0.3"/>
  <pageSetup paperSize="9"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F11"/>
  <sheetViews>
    <sheetView workbookViewId="0">
      <selection activeCell="C20" sqref="C20"/>
    </sheetView>
  </sheetViews>
  <sheetFormatPr baseColWidth="10" defaultRowHeight="15"/>
  <cols>
    <col min="1" max="1" width="50.28515625" customWidth="1"/>
    <col min="2" max="6" width="20.7109375" customWidth="1"/>
  </cols>
  <sheetData>
    <row r="1" spans="1:6">
      <c r="A1" s="1"/>
      <c r="B1" s="22" t="s">
        <v>238</v>
      </c>
      <c r="C1" s="104">
        <v>0.33</v>
      </c>
      <c r="D1" s="1"/>
      <c r="E1" s="1"/>
      <c r="F1" s="1"/>
    </row>
    <row r="2" spans="1:6" ht="31.5">
      <c r="A2" s="126" t="s">
        <v>232</v>
      </c>
      <c r="B2" s="126"/>
      <c r="C2" s="126"/>
      <c r="D2" s="126"/>
      <c r="E2" s="126"/>
      <c r="F2" s="126"/>
    </row>
    <row r="3" spans="1:6">
      <c r="A3" s="1"/>
      <c r="B3" s="77" t="s">
        <v>202</v>
      </c>
      <c r="C3" s="22" t="s">
        <v>203</v>
      </c>
      <c r="D3" s="77" t="s">
        <v>204</v>
      </c>
      <c r="E3" s="22" t="s">
        <v>205</v>
      </c>
      <c r="F3" s="77" t="s">
        <v>206</v>
      </c>
    </row>
    <row r="4" spans="1:6" ht="15.75">
      <c r="A4" s="58" t="s">
        <v>233</v>
      </c>
      <c r="B4" s="66"/>
      <c r="C4" s="66"/>
      <c r="D4" s="66"/>
      <c r="E4" s="66"/>
      <c r="F4" s="66"/>
    </row>
    <row r="5" spans="1:6" ht="15.75">
      <c r="A5" s="58" t="s">
        <v>196</v>
      </c>
      <c r="B5" s="105">
        <f>+VENTAS!B17</f>
        <v>79560000</v>
      </c>
      <c r="C5" s="105">
        <f>+VENTAS!C17</f>
        <v>83538000</v>
      </c>
      <c r="D5" s="105">
        <f>+VENTAS!D17</f>
        <v>87714900</v>
      </c>
      <c r="E5" s="105">
        <f>+VENTAS!E17</f>
        <v>92100645</v>
      </c>
      <c r="F5" s="105">
        <f>+VENTAS!F17</f>
        <v>96705677.25</v>
      </c>
    </row>
    <row r="6" spans="1:6" ht="15.75">
      <c r="A6" s="58" t="s">
        <v>234</v>
      </c>
      <c r="B6" s="105">
        <f>+COSTOS!E21</f>
        <v>49774890.600000001</v>
      </c>
      <c r="C6" s="105">
        <f>+'FLUJO DE CAJA'!D18</f>
        <v>52263635.130000003</v>
      </c>
      <c r="D6" s="105">
        <f>+'FLUJO DE CAJA'!E18</f>
        <v>54876816.886500001</v>
      </c>
      <c r="E6" s="105">
        <f>+'FLUJO DE CAJA'!F18</f>
        <v>57620657.730825</v>
      </c>
      <c r="F6" s="105">
        <f>+'FLUJO DE CAJA'!G18</f>
        <v>60501690.617366247</v>
      </c>
    </row>
    <row r="7" spans="1:6" ht="15.75">
      <c r="A7" s="63" t="s">
        <v>235</v>
      </c>
      <c r="B7" s="106">
        <f>+B5-B6</f>
        <v>29785109.399999999</v>
      </c>
      <c r="C7" s="106">
        <f t="shared" ref="C7:F7" si="0">+C5-C6</f>
        <v>31274364.869999997</v>
      </c>
      <c r="D7" s="106">
        <f t="shared" si="0"/>
        <v>32838083.113499999</v>
      </c>
      <c r="E7" s="106">
        <f t="shared" si="0"/>
        <v>34479987.269175</v>
      </c>
      <c r="F7" s="106">
        <f t="shared" si="0"/>
        <v>36203986.632633753</v>
      </c>
    </row>
    <row r="8" spans="1:6" ht="15.75">
      <c r="A8" s="58" t="s">
        <v>236</v>
      </c>
      <c r="B8" s="105">
        <f>+GASTOS!D6</f>
        <v>9999600</v>
      </c>
      <c r="C8" s="105">
        <f>+'FLUJO DE CAJA'!D21</f>
        <v>10499580</v>
      </c>
      <c r="D8" s="105">
        <f>+'FLUJO DE CAJA'!E21</f>
        <v>11024559</v>
      </c>
      <c r="E8" s="105">
        <f>+'FLUJO DE CAJA'!F21</f>
        <v>11575786.950000001</v>
      </c>
      <c r="F8" s="105">
        <f>+'FLUJO DE CAJA'!G21</f>
        <v>12154576.297500001</v>
      </c>
    </row>
    <row r="9" spans="1:6" ht="15.75">
      <c r="A9" s="63" t="s">
        <v>237</v>
      </c>
      <c r="B9" s="106">
        <f>+B7-B8</f>
        <v>19785509.399999999</v>
      </c>
      <c r="C9" s="106">
        <f t="shared" ref="C9:F9" si="1">+C7-C8</f>
        <v>20774784.869999997</v>
      </c>
      <c r="D9" s="106">
        <f t="shared" si="1"/>
        <v>21813524.113499999</v>
      </c>
      <c r="E9" s="106">
        <f t="shared" si="1"/>
        <v>22904200.319174998</v>
      </c>
      <c r="F9" s="106">
        <f t="shared" si="1"/>
        <v>24049410.335133754</v>
      </c>
    </row>
    <row r="10" spans="1:6" ht="15.75">
      <c r="A10" s="58" t="s">
        <v>238</v>
      </c>
      <c r="B10" s="105">
        <f>+B9*$C$1</f>
        <v>6529218.102</v>
      </c>
      <c r="C10" s="105">
        <f>+C9*$C$1</f>
        <v>6855679.0070999991</v>
      </c>
      <c r="D10" s="105">
        <f>+D9*$C$1</f>
        <v>7198462.9574549999</v>
      </c>
      <c r="E10" s="105">
        <f>+E9*$C$1</f>
        <v>7558386.1053277496</v>
      </c>
      <c r="F10" s="105">
        <f>+F9*$C$1</f>
        <v>7936305.4105941392</v>
      </c>
    </row>
    <row r="11" spans="1:6" ht="15.75">
      <c r="A11" s="63" t="s">
        <v>239</v>
      </c>
      <c r="B11" s="106">
        <f>+B9-B10</f>
        <v>13256291.297999999</v>
      </c>
      <c r="C11" s="106">
        <f t="shared" ref="C11:F11" si="2">+C9-C10</f>
        <v>13919105.862899998</v>
      </c>
      <c r="D11" s="106">
        <f t="shared" si="2"/>
        <v>14615061.156044999</v>
      </c>
      <c r="E11" s="106">
        <f t="shared" si="2"/>
        <v>15345814.213847248</v>
      </c>
      <c r="F11" s="106">
        <f t="shared" si="2"/>
        <v>16113104.924539614</v>
      </c>
    </row>
  </sheetData>
  <mergeCells count="1">
    <mergeCell ref="A2:F2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>
  <sheetPr>
    <tabColor theme="0" tint="-0.249977111117893"/>
  </sheetPr>
  <dimension ref="A1:B29"/>
  <sheetViews>
    <sheetView workbookViewId="0">
      <selection activeCell="I22" sqref="I22"/>
    </sheetView>
  </sheetViews>
  <sheetFormatPr baseColWidth="10" defaultRowHeight="15"/>
  <cols>
    <col min="1" max="1" width="34.42578125" bestFit="1" customWidth="1"/>
    <col min="2" max="2" width="20.7109375" customWidth="1"/>
  </cols>
  <sheetData>
    <row r="1" spans="1:2" ht="20.25" customHeight="1">
      <c r="A1" s="146" t="s">
        <v>283</v>
      </c>
      <c r="B1" s="146"/>
    </row>
    <row r="2" spans="1:2" ht="21">
      <c r="A2" s="146" t="s">
        <v>243</v>
      </c>
      <c r="B2" s="146"/>
    </row>
    <row r="3" spans="1:2" ht="21">
      <c r="A3" s="147" t="s">
        <v>284</v>
      </c>
      <c r="B3" s="148"/>
    </row>
    <row r="4" spans="1:2" ht="15.75">
      <c r="A4" s="64" t="s">
        <v>244</v>
      </c>
      <c r="B4" s="65" t="s">
        <v>202</v>
      </c>
    </row>
    <row r="5" spans="1:2" ht="15.75">
      <c r="A5" s="66" t="s">
        <v>245</v>
      </c>
      <c r="B5" s="66"/>
    </row>
    <row r="6" spans="1:2" ht="15.75">
      <c r="A6" s="66"/>
      <c r="B6" s="66"/>
    </row>
    <row r="7" spans="1:2" ht="15.75">
      <c r="A7" s="66" t="s">
        <v>246</v>
      </c>
      <c r="B7" s="105">
        <f>+'FLUJO DE CAJA'!C26</f>
        <v>24785509.400000006</v>
      </c>
    </row>
    <row r="8" spans="1:2" ht="15.75">
      <c r="A8" s="66"/>
      <c r="B8" s="66"/>
    </row>
    <row r="9" spans="1:2" ht="15.75">
      <c r="A9" s="64" t="s">
        <v>247</v>
      </c>
      <c r="B9" s="107">
        <f>SUM(B6:B7)</f>
        <v>24785509.400000006</v>
      </c>
    </row>
    <row r="10" spans="1:2" ht="15.75">
      <c r="A10" s="66"/>
      <c r="B10" s="66"/>
    </row>
    <row r="11" spans="1:2" ht="15.75">
      <c r="A11" s="64" t="s">
        <v>248</v>
      </c>
      <c r="B11" s="66"/>
    </row>
    <row r="12" spans="1:2" ht="15.75">
      <c r="A12" s="66" t="s">
        <v>249</v>
      </c>
      <c r="B12" s="105">
        <v>20000000</v>
      </c>
    </row>
    <row r="13" spans="1:2" ht="15.75">
      <c r="A13" s="66"/>
      <c r="B13" s="66"/>
    </row>
    <row r="14" spans="1:2" ht="15.75">
      <c r="A14" s="66" t="s">
        <v>250</v>
      </c>
      <c r="B14" s="105">
        <f>SUM(B12:B13)</f>
        <v>20000000</v>
      </c>
    </row>
    <row r="15" spans="1:2" ht="15.75">
      <c r="A15" s="64" t="s">
        <v>251</v>
      </c>
      <c r="B15" s="107">
        <f>+B14+B9</f>
        <v>44785509.400000006</v>
      </c>
    </row>
    <row r="16" spans="1:2" ht="15.75">
      <c r="A16" s="66"/>
      <c r="B16" s="66"/>
    </row>
    <row r="17" spans="1:2" ht="15.75">
      <c r="A17" s="64" t="s">
        <v>252</v>
      </c>
      <c r="B17" s="66"/>
    </row>
    <row r="18" spans="1:2" ht="15.75">
      <c r="A18" s="66" t="s">
        <v>238</v>
      </c>
      <c r="B18" s="105">
        <f>+'P&amp;G'!B10</f>
        <v>6529218.102</v>
      </c>
    </row>
    <row r="19" spans="1:2" ht="15.75">
      <c r="A19" s="66"/>
      <c r="B19" s="66"/>
    </row>
    <row r="20" spans="1:2" ht="15.75">
      <c r="A20" s="66"/>
      <c r="B20" s="66"/>
    </row>
    <row r="21" spans="1:2" ht="15.75">
      <c r="A21" s="64" t="s">
        <v>253</v>
      </c>
      <c r="B21" s="105">
        <f>SUM(B18:B20)</f>
        <v>6529218.102</v>
      </c>
    </row>
    <row r="22" spans="1:2" ht="15.75">
      <c r="A22" s="66"/>
      <c r="B22" s="66"/>
    </row>
    <row r="23" spans="1:2" ht="15.75">
      <c r="A23" s="64" t="s">
        <v>146</v>
      </c>
      <c r="B23" s="66"/>
    </row>
    <row r="24" spans="1:2" ht="15.75">
      <c r="A24" s="66" t="s">
        <v>254</v>
      </c>
      <c r="B24" s="105">
        <f>+'P&amp;G'!B11</f>
        <v>13256291.297999999</v>
      </c>
    </row>
    <row r="25" spans="1:2" ht="15.75">
      <c r="A25" s="66" t="s">
        <v>261</v>
      </c>
      <c r="B25" s="105">
        <v>25000000</v>
      </c>
    </row>
    <row r="26" spans="1:2" ht="15.75">
      <c r="A26" s="64" t="s">
        <v>255</v>
      </c>
      <c r="B26" s="107">
        <f>SUM(B24:B25)</f>
        <v>38256291.298</v>
      </c>
    </row>
    <row r="27" spans="1:2" ht="15.75">
      <c r="A27" s="66"/>
      <c r="B27" s="66"/>
    </row>
    <row r="28" spans="1:2" ht="15.75">
      <c r="A28" s="64" t="s">
        <v>256</v>
      </c>
      <c r="B28" s="107">
        <f>+B26+B21</f>
        <v>44785509.399999999</v>
      </c>
    </row>
    <row r="29" spans="1:2" ht="15.75">
      <c r="A29" s="64" t="s">
        <v>257</v>
      </c>
      <c r="B29" s="67">
        <f>+B15-B28</f>
        <v>0</v>
      </c>
    </row>
  </sheetData>
  <mergeCells count="3">
    <mergeCell ref="A2:B2"/>
    <mergeCell ref="A1:B1"/>
    <mergeCell ref="A3:B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16</vt:i4>
      </vt:variant>
    </vt:vector>
  </HeadingPairs>
  <TitlesOfParts>
    <vt:vector size="16" baseType="lpstr">
      <vt:lpstr>Insumos Mercado 2016 </vt:lpstr>
      <vt:lpstr>VENTAS</vt:lpstr>
      <vt:lpstr>GASTOS</vt:lpstr>
      <vt:lpstr>COSTOS</vt:lpstr>
      <vt:lpstr>Costo de produccion unitario</vt:lpstr>
      <vt:lpstr>INVERSIÒN</vt:lpstr>
      <vt:lpstr>FLUJO DE CAJA</vt:lpstr>
      <vt:lpstr>P&amp;G</vt:lpstr>
      <vt:lpstr>BALANCE GENERAL </vt:lpstr>
      <vt:lpstr>BALANCE INICIAL</vt:lpstr>
      <vt:lpstr>Insumos Mercado 2016</vt:lpstr>
      <vt:lpstr>PRECIOS CARTA</vt:lpstr>
      <vt:lpstr>CF,CV,GASTOS Y VENTAS</vt:lpstr>
      <vt:lpstr>PUNTO EQUILIBRIO</vt:lpstr>
      <vt:lpstr>PUNTO EQUILIBRIO </vt:lpstr>
      <vt:lpstr>FLUJO DE CAJA AÑO 1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plotter</cp:lastModifiedBy>
  <dcterms:created xsi:type="dcterms:W3CDTF">2016-06-30T14:17:39Z</dcterms:created>
  <dcterms:modified xsi:type="dcterms:W3CDTF">2016-09-16T17:11:51Z</dcterms:modified>
</cp:coreProperties>
</file>