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jo\OneDrive\Documentos\INGENIERO\FORMACION\MAESTRIA EN CALIDAD\INVESTIGACION\TESIS\Proyecto final para jurado\Anexos\"/>
    </mc:Choice>
  </mc:AlternateContent>
  <xr:revisionPtr revIDLastSave="0" documentId="13_ncr:1_{D269F3BC-71A2-4809-A164-9CBAFB8B32D2}" xr6:coauthVersionLast="47" xr6:coauthVersionMax="47" xr10:uidLastSave="{00000000-0000-0000-0000-000000000000}"/>
  <bookViews>
    <workbookView xWindow="-110" yWindow="-110" windowWidth="19420" windowHeight="10420" tabRatio="536" firstSheet="2" activeTab="2" xr2:uid="{00000000-000D-0000-FFFF-FFFF00000000}"/>
  </bookViews>
  <sheets>
    <sheet name="PRIORIZACION" sheetId="1" state="hidden" r:id="rId1"/>
    <sheet name=" INSUMOS 1" sheetId="12" state="hidden" r:id="rId2"/>
    <sheet name="Introduccion" sheetId="16" r:id="rId3"/>
    <sheet name="Mapa de procesos HMA" sheetId="21" r:id="rId4"/>
    <sheet name="Metodologia del calculo" sheetId="22" r:id="rId5"/>
    <sheet name="Variables" sheetId="17" r:id="rId6"/>
    <sheet name="Entradas (Ic-Inc)" sheetId="13" r:id="rId7"/>
    <sheet name="Salidas(Ot)" sheetId="28" r:id="rId8"/>
    <sheet name="Resultados de aplicacion" sheetId="9" r:id="rId9"/>
    <sheet name="Analisis de resultados" sheetId="18" r:id="rId10"/>
    <sheet name="Reportes mesnuales comunicacion" sheetId="11" state="hidden" r:id="rId11"/>
    <sheet name="KPIS PRIORIZADOS" sheetId="10" state="hidden" r:id="rId12"/>
  </sheets>
  <definedNames>
    <definedName name="_xlnm._FilterDatabase" localSheetId="6" hidden="1">'Entradas (Ic-Inc)'!$A$1:$R$101</definedName>
    <definedName name="_xlnm._FilterDatabase" localSheetId="0" hidden="1">PRIORIZACION!$A$3:$J$274</definedName>
    <definedName name="_xlnm.Print_Area" localSheetId="9">'Analisis de resultados'!$A$1:$I$87</definedName>
    <definedName name="_xlnm.Print_Area" localSheetId="6">'Entradas (Ic-Inc)'!$A$1:$R$101</definedName>
    <definedName name="_xlnm.Print_Area" localSheetId="2">Introduccion!$A$1:$E$16</definedName>
    <definedName name="_xlnm.Print_Area" localSheetId="8">'Resultados de aplicacion'!$A$1:$P$24</definedName>
    <definedName name="_xlnm.Print_Area" localSheetId="7">'Salidas(Ot)'!$A$1:$I$101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3" l="1"/>
  <c r="J4" i="13"/>
  <c r="A3" i="28" l="1"/>
  <c r="E75" i="28"/>
  <c r="E68" i="28"/>
  <c r="I75" i="28"/>
  <c r="I68" i="28"/>
  <c r="H68" i="28"/>
  <c r="G68" i="28"/>
  <c r="F68" i="28"/>
  <c r="F63" i="28"/>
  <c r="D68" i="28"/>
  <c r="D63" i="28"/>
  <c r="F48" i="28"/>
  <c r="F44" i="28"/>
  <c r="D48" i="28"/>
  <c r="H48" i="28" s="1"/>
  <c r="D44" i="28"/>
  <c r="G3" i="28"/>
  <c r="F3" i="28"/>
  <c r="D31" i="13"/>
  <c r="G32" i="13"/>
  <c r="G2" i="13"/>
  <c r="A62" i="18" l="1"/>
  <c r="A85" i="18"/>
  <c r="A82" i="18"/>
  <c r="A79" i="18"/>
  <c r="A76" i="18"/>
  <c r="A73" i="18"/>
  <c r="A70" i="18"/>
  <c r="A67" i="18"/>
  <c r="A64" i="18"/>
  <c r="A59" i="18"/>
  <c r="A56" i="18"/>
  <c r="A53" i="18"/>
  <c r="A50" i="18"/>
  <c r="A47" i="18"/>
  <c r="A44" i="18"/>
  <c r="A41" i="18"/>
  <c r="A38" i="18"/>
  <c r="A35" i="18"/>
  <c r="A32" i="18"/>
  <c r="A29" i="18"/>
  <c r="A26" i="18"/>
  <c r="A2" i="18"/>
  <c r="R6" i="13"/>
  <c r="F91" i="28"/>
  <c r="B23" i="9" l="1"/>
  <c r="K51" i="28" l="1"/>
  <c r="A13" i="18"/>
  <c r="T78" i="13" l="1"/>
  <c r="A7" i="18"/>
  <c r="A3" i="18"/>
  <c r="F98" i="13" l="1"/>
  <c r="H98" i="13" s="1"/>
  <c r="A11" i="18" l="1"/>
  <c r="G98" i="13"/>
  <c r="D2" i="13" l="1"/>
  <c r="E2" i="13" s="1"/>
  <c r="H18" i="18" l="1"/>
  <c r="J101" i="13" l="1"/>
  <c r="J100" i="13"/>
  <c r="J99" i="13"/>
  <c r="J95" i="13"/>
  <c r="H94" i="13"/>
  <c r="G94" i="13"/>
  <c r="H93" i="13"/>
  <c r="G93" i="13"/>
  <c r="H92" i="13"/>
  <c r="G92" i="13"/>
  <c r="E92" i="13"/>
  <c r="H91" i="13"/>
  <c r="G91" i="13"/>
  <c r="J90" i="13"/>
  <c r="H89" i="13"/>
  <c r="G89" i="13"/>
  <c r="H88" i="13"/>
  <c r="G88" i="13"/>
  <c r="H87" i="13"/>
  <c r="G87" i="13"/>
  <c r="J84" i="13"/>
  <c r="J83" i="13"/>
  <c r="J82" i="13"/>
  <c r="F81" i="13"/>
  <c r="H81" i="13" s="1"/>
  <c r="F80" i="13"/>
  <c r="G80" i="13" s="1"/>
  <c r="J78" i="13"/>
  <c r="J79" i="13"/>
  <c r="J77" i="13"/>
  <c r="F76" i="13"/>
  <c r="G76" i="13" s="1"/>
  <c r="F75" i="13"/>
  <c r="H75" i="13" s="1"/>
  <c r="F64" i="13"/>
  <c r="H64" i="13" s="1"/>
  <c r="F63" i="13"/>
  <c r="H63" i="13" s="1"/>
  <c r="J74" i="13"/>
  <c r="H73" i="13"/>
  <c r="G73" i="13"/>
  <c r="H72" i="13"/>
  <c r="G72" i="13"/>
  <c r="H71" i="13"/>
  <c r="G71" i="13"/>
  <c r="H70" i="13"/>
  <c r="G70" i="13"/>
  <c r="J67" i="13"/>
  <c r="J66" i="13"/>
  <c r="J65" i="13"/>
  <c r="J60" i="13"/>
  <c r="J62" i="13"/>
  <c r="J61" i="13"/>
  <c r="D59" i="13"/>
  <c r="D58" i="13"/>
  <c r="E58" i="13" s="1"/>
  <c r="D54" i="13"/>
  <c r="E54" i="13" s="1"/>
  <c r="D47" i="13"/>
  <c r="E47" i="13" s="1"/>
  <c r="D44" i="13"/>
  <c r="E44" i="13" s="1"/>
  <c r="D40" i="13"/>
  <c r="E40" i="13" s="1"/>
  <c r="D36" i="13"/>
  <c r="E36" i="13" s="1"/>
  <c r="D32" i="13"/>
  <c r="D28" i="13"/>
  <c r="D24" i="13"/>
  <c r="D19" i="13"/>
  <c r="D15" i="13"/>
  <c r="D11" i="13"/>
  <c r="D53" i="13"/>
  <c r="E53" i="13" s="1"/>
  <c r="H59" i="13"/>
  <c r="G59" i="13"/>
  <c r="E59" i="13"/>
  <c r="H58" i="13"/>
  <c r="G58" i="13"/>
  <c r="J57" i="13"/>
  <c r="J55" i="13"/>
  <c r="H54" i="13"/>
  <c r="G54" i="13"/>
  <c r="H53" i="13"/>
  <c r="G53" i="13"/>
  <c r="H52" i="13"/>
  <c r="G52" i="13"/>
  <c r="J51" i="13"/>
  <c r="J49" i="13"/>
  <c r="G48" i="13"/>
  <c r="H48" i="13"/>
  <c r="G47" i="13"/>
  <c r="H47" i="13"/>
  <c r="J46" i="13"/>
  <c r="J45" i="13"/>
  <c r="H44" i="13"/>
  <c r="G44" i="13"/>
  <c r="H43" i="13"/>
  <c r="G43" i="13"/>
  <c r="J42" i="13"/>
  <c r="J41" i="13"/>
  <c r="H40" i="13"/>
  <c r="G40" i="13"/>
  <c r="H2" i="13"/>
  <c r="H39" i="13"/>
  <c r="G39" i="13"/>
  <c r="D98" i="13"/>
  <c r="E98" i="13" s="1"/>
  <c r="I98" i="13" s="1"/>
  <c r="D93" i="13"/>
  <c r="E93" i="13" s="1"/>
  <c r="D87" i="13"/>
  <c r="E87" i="13" s="1"/>
  <c r="I87" i="13" s="1"/>
  <c r="D72" i="13"/>
  <c r="E72" i="13" s="1"/>
  <c r="D80" i="13"/>
  <c r="E80" i="13" s="1"/>
  <c r="D75" i="13"/>
  <c r="E75" i="13" s="1"/>
  <c r="D63" i="13"/>
  <c r="E63" i="13" s="1"/>
  <c r="D94" i="13"/>
  <c r="E94" i="13" s="1"/>
  <c r="D73" i="13"/>
  <c r="E73" i="13" s="1"/>
  <c r="D81" i="13"/>
  <c r="E81" i="13" s="1"/>
  <c r="D76" i="13"/>
  <c r="E76" i="13" s="1"/>
  <c r="D64" i="13"/>
  <c r="E64" i="13" s="1"/>
  <c r="D91" i="13"/>
  <c r="E91" i="13" s="1"/>
  <c r="D88" i="13"/>
  <c r="E88" i="13" s="1"/>
  <c r="D71" i="13"/>
  <c r="E71" i="13" s="1"/>
  <c r="D92" i="13"/>
  <c r="D89" i="13"/>
  <c r="E89" i="13" s="1"/>
  <c r="D70" i="13"/>
  <c r="E70" i="13" s="1"/>
  <c r="D52" i="13"/>
  <c r="E52" i="13" s="1"/>
  <c r="D7" i="13"/>
  <c r="R47" i="13"/>
  <c r="F13" i="18" s="1"/>
  <c r="D48" i="13"/>
  <c r="E48" i="13" s="1"/>
  <c r="I73" i="13" l="1"/>
  <c r="I76" i="13"/>
  <c r="I91" i="13"/>
  <c r="I71" i="13"/>
  <c r="I58" i="13"/>
  <c r="I93" i="13"/>
  <c r="G64" i="13"/>
  <c r="G81" i="13"/>
  <c r="I81" i="13" s="1"/>
  <c r="I59" i="13"/>
  <c r="I94" i="13"/>
  <c r="I72" i="13"/>
  <c r="I80" i="13"/>
  <c r="I52" i="13"/>
  <c r="I70" i="13"/>
  <c r="I88" i="13"/>
  <c r="I92" i="13"/>
  <c r="I40" i="13"/>
  <c r="H76" i="13"/>
  <c r="I89" i="13"/>
  <c r="I44" i="13"/>
  <c r="H80" i="13"/>
  <c r="G75" i="13"/>
  <c r="I75" i="13" s="1"/>
  <c r="I64" i="13"/>
  <c r="G63" i="13"/>
  <c r="I63" i="13" s="1"/>
  <c r="I47" i="13"/>
  <c r="J47" i="13" s="1"/>
  <c r="I54" i="13"/>
  <c r="I53" i="13"/>
  <c r="I48" i="13"/>
  <c r="J48" i="13" s="1"/>
  <c r="J38" i="13"/>
  <c r="J37" i="13"/>
  <c r="H36" i="13"/>
  <c r="G36" i="13"/>
  <c r="H35" i="13"/>
  <c r="G35" i="13"/>
  <c r="J34" i="13"/>
  <c r="J33" i="13"/>
  <c r="H32" i="13"/>
  <c r="H31" i="13"/>
  <c r="G31" i="13"/>
  <c r="E32" i="13"/>
  <c r="J30" i="13"/>
  <c r="J29" i="13"/>
  <c r="H28" i="13"/>
  <c r="G28" i="13"/>
  <c r="H27" i="13"/>
  <c r="G27" i="13"/>
  <c r="E28" i="13"/>
  <c r="J26" i="13"/>
  <c r="J25" i="13"/>
  <c r="H24" i="13"/>
  <c r="G24" i="13"/>
  <c r="H23" i="13"/>
  <c r="G23" i="13"/>
  <c r="E24" i="13"/>
  <c r="E19" i="13"/>
  <c r="J21" i="13"/>
  <c r="J20" i="13"/>
  <c r="H19" i="13"/>
  <c r="G19" i="13"/>
  <c r="H18" i="13"/>
  <c r="G18" i="13"/>
  <c r="J17" i="13"/>
  <c r="J16" i="13"/>
  <c r="H15" i="13"/>
  <c r="G15" i="13"/>
  <c r="H14" i="13"/>
  <c r="G14" i="13"/>
  <c r="E15" i="13"/>
  <c r="J13" i="13"/>
  <c r="J12" i="13"/>
  <c r="H11" i="13"/>
  <c r="G11" i="13"/>
  <c r="H10" i="13"/>
  <c r="G10" i="13"/>
  <c r="E11" i="13"/>
  <c r="H7" i="13"/>
  <c r="H6" i="13"/>
  <c r="I36" i="13" l="1"/>
  <c r="I15" i="13"/>
  <c r="I32" i="13"/>
  <c r="I11" i="13"/>
  <c r="I19" i="13"/>
  <c r="I28" i="13"/>
  <c r="I24" i="13"/>
  <c r="E7" i="13"/>
  <c r="G7" i="13"/>
  <c r="G6" i="13"/>
  <c r="H3" i="13"/>
  <c r="G3" i="13"/>
  <c r="D3" i="13"/>
  <c r="E3" i="13" s="1"/>
  <c r="I3" i="13" l="1"/>
  <c r="I7" i="13"/>
  <c r="J7" i="13" s="1"/>
  <c r="I2" i="13" l="1"/>
  <c r="D43" i="13" l="1"/>
  <c r="E43" i="13" s="1"/>
  <c r="I43" i="13" s="1"/>
  <c r="D39" i="13"/>
  <c r="E39" i="13" s="1"/>
  <c r="I39" i="13" s="1"/>
  <c r="D35" i="13"/>
  <c r="E31" i="13"/>
  <c r="I31" i="13" s="1"/>
  <c r="D27" i="13"/>
  <c r="E27" i="13" s="1"/>
  <c r="I27" i="13" s="1"/>
  <c r="D23" i="13"/>
  <c r="E23" i="13" s="1"/>
  <c r="I23" i="13" s="1"/>
  <c r="D18" i="13"/>
  <c r="E18" i="13" s="1"/>
  <c r="I18" i="13" s="1"/>
  <c r="D14" i="13"/>
  <c r="E14" i="13" s="1"/>
  <c r="I14" i="13" s="1"/>
  <c r="D10" i="13"/>
  <c r="E10" i="13" s="1"/>
  <c r="I10" i="13" s="1"/>
  <c r="D6" i="13"/>
  <c r="E6" i="13" s="1"/>
  <c r="I6" i="13" s="1"/>
  <c r="J6" i="13" s="1"/>
  <c r="J9" i="13"/>
  <c r="J8" i="13"/>
  <c r="A52" i="13"/>
  <c r="A58" i="13"/>
  <c r="E35" i="13" l="1"/>
  <c r="I35" i="13" s="1"/>
  <c r="K6" i="13"/>
  <c r="B4" i="9"/>
  <c r="D5" i="9"/>
  <c r="E5" i="9"/>
  <c r="A6" i="13"/>
  <c r="A68" i="13"/>
  <c r="A4" i="18"/>
  <c r="A5" i="18"/>
  <c r="A6" i="18"/>
  <c r="A8" i="18"/>
  <c r="A9" i="18"/>
  <c r="A10" i="18"/>
  <c r="A12" i="18"/>
  <c r="A14" i="18"/>
  <c r="A15" i="18"/>
  <c r="A16" i="18"/>
  <c r="A17" i="18"/>
  <c r="A18" i="18"/>
  <c r="A19" i="18"/>
  <c r="A20" i="18"/>
  <c r="A21" i="18"/>
  <c r="A22" i="18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4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4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5" i="9"/>
  <c r="C4" i="9"/>
  <c r="D3" i="28"/>
  <c r="H3" i="28" l="1"/>
  <c r="I3" i="28" s="1"/>
  <c r="E3" i="28"/>
  <c r="B24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G91" i="28"/>
  <c r="F85" i="28"/>
  <c r="G85" i="28" s="1"/>
  <c r="F80" i="28"/>
  <c r="F75" i="28"/>
  <c r="G75" i="28" s="1"/>
  <c r="F52" i="28"/>
  <c r="G48" i="28"/>
  <c r="G44" i="28"/>
  <c r="F36" i="28"/>
  <c r="G36" i="28" s="1"/>
  <c r="F32" i="28"/>
  <c r="G32" i="28" s="1"/>
  <c r="F28" i="28"/>
  <c r="G28" i="28" s="1"/>
  <c r="F24" i="28"/>
  <c r="G24" i="28" s="1"/>
  <c r="F19" i="28"/>
  <c r="G19" i="28" s="1"/>
  <c r="F15" i="28"/>
  <c r="G15" i="28" s="1"/>
  <c r="F11" i="28"/>
  <c r="G11" i="28" s="1"/>
  <c r="F7" i="28"/>
  <c r="G7" i="28" s="1"/>
  <c r="D98" i="28"/>
  <c r="E98" i="28" s="1"/>
  <c r="D91" i="28"/>
  <c r="E91" i="28" s="1"/>
  <c r="D85" i="28"/>
  <c r="E85" i="28" s="1"/>
  <c r="D75" i="28"/>
  <c r="E63" i="28"/>
  <c r="D58" i="28"/>
  <c r="E58" i="28" s="1"/>
  <c r="D52" i="28"/>
  <c r="E48" i="28"/>
  <c r="D40" i="28"/>
  <c r="D36" i="28"/>
  <c r="E36" i="28" s="1"/>
  <c r="D32" i="28"/>
  <c r="D28" i="28"/>
  <c r="D24" i="28"/>
  <c r="D19" i="28"/>
  <c r="E19" i="28" s="1"/>
  <c r="D15" i="28"/>
  <c r="D7" i="28"/>
  <c r="E7" i="28" s="1"/>
  <c r="D11" i="28"/>
  <c r="E11" i="28" s="1"/>
  <c r="A98" i="28"/>
  <c r="A91" i="28"/>
  <c r="A85" i="28"/>
  <c r="A80" i="28"/>
  <c r="A75" i="28"/>
  <c r="A68" i="28"/>
  <c r="A63" i="28"/>
  <c r="A58" i="28"/>
  <c r="A52" i="28"/>
  <c r="A48" i="28"/>
  <c r="A44" i="28"/>
  <c r="A40" i="28"/>
  <c r="A36" i="28"/>
  <c r="A32" i="28"/>
  <c r="A28" i="28"/>
  <c r="A24" i="28"/>
  <c r="A19" i="28"/>
  <c r="A15" i="28"/>
  <c r="A11" i="28"/>
  <c r="A7" i="28"/>
  <c r="A98" i="13"/>
  <c r="A91" i="13"/>
  <c r="A85" i="13"/>
  <c r="A80" i="13"/>
  <c r="A75" i="13"/>
  <c r="A63" i="13"/>
  <c r="A47" i="13"/>
  <c r="A43" i="13"/>
  <c r="A39" i="13"/>
  <c r="A35" i="13"/>
  <c r="A31" i="13"/>
  <c r="A27" i="13"/>
  <c r="A23" i="13"/>
  <c r="A18" i="13"/>
  <c r="A14" i="13"/>
  <c r="A10" i="13"/>
  <c r="A2" i="13"/>
  <c r="R91" i="13"/>
  <c r="F21" i="18" s="1"/>
  <c r="R85" i="13"/>
  <c r="R75" i="13"/>
  <c r="F18" i="18" s="1"/>
  <c r="R68" i="13"/>
  <c r="F17" i="18" s="1"/>
  <c r="R52" i="13"/>
  <c r="R43" i="13"/>
  <c r="R35" i="13"/>
  <c r="R31" i="13"/>
  <c r="R27" i="13"/>
  <c r="R23" i="13"/>
  <c r="R18" i="13"/>
  <c r="R14" i="13"/>
  <c r="R10" i="13"/>
  <c r="R2" i="13"/>
  <c r="L20" i="9"/>
  <c r="C80" i="28"/>
  <c r="N85" i="13" l="1"/>
  <c r="F20" i="18"/>
  <c r="N2" i="13"/>
  <c r="J2" i="13"/>
  <c r="K2" i="13" s="1"/>
  <c r="N52" i="13"/>
  <c r="F14" i="18"/>
  <c r="Q14" i="13"/>
  <c r="N14" i="13"/>
  <c r="F5" i="18"/>
  <c r="G80" i="28"/>
  <c r="J87" i="13"/>
  <c r="J89" i="13"/>
  <c r="J88" i="13"/>
  <c r="F12" i="18"/>
  <c r="J43" i="13"/>
  <c r="J44" i="13"/>
  <c r="K43" i="13" s="1"/>
  <c r="J91" i="13"/>
  <c r="J93" i="13"/>
  <c r="J94" i="13"/>
  <c r="J92" i="13"/>
  <c r="J52" i="13"/>
  <c r="J53" i="13"/>
  <c r="J54" i="13"/>
  <c r="J73" i="13"/>
  <c r="J72" i="13"/>
  <c r="J71" i="13"/>
  <c r="J70" i="13"/>
  <c r="J76" i="13"/>
  <c r="J75" i="13"/>
  <c r="J3" i="13"/>
  <c r="J15" i="13"/>
  <c r="J14" i="13"/>
  <c r="F6" i="18"/>
  <c r="J19" i="13"/>
  <c r="J18" i="13"/>
  <c r="F7" i="18"/>
  <c r="J23" i="13"/>
  <c r="J24" i="13"/>
  <c r="F4" i="18"/>
  <c r="J10" i="13"/>
  <c r="J11" i="13"/>
  <c r="F9" i="18"/>
  <c r="J31" i="13"/>
  <c r="J32" i="13"/>
  <c r="F8" i="18"/>
  <c r="J28" i="13"/>
  <c r="J27" i="13"/>
  <c r="F10" i="18"/>
  <c r="J35" i="13"/>
  <c r="J36" i="13"/>
  <c r="K35" i="13" s="1"/>
  <c r="F3" i="18"/>
  <c r="F2" i="18"/>
  <c r="H28" i="28"/>
  <c r="I28" i="28" s="1"/>
  <c r="N75" i="13"/>
  <c r="Q85" i="13"/>
  <c r="H75" i="28"/>
  <c r="H52" i="28"/>
  <c r="H7" i="28"/>
  <c r="H32" i="28"/>
  <c r="E32" i="28"/>
  <c r="H15" i="28"/>
  <c r="I15" i="28" s="1"/>
  <c r="H5" i="18" s="1"/>
  <c r="E15" i="28"/>
  <c r="H24" i="28"/>
  <c r="H11" i="28"/>
  <c r="E24" i="28"/>
  <c r="H44" i="28"/>
  <c r="I44" i="28" s="1"/>
  <c r="E44" i="28"/>
  <c r="H85" i="28"/>
  <c r="E28" i="28"/>
  <c r="E40" i="28"/>
  <c r="H19" i="28"/>
  <c r="H36" i="28"/>
  <c r="H91" i="28"/>
  <c r="I91" i="28" s="1"/>
  <c r="H21" i="18" s="1"/>
  <c r="M2" i="13" l="1"/>
  <c r="L4" i="9"/>
  <c r="H2" i="18"/>
  <c r="L7" i="9"/>
  <c r="L19" i="9"/>
  <c r="H17" i="18"/>
  <c r="L10" i="9"/>
  <c r="H8" i="18"/>
  <c r="L14" i="9"/>
  <c r="H12" i="18"/>
  <c r="K75" i="13"/>
  <c r="K18" i="13"/>
  <c r="K23" i="13"/>
  <c r="K14" i="13"/>
  <c r="K31" i="13"/>
  <c r="K10" i="13"/>
  <c r="K27" i="13"/>
  <c r="E52" i="28"/>
  <c r="C52" i="28" s="1"/>
  <c r="I52" i="28" s="1"/>
  <c r="I7" i="28"/>
  <c r="Q27" i="13"/>
  <c r="Q2" i="13"/>
  <c r="I32" i="28"/>
  <c r="I11" i="28"/>
  <c r="H4" i="18" s="1"/>
  <c r="I24" i="28"/>
  <c r="I19" i="28"/>
  <c r="I85" i="28"/>
  <c r="I48" i="28"/>
  <c r="L23" i="9"/>
  <c r="I36" i="28"/>
  <c r="O39" i="13"/>
  <c r="O58" i="13"/>
  <c r="D96" i="13"/>
  <c r="J96" i="13" s="1"/>
  <c r="D85" i="13"/>
  <c r="J85" i="13" s="1"/>
  <c r="D68" i="13"/>
  <c r="J68" i="13" s="1"/>
  <c r="D56" i="13"/>
  <c r="J56" i="13" s="1"/>
  <c r="K52" i="13" s="1"/>
  <c r="D50" i="13"/>
  <c r="J50" i="13" s="1"/>
  <c r="K47" i="13" s="1"/>
  <c r="J4" i="9" l="1"/>
  <c r="M4" i="9" s="1"/>
  <c r="B2" i="18" s="1"/>
  <c r="P2" i="13"/>
  <c r="L15" i="9"/>
  <c r="H13" i="18"/>
  <c r="L5" i="9"/>
  <c r="H3" i="18"/>
  <c r="L22" i="9"/>
  <c r="H20" i="18"/>
  <c r="L16" i="9"/>
  <c r="H14" i="18"/>
  <c r="L8" i="9"/>
  <c r="H6" i="18"/>
  <c r="L11" i="9"/>
  <c r="H9" i="18"/>
  <c r="L9" i="9"/>
  <c r="H7" i="18"/>
  <c r="L6" i="9"/>
  <c r="L12" i="9"/>
  <c r="H10" i="18"/>
  <c r="R39" i="13"/>
  <c r="F40" i="28"/>
  <c r="R58" i="13"/>
  <c r="F58" i="28"/>
  <c r="G52" i="28"/>
  <c r="I15" i="9"/>
  <c r="G13" i="18" s="1"/>
  <c r="I13" i="18" s="1"/>
  <c r="I20" i="9"/>
  <c r="G18" i="18" s="1"/>
  <c r="I18" i="18" s="1"/>
  <c r="I14" i="9"/>
  <c r="G12" i="18" s="1"/>
  <c r="I12" i="18" s="1"/>
  <c r="I16" i="9"/>
  <c r="G14" i="18" s="1"/>
  <c r="I14" i="18" s="1"/>
  <c r="F15" i="18" l="1"/>
  <c r="J59" i="13"/>
  <c r="J58" i="13"/>
  <c r="F11" i="18"/>
  <c r="J39" i="13"/>
  <c r="J40" i="13"/>
  <c r="G58" i="28"/>
  <c r="H58" i="28"/>
  <c r="I58" i="28" s="1"/>
  <c r="G40" i="28"/>
  <c r="H40" i="28"/>
  <c r="I40" i="28" s="1"/>
  <c r="I6" i="9"/>
  <c r="G4" i="18" s="1"/>
  <c r="I4" i="18" s="1"/>
  <c r="I9" i="9"/>
  <c r="G7" i="18" s="1"/>
  <c r="I7" i="18" s="1"/>
  <c r="P27" i="13"/>
  <c r="K10" i="9" s="1"/>
  <c r="I10" i="9"/>
  <c r="G8" i="18" s="1"/>
  <c r="I8" i="18" s="1"/>
  <c r="I11" i="9"/>
  <c r="G9" i="18" s="1"/>
  <c r="I9" i="18" s="1"/>
  <c r="I8" i="9"/>
  <c r="G6" i="18" s="1"/>
  <c r="I6" i="18" s="1"/>
  <c r="I12" i="9"/>
  <c r="G10" i="18" s="1"/>
  <c r="I10" i="18" s="1"/>
  <c r="I5" i="9"/>
  <c r="I7" i="9"/>
  <c r="G5" i="18" s="1"/>
  <c r="I5" i="18" s="1"/>
  <c r="L80" i="13"/>
  <c r="D97" i="13"/>
  <c r="J97" i="13" s="1"/>
  <c r="K91" i="13" s="1"/>
  <c r="D86" i="13"/>
  <c r="J86" i="13" s="1"/>
  <c r="K85" i="13" s="1"/>
  <c r="D69" i="13"/>
  <c r="J69" i="13" s="1"/>
  <c r="K68" i="13" s="1"/>
  <c r="O98" i="13"/>
  <c r="K39" i="13" l="1"/>
  <c r="I13" i="9" s="1"/>
  <c r="G11" i="18" s="1"/>
  <c r="I11" i="18" s="1"/>
  <c r="F19" i="18"/>
  <c r="L17" i="9"/>
  <c r="H15" i="18"/>
  <c r="L13" i="9"/>
  <c r="H11" i="18"/>
  <c r="G3" i="18"/>
  <c r="I3" i="18" s="1"/>
  <c r="K58" i="13"/>
  <c r="I17" i="9" s="1"/>
  <c r="G15" i="18" s="1"/>
  <c r="I15" i="18" s="1"/>
  <c r="R98" i="13"/>
  <c r="Q98" i="13" s="1"/>
  <c r="F98" i="28"/>
  <c r="R80" i="13"/>
  <c r="D80" i="28"/>
  <c r="K4" i="9"/>
  <c r="N4" i="9" s="1"/>
  <c r="O4" i="9" s="1"/>
  <c r="P4" i="9" s="1"/>
  <c r="Q58" i="13"/>
  <c r="I22" i="9"/>
  <c r="G20" i="18" s="1"/>
  <c r="I20" i="18" s="1"/>
  <c r="I4" i="9"/>
  <c r="G2" i="18" s="1"/>
  <c r="I2" i="18" s="1"/>
  <c r="I23" i="9"/>
  <c r="G21" i="18" s="1"/>
  <c r="I21" i="18" s="1"/>
  <c r="I19" i="9"/>
  <c r="G17" i="18" s="1"/>
  <c r="I17" i="18" s="1"/>
  <c r="J98" i="13" l="1"/>
  <c r="K98" i="13" s="1"/>
  <c r="N98" i="13"/>
  <c r="P58" i="13"/>
  <c r="K17" i="9" s="1"/>
  <c r="J81" i="13"/>
  <c r="J80" i="13"/>
  <c r="N80" i="13"/>
  <c r="H80" i="28"/>
  <c r="I80" i="28" s="1"/>
  <c r="E80" i="28"/>
  <c r="G98" i="28"/>
  <c r="H98" i="28"/>
  <c r="I98" i="28" s="1"/>
  <c r="L24" i="9" s="1"/>
  <c r="F22" i="18"/>
  <c r="Q80" i="13"/>
  <c r="Q75" i="13"/>
  <c r="P75" i="13" s="1"/>
  <c r="K20" i="9" s="1"/>
  <c r="N20" i="9" s="1"/>
  <c r="C18" i="18" s="1"/>
  <c r="M75" i="13"/>
  <c r="J20" i="9" s="1"/>
  <c r="M20" i="9" s="1"/>
  <c r="P85" i="13"/>
  <c r="K22" i="9" s="1"/>
  <c r="P98" i="13" l="1"/>
  <c r="K24" i="9" s="1"/>
  <c r="M98" i="13"/>
  <c r="I24" i="9"/>
  <c r="G22" i="18" s="1"/>
  <c r="I22" i="18" s="1"/>
  <c r="L21" i="9"/>
  <c r="H19" i="18"/>
  <c r="H22" i="18"/>
  <c r="J24" i="9"/>
  <c r="K80" i="13"/>
  <c r="I21" i="9" s="1"/>
  <c r="G19" i="18" s="1"/>
  <c r="I19" i="18" s="1"/>
  <c r="B18" i="18"/>
  <c r="O20" i="9"/>
  <c r="P20" i="9" s="1"/>
  <c r="N91" i="13"/>
  <c r="M91" i="13" s="1"/>
  <c r="J23" i="9" s="1"/>
  <c r="M23" i="9" s="1"/>
  <c r="B21" i="18" s="1"/>
  <c r="N39" i="13"/>
  <c r="M39" i="13" s="1"/>
  <c r="J13" i="9" s="1"/>
  <c r="Q39" i="13"/>
  <c r="P39" i="13" s="1"/>
  <c r="K13" i="9" s="1"/>
  <c r="N17" i="9"/>
  <c r="C15" i="18" s="1"/>
  <c r="Q52" i="13"/>
  <c r="P52" i="13" s="1"/>
  <c r="K16" i="9" s="1"/>
  <c r="M85" i="13"/>
  <c r="J22" i="9" s="1"/>
  <c r="Q68" i="13"/>
  <c r="P68" i="13" s="1"/>
  <c r="K19" i="9" s="1"/>
  <c r="N68" i="13"/>
  <c r="M68" i="13" s="1"/>
  <c r="J19" i="9" s="1"/>
  <c r="Q91" i="13"/>
  <c r="P91" i="13" s="1"/>
  <c r="K23" i="9" s="1"/>
  <c r="N23" i="9" s="1"/>
  <c r="C21" i="18" s="1"/>
  <c r="M52" i="13"/>
  <c r="J16" i="9" s="1"/>
  <c r="Q47" i="13"/>
  <c r="N47" i="13"/>
  <c r="Q43" i="13"/>
  <c r="P43" i="13" s="1"/>
  <c r="K14" i="9" s="1"/>
  <c r="N14" i="9" s="1"/>
  <c r="C12" i="18" s="1"/>
  <c r="N43" i="13"/>
  <c r="M43" i="13" s="1"/>
  <c r="J14" i="9" s="1"/>
  <c r="M14" i="9" s="1"/>
  <c r="B12" i="18" s="1"/>
  <c r="N58" i="13"/>
  <c r="M58" i="13" s="1"/>
  <c r="J17" i="9" s="1"/>
  <c r="M17" i="9" s="1"/>
  <c r="B15" i="18" s="1"/>
  <c r="M24" i="9" l="1"/>
  <c r="B22" i="18" s="1"/>
  <c r="N24" i="9"/>
  <c r="C22" i="18" s="1"/>
  <c r="P80" i="13"/>
  <c r="K21" i="9" s="1"/>
  <c r="N21" i="9" s="1"/>
  <c r="C19" i="18" s="1"/>
  <c r="M80" i="13"/>
  <c r="J21" i="9" s="1"/>
  <c r="M21" i="9" s="1"/>
  <c r="B19" i="18" s="1"/>
  <c r="P47" i="13"/>
  <c r="K15" i="9" s="1"/>
  <c r="N15" i="9" s="1"/>
  <c r="C13" i="18" s="1"/>
  <c r="M47" i="13"/>
  <c r="J15" i="9" s="1"/>
  <c r="M15" i="9" s="1"/>
  <c r="O23" i="9"/>
  <c r="O14" i="9"/>
  <c r="P14" i="9" s="1"/>
  <c r="O17" i="9"/>
  <c r="P17" i="9" s="1"/>
  <c r="N16" i="9"/>
  <c r="C14" i="18" s="1"/>
  <c r="M16" i="9"/>
  <c r="B14" i="18" s="1"/>
  <c r="N22" i="9"/>
  <c r="C20" i="18" s="1"/>
  <c r="M22" i="9"/>
  <c r="B20" i="18" s="1"/>
  <c r="M13" i="9"/>
  <c r="B11" i="18" s="1"/>
  <c r="N13" i="9"/>
  <c r="C11" i="18" s="1"/>
  <c r="N19" i="9"/>
  <c r="C17" i="18" s="1"/>
  <c r="M19" i="9"/>
  <c r="B17" i="18" s="1"/>
  <c r="C2" i="18"/>
  <c r="O24" i="9" l="1"/>
  <c r="P24" i="9" s="1"/>
  <c r="B13" i="18"/>
  <c r="O15" i="9"/>
  <c r="P15" i="9" s="1"/>
  <c r="O21" i="9"/>
  <c r="P21" i="9" s="1"/>
  <c r="O16" i="9"/>
  <c r="P16" i="9" s="1"/>
  <c r="O19" i="9"/>
  <c r="P19" i="9" s="1"/>
  <c r="O22" i="9"/>
  <c r="P22" i="9" s="1"/>
  <c r="N31" i="13"/>
  <c r="M31" i="13" s="1"/>
  <c r="J11" i="9" s="1"/>
  <c r="P23" i="9"/>
  <c r="O13" i="9"/>
  <c r="P13" i="9" s="1"/>
  <c r="N23" i="13"/>
  <c r="M23" i="13" s="1"/>
  <c r="J9" i="9" s="1"/>
  <c r="N10" i="13"/>
  <c r="M10" i="13" s="1"/>
  <c r="J6" i="9" s="1"/>
  <c r="N6" i="13"/>
  <c r="M6" i="13" s="1"/>
  <c r="J5" i="9" s="1"/>
  <c r="N18" i="13"/>
  <c r="M18" i="13" s="1"/>
  <c r="J8" i="9" s="1"/>
  <c r="M14" i="13"/>
  <c r="J7" i="9" s="1"/>
  <c r="Q35" i="13"/>
  <c r="P35" i="13" s="1"/>
  <c r="K12" i="9" s="1"/>
  <c r="N12" i="9" s="1"/>
  <c r="C10" i="18" s="1"/>
  <c r="N35" i="13"/>
  <c r="M35" i="13" s="1"/>
  <c r="J12" i="9" s="1"/>
  <c r="M12" i="9" s="1"/>
  <c r="B10" i="18" s="1"/>
  <c r="P14" i="13"/>
  <c r="K7" i="9" s="1"/>
  <c r="Q18" i="13"/>
  <c r="P18" i="13" s="1"/>
  <c r="Q31" i="13"/>
  <c r="P31" i="13" s="1"/>
  <c r="K11" i="9" s="1"/>
  <c r="Q23" i="13"/>
  <c r="P23" i="13" s="1"/>
  <c r="K9" i="9" s="1"/>
  <c r="N27" i="13"/>
  <c r="M27" i="13" s="1"/>
  <c r="J10" i="9" s="1"/>
  <c r="Q6" i="13"/>
  <c r="P6" i="13" s="1"/>
  <c r="K5" i="9" s="1"/>
  <c r="Q10" i="13"/>
  <c r="P10" i="13" s="1"/>
  <c r="K6" i="9" s="1"/>
  <c r="K8" i="9" l="1"/>
  <c r="N8" i="9" s="1"/>
  <c r="C6" i="18" s="1"/>
  <c r="N7" i="9"/>
  <c r="C5" i="18" s="1"/>
  <c r="M7" i="9"/>
  <c r="B5" i="18" s="1"/>
  <c r="N9" i="9"/>
  <c r="C7" i="18" s="1"/>
  <c r="M9" i="9"/>
  <c r="B7" i="18" s="1"/>
  <c r="O12" i="9"/>
  <c r="P12" i="9" s="1"/>
  <c r="M10" i="9"/>
  <c r="B8" i="18" s="1"/>
  <c r="N10" i="9"/>
  <c r="C8" i="18" s="1"/>
  <c r="M11" i="9"/>
  <c r="B9" i="18" s="1"/>
  <c r="N11" i="9"/>
  <c r="C9" i="18" s="1"/>
  <c r="M5" i="9"/>
  <c r="B3" i="18" s="1"/>
  <c r="N5" i="9"/>
  <c r="C3" i="18" s="1"/>
  <c r="M8" i="9"/>
  <c r="B6" i="18" s="1"/>
  <c r="N6" i="9"/>
  <c r="C4" i="18" s="1"/>
  <c r="M6" i="9"/>
  <c r="B4" i="18" s="1"/>
  <c r="A48" i="10"/>
  <c r="M32" i="10"/>
  <c r="J32" i="10"/>
  <c r="G32" i="10"/>
  <c r="D32" i="10"/>
  <c r="A32" i="10"/>
  <c r="J15" i="10"/>
  <c r="G15" i="10"/>
  <c r="D15" i="10"/>
  <c r="A15" i="10"/>
  <c r="O11" i="9" l="1"/>
  <c r="P11" i="9" s="1"/>
  <c r="O8" i="9"/>
  <c r="P8" i="9" s="1"/>
  <c r="O9" i="9"/>
  <c r="P9" i="9" s="1"/>
  <c r="O6" i="9"/>
  <c r="P6" i="9" s="1"/>
  <c r="O7" i="9"/>
  <c r="P7" i="9" s="1"/>
  <c r="O5" i="9"/>
  <c r="P5" i="9" s="1"/>
  <c r="O10" i="9"/>
  <c r="P10" i="9" s="1"/>
  <c r="J107" i="1"/>
  <c r="J15" i="1" l="1"/>
  <c r="J92" i="1" l="1"/>
  <c r="J88" i="1"/>
  <c r="J5" i="1" l="1"/>
  <c r="J6" i="1"/>
  <c r="J7" i="1"/>
  <c r="J8" i="1"/>
  <c r="J9" i="1"/>
  <c r="J10" i="1"/>
  <c r="J11" i="1"/>
  <c r="J12" i="1"/>
  <c r="J13" i="1"/>
  <c r="J14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9" i="1"/>
  <c r="J90" i="1"/>
  <c r="J91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4" i="1" l="1"/>
  <c r="J120" i="1" l="1"/>
  <c r="H63" i="28"/>
  <c r="I63" i="28" s="1"/>
  <c r="H16" i="18" s="1"/>
  <c r="R63" i="13"/>
  <c r="F16" i="18" l="1"/>
  <c r="J63" i="13"/>
  <c r="J64" i="13"/>
  <c r="G63" i="28"/>
  <c r="Q63" i="13"/>
  <c r="L18" i="9"/>
  <c r="N63" i="13"/>
  <c r="K63" i="13" l="1"/>
  <c r="I18" i="9" s="1"/>
  <c r="G16" i="18" s="1"/>
  <c r="I16" i="18" s="1"/>
  <c r="M63" i="13" l="1"/>
  <c r="J18" i="9" s="1"/>
  <c r="M18" i="9" s="1"/>
  <c r="B16" i="18" s="1"/>
  <c r="P63" i="13"/>
  <c r="K18" i="9" s="1"/>
  <c r="N18" i="9" s="1"/>
  <c r="C16" i="18" s="1"/>
  <c r="O18" i="9" l="1"/>
  <c r="P18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Esp. Ing. Alejandro Galeano Avendaño</author>
  </authors>
  <commentList>
    <comment ref="B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 el número de egresos que en promedio comprometieron el uso de cada cama disponible. Dicho de otra manera, es la rotación media de las camas y expresa cuántos pacientes
pasan en un período dado, en promedio, por cama disponible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Esp. Ing. Alejandro Galeano Avendaño</author>
  </authors>
  <commentList>
    <comment ref="D21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 MODELO SSI-600 - PORTATIL MARCA SONOSCAPE
ECOGRAFO  MARCA SAMSUMG  HS40  DEL CONTRATO 613-2019</t>
        </r>
      </text>
    </comment>
    <comment ref="L68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Reingresos mayores de 15 días en hospitalización</t>
        </r>
      </text>
    </comment>
    <comment ref="O68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Reingresos menores de 15 días en hospitalización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Casa</author>
  </authors>
  <commentList>
    <comment ref="L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Casa:</t>
        </r>
        <r>
          <rPr>
            <sz val="9"/>
            <color indexed="81"/>
            <rFont val="Tahoma"/>
            <family val="2"/>
          </rPr>
          <t xml:space="preserve">
Ic</t>
        </r>
      </text>
    </comment>
    <comment ref="M7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Casa:</t>
        </r>
        <r>
          <rPr>
            <sz val="9"/>
            <color indexed="81"/>
            <rFont val="Tahoma"/>
            <family val="2"/>
          </rPr>
          <t xml:space="preserve">
Inc</t>
        </r>
      </text>
    </comment>
  </commentList>
</comments>
</file>

<file path=xl/sharedStrings.xml><?xml version="1.0" encoding="utf-8"?>
<sst xmlns="http://schemas.openxmlformats.org/spreadsheetml/2006/main" count="3172" uniqueCount="700">
  <si>
    <t>TIPO DE PROCESO</t>
  </si>
  <si>
    <t>NOMBRE DEL  INDICADOR</t>
  </si>
  <si>
    <t>N°</t>
  </si>
  <si>
    <t>UNIDAD DE MEDIDA</t>
  </si>
  <si>
    <t>TIPO DE INDICADOR</t>
  </si>
  <si>
    <t>SENTIDO</t>
  </si>
  <si>
    <t>OPERATIVO</t>
  </si>
  <si>
    <t>ATRUBUTO</t>
  </si>
  <si>
    <t>ESTRATÉGICO</t>
  </si>
  <si>
    <t>TÁCTICO</t>
  </si>
  <si>
    <t>MISIONALES</t>
  </si>
  <si>
    <t>APOYO</t>
  </si>
  <si>
    <t>MENSUAL</t>
  </si>
  <si>
    <t>TRIMESTRAL</t>
  </si>
  <si>
    <t>SEMESTRAL</t>
  </si>
  <si>
    <t>ANUAL</t>
  </si>
  <si>
    <t>ATRIBUTO</t>
  </si>
  <si>
    <t>PROCESO</t>
  </si>
  <si>
    <t>ACCESIBILIDAD</t>
  </si>
  <si>
    <t>CONTINUIDAD</t>
  </si>
  <si>
    <t>OPORTUNIDAD</t>
  </si>
  <si>
    <t>PERTINENCIA</t>
  </si>
  <si>
    <t>SATISFACCIÓN DEL USUARIO</t>
  </si>
  <si>
    <t>SEGURIDAD</t>
  </si>
  <si>
    <t>APOYO DIAGNOSTICO Y TERAPÉUTICO</t>
  </si>
  <si>
    <t>ATENCIÓN MEDICO QUIRÚRGICOS Y HOSPITALARIOS</t>
  </si>
  <si>
    <t>CONSULTA EXTERNA</t>
  </si>
  <si>
    <t>DIRECCIONAMIENTO COMERCIAL</t>
  </si>
  <si>
    <t>GESTIÓN ADMINISTRATIVA</t>
  </si>
  <si>
    <t>GESTIÓN DE CALIDAD</t>
  </si>
  <si>
    <t>GESTIÓN FINANCIERA</t>
  </si>
  <si>
    <t>SERVICIO</t>
  </si>
  <si>
    <t>FRECUENCIA DEL REPORTE</t>
  </si>
  <si>
    <t>CALIDAD</t>
  </si>
  <si>
    <t>PORCENTAJE DE PACIENTES IDENTIFICADOS CORRECTAMENTE</t>
  </si>
  <si>
    <t>PORCENTAJE DE CAIDAS DEL PACIENTE</t>
  </si>
  <si>
    <t>INDICE DE PRESENTACION DE ULCERAS POR PRESION</t>
  </si>
  <si>
    <t>TASA DE MORTALIDAD INTRAHOSPITALARIA DESPUES DE 48 HORAS</t>
  </si>
  <si>
    <t>PORCENTAJE DE INFECCION INTRAHOSPITALARIA</t>
  </si>
  <si>
    <t>PROPORCION DE VIGILANCIA DE EVENTOS ADVERSOS</t>
  </si>
  <si>
    <t>PORCENTAJE DE PREVALENCIA DE ULCERAS POR PRESION</t>
  </si>
  <si>
    <t>PORCENTAJE DE PACIENTES QUE DESARROLLAN ULCERAS POR PRESION EN LA INSTITUCION</t>
  </si>
  <si>
    <t>PORCENTAJE DE COMPLICACIONES EN PACIENTES CON ULCERAS POR PRESION</t>
  </si>
  <si>
    <t>PORCENTAJE DE FLEBITIS INFECCIOSA</t>
  </si>
  <si>
    <t>PORCENTAJE DE FLEBITIS QUIMICA</t>
  </si>
  <si>
    <t>PORCENTAJE DE INCIDENTES O EVENTOS ADVERSOS ASOCIADOS A FALLAS EN LA IDENTIFICACION DEL PACIENTE</t>
  </si>
  <si>
    <t>PORCENTAJE DE INCIDENTES O EVENTOS ADVERSOS RELACIONADOS CON LA IDENTIFICACION REDUNDANTE</t>
  </si>
  <si>
    <t>PORCENTAJE DE RAT</t>
  </si>
  <si>
    <t>FARMACIA</t>
  </si>
  <si>
    <t>INFECCIONES ASOCIADAS A LA ATENCION EN SALUD</t>
  </si>
  <si>
    <t>INFECCION DEL TORRENTE SANGUINEO ASOCIADA A CATETER CENTRAL</t>
  </si>
  <si>
    <t>PORCENTAJE DE ADHERENCIA A LA HIGIENE DE MANOS</t>
  </si>
  <si>
    <t>PORCENTAJE DE ADHERENCIA A LAS PROFILAXIS AINTIBIOTICA</t>
  </si>
  <si>
    <t>PORCENTAJE DE ADHERENCIA AL AISLAMIENTO HOSPITALARIO</t>
  </si>
  <si>
    <t>TIEMPO DE RESPUESTA A SOLICITUDES DE MANTENIMIENTO CORRECTIVO POR INGENIERIA</t>
  </si>
  <si>
    <t>PORCENTAJE DE CUMPLIMIENTO A MANTENIMIENTO PREVENTIVO DE EQUIPOS BIOMEDICOS</t>
  </si>
  <si>
    <t>PORCENTAJE GLOBAL DE INFECCIONES DEL SITIO OPERATORIO</t>
  </si>
  <si>
    <t>PREVALENCIA DE CASOS DE MORBILIDAD MATERNA EXTREMA</t>
  </si>
  <si>
    <t>PORCENTAJE DE SOBREVIDA DEL INJERTO DE PIEL</t>
  </si>
  <si>
    <t>AUDITORIA DE ESTANCIAS PROLONGADAS</t>
  </si>
  <si>
    <t>GESTIÓN DE CASOS REPORTADOS</t>
  </si>
  <si>
    <t>GLOSA EN CUENTAS MÉDICAS</t>
  </si>
  <si>
    <t>NOTIFICACIÓN DE INCIDENTES, FALLAS Y EVENTOS ADVERSOS</t>
  </si>
  <si>
    <t>PORCENTAJE DE REINGRESOS DE PACIENTES HOSPITALIZADOS</t>
  </si>
  <si>
    <t>INFECCION URINARIA ASOCIADA A CATETER URINARIO - HOSPITALIZACIÓN</t>
  </si>
  <si>
    <t>INFECCION URINARIA ASOCIADA A CATETER URINARIO - UNIDAD DE CUIDADOS INTENSIVOS NEONATAL</t>
  </si>
  <si>
    <t>INFECCION URINARIA ASOCIADA A CATETER URINARIO - UNIDAD DE TRASPLANTE DE MÉDULA ÓSEA</t>
  </si>
  <si>
    <t>INFECCION DEL TORRENTE SANGUINEO ASOCIADA A CATETER CENTRAL - HOSPITALIZACIÓN</t>
  </si>
  <si>
    <t>INFECCION DEL TORRENTE SANGUINEO ASOCIADA A CATETER CENTRAL - UNIDAD DE CUIDADOS INTENSIVOS NEONATAL</t>
  </si>
  <si>
    <t>INFECCION URINARIA ASOCIADA A CATETER URINARIO - UNIDAD DE CUIDADOS INTENSIVOS ADULTOS</t>
  </si>
  <si>
    <t>OPORTUNIDAD EN LA ATENCION EN SERVICIOS DE IMAGENOLOGIA</t>
  </si>
  <si>
    <t>OPORTUNIDAD EN LA ATENCION EN SERVICIOS DE IMAGENOLOGIA - TAC</t>
  </si>
  <si>
    <t>OPORTUNIDAD EN LA ATENCION EN SERVICIOS DE IMAGENOLOGIA - RADIOLOGÍA SIMPLE</t>
  </si>
  <si>
    <t>PORCENTAJE DE RAT POR COMPONENTE SANGUINEO TRANSFUNDIDO - GLÓBULOS ROJOS</t>
  </si>
  <si>
    <t>PORCENTAJE DE RAT POR COMPONENTE SANGUINEO TRANSFUNDIDO - PLAQUETAS</t>
  </si>
  <si>
    <t>PORCENTAJE DE RAT POR COMPONENTE SANGUINEO TRANSFUNDIDO - PLASMA</t>
  </si>
  <si>
    <r>
      <t xml:space="preserve">PORCENTAJE DE RAT POR GRADO DE SEVERIDAD - </t>
    </r>
    <r>
      <rPr>
        <b/>
        <sz val="11"/>
        <color theme="1"/>
        <rFont val="Arial"/>
        <family val="2"/>
      </rPr>
      <t>MUERTE</t>
    </r>
  </si>
  <si>
    <r>
      <t xml:space="preserve">PORCENTAJE DE RAT POR GRADO DE IMPUTABILIDAD - </t>
    </r>
    <r>
      <rPr>
        <b/>
        <sz val="11"/>
        <color theme="1"/>
        <rFont val="Arial"/>
        <family val="2"/>
      </rPr>
      <t>GRADO 0</t>
    </r>
  </si>
  <si>
    <r>
      <t xml:space="preserve">PORCENTAJE DE RAT POR GRADO DE IMPUTABILIDAD - </t>
    </r>
    <r>
      <rPr>
        <b/>
        <sz val="11"/>
        <color theme="1"/>
        <rFont val="Arial"/>
        <family val="2"/>
      </rPr>
      <t>GRADO 1</t>
    </r>
  </si>
  <si>
    <r>
      <t xml:space="preserve">PORCENTAJE DE RAT POR GRADO DE IMPUTABILIDAD - </t>
    </r>
    <r>
      <rPr>
        <b/>
        <sz val="11"/>
        <color theme="1"/>
        <rFont val="Arial"/>
        <family val="2"/>
      </rPr>
      <t>GRADO 2</t>
    </r>
  </si>
  <si>
    <r>
      <t xml:space="preserve">PORCENTAJE DE RAT POR GRADO DE IMPUTABILIDAD - </t>
    </r>
    <r>
      <rPr>
        <b/>
        <sz val="11"/>
        <color theme="1"/>
        <rFont val="Arial"/>
        <family val="2"/>
      </rPr>
      <t>GRADO 3</t>
    </r>
  </si>
  <si>
    <r>
      <t xml:space="preserve">PORCENTAJE DE RAT SEGÚN DEFINICIONES DE CASO - </t>
    </r>
    <r>
      <rPr>
        <b/>
        <sz val="11"/>
        <color theme="1"/>
        <rFont val="Arial"/>
        <family val="2"/>
      </rPr>
      <t>ENFERMEDADES TRANSMITIDAS POR LA TRANSFUSIÓN</t>
    </r>
  </si>
  <si>
    <r>
      <t xml:space="preserve">PORCENTAJE DE RAT POR GRADO DE SEVERIDAD - </t>
    </r>
    <r>
      <rPr>
        <b/>
        <sz val="11"/>
        <color theme="1"/>
        <rFont val="Arial"/>
        <family val="2"/>
      </rPr>
      <t>LEVE</t>
    </r>
  </si>
  <si>
    <r>
      <t xml:space="preserve">PORCENTAJE DE RAT POR GRADO DE SEVERIDAD - </t>
    </r>
    <r>
      <rPr>
        <b/>
        <sz val="11"/>
        <color theme="1"/>
        <rFont val="Arial"/>
        <family val="2"/>
      </rPr>
      <t>MODERADO</t>
    </r>
  </si>
  <si>
    <r>
      <t xml:space="preserve">PORCENTAJE DE RAT POR GRADO DE SEVERIDAD - </t>
    </r>
    <r>
      <rPr>
        <b/>
        <sz val="11"/>
        <color theme="1"/>
        <rFont val="Arial"/>
        <family val="2"/>
      </rPr>
      <t>SEVERO</t>
    </r>
  </si>
  <si>
    <t>TISS 28 - UCI ADULTO</t>
  </si>
  <si>
    <t>HORAS ENFERMERA - UCI ADULTO</t>
  </si>
  <si>
    <t>RETIRO ACCIDENTAL DE ELEMENTOS - UCI ADULTO</t>
  </si>
  <si>
    <t>GIRO CAMA - UCI ADULTO</t>
  </si>
  <si>
    <t>ESTANCIA PROMEDIO - UCI ADULTO</t>
  </si>
  <si>
    <t>PRESIÓN MESETA - UCI ADULTO</t>
  </si>
  <si>
    <t>BAROTRAUMA - UCI ADULTO</t>
  </si>
  <si>
    <t>EXTUBACIÓN NO PROGRAMADA - UCI ADULTO</t>
  </si>
  <si>
    <t>INGRESOS - UCI ADULTO</t>
  </si>
  <si>
    <t>PORCENTAJE DE PACIENTES POR COMPLEJIDAD - UCI ADULTO</t>
  </si>
  <si>
    <t>PORCENTAJE DE INGRESOS POR SERVICIO - UCI ADULTO</t>
  </si>
  <si>
    <t>EDAD PROMEDIO DE PACIENTES - UCI ADULTO</t>
  </si>
  <si>
    <t>PORCENTAJE DE OCUPACIÓN - UCI ADULTO</t>
  </si>
  <si>
    <t>ÍNDICE DE SEVERIDAD PROMEDIO - UCI ADULTO</t>
  </si>
  <si>
    <t>PORCENTAJE TIPO DE INGRESO - UCI ADULTO</t>
  </si>
  <si>
    <t>MORTALIDAD HOSPITALARIA PACIENTES - UCI ADULTO</t>
  </si>
  <si>
    <t>MORTALIDAD AJUSTADA - UCI ADULTO</t>
  </si>
  <si>
    <t>GINECOBSTETRICIA</t>
  </si>
  <si>
    <t>NÚMERO DE PARTOS</t>
  </si>
  <si>
    <t>PROMEDIO DE CONTROLES PRENATALES</t>
  </si>
  <si>
    <t>COBERTURA DE CONTROL PRENATAL</t>
  </si>
  <si>
    <t>TRAUMA DEL NEONATO EN EL NACIMIENTO</t>
  </si>
  <si>
    <t>TASA DE INGRESO A UCI NEONATAL</t>
  </si>
  <si>
    <t>PROPORCIÓN DE RECIÉN NACIDOS CON BAJO PESO AL NACER</t>
  </si>
  <si>
    <t>COMPLICACIÓN OBSTÉTRICA</t>
  </si>
  <si>
    <t>DESGARRO PERINEAL GRADO III - IV</t>
  </si>
  <si>
    <t>NÚMERO DE PROCEDIMIENTOS REALIZADOS</t>
  </si>
  <si>
    <t>OPORTUNIDAD EN LA ASIGNACIÓN DE CITAS PARA PROCEDIMIENTOS DE GASTROENTEROLOGÍA</t>
  </si>
  <si>
    <t>COMPLICACIONES PRESENTADAS EN PROCEDIMIENTOS DE GASTROENTEROLOGIA</t>
  </si>
  <si>
    <t>TIEMPO DE ESTACIA HOSPITALARIA PROMEDIO DE PACIENTES DE GASTROENTEROLOGIA</t>
  </si>
  <si>
    <t>PORCENTAJE DE OCUPACIÓN</t>
  </si>
  <si>
    <t>PROMEDIO DE ESTANCIA</t>
  </si>
  <si>
    <t>PORCENTAJE DE REINGRESOS</t>
  </si>
  <si>
    <t>PORCENTAJE DE NEUMONIAS BRONCOASPIRATIVAS</t>
  </si>
  <si>
    <t>PORCENTAJE DE MORTALIDAD</t>
  </si>
  <si>
    <t>PORCENTAJE DE QUEMADURAS POR LÁMPARAS</t>
  </si>
  <si>
    <t>PORCENTAJE DE PACIENTES CON ELEMENTOS INVASIVOS</t>
  </si>
  <si>
    <t>BAROTRAUMA</t>
  </si>
  <si>
    <t>POSICION SEMI INCORPORADA EN PACIENTES CON VENTILACION MECANICA</t>
  </si>
  <si>
    <t>GIRO CAMA</t>
  </si>
  <si>
    <t>OPORTUNIDAD EN LA ENTREGA DE RESULTADOS DE ÉXAMENES DE LABORATORIO CLÍNICO</t>
  </si>
  <si>
    <t>PROMEDIO DE SERVICIOS POR PACIENTE</t>
  </si>
  <si>
    <t>PACIENTES PROGRAMADOS NO ATENDIDOS</t>
  </si>
  <si>
    <t>DISPONIBILIDAD DE RESULTADOS</t>
  </si>
  <si>
    <t>OPORTUNIDAD EN LA ENTREGA DE RESULTADOS DE EXÁMENES DE IMÁGENES DIAGNÓSTICAS Y TERAPÉUTICAS</t>
  </si>
  <si>
    <t>PORCENTAJE DE PACIENTES NO ATENDIDOS</t>
  </si>
  <si>
    <r>
      <t xml:space="preserve">PORCENTAJE DE PACIENTES NO ATENDIDOS - </t>
    </r>
    <r>
      <rPr>
        <b/>
        <sz val="11"/>
        <color theme="1"/>
        <rFont val="Arial"/>
        <family val="2"/>
      </rPr>
      <t>ADULTOS</t>
    </r>
  </si>
  <si>
    <r>
      <t xml:space="preserve">PORCENTAJE DE PACIENTES NO ATENDIDOS - </t>
    </r>
    <r>
      <rPr>
        <b/>
        <sz val="11"/>
        <color theme="1"/>
        <rFont val="Arial"/>
        <family val="2"/>
      </rPr>
      <t>GINECOBSTETRICIA</t>
    </r>
  </si>
  <si>
    <r>
      <t xml:space="preserve">PORCENTAJE DE PACIENTES NO ATENDIDOS - </t>
    </r>
    <r>
      <rPr>
        <b/>
        <sz val="11"/>
        <color theme="1"/>
        <rFont val="Arial"/>
        <family val="2"/>
      </rPr>
      <t>PEDIATRÍA</t>
    </r>
  </si>
  <si>
    <t>REFERENCIA Y CONTRAREFERENCIA</t>
  </si>
  <si>
    <t>PORCENTAJE DE REMISIONES DE ENTRADA ACEPTADAS</t>
  </si>
  <si>
    <t>REINGRESO POR LA MISMA CAUSA</t>
  </si>
  <si>
    <t>MORTALIDAD OBSERVADA</t>
  </si>
  <si>
    <t>HOSPITALIZACIÓN</t>
  </si>
  <si>
    <t>RELACIONES PÚBLICAS</t>
  </si>
  <si>
    <t>INFECTOLOGÍA</t>
  </si>
  <si>
    <t>PROPORCION DE CANCELACIÓN DE CIRUGIA PROGRAMADA</t>
  </si>
  <si>
    <t>SERVICIO QUIRÚRGICO</t>
  </si>
  <si>
    <r>
      <t xml:space="preserve">PROPORCION DE CANCELACIÓN DE CIRUGIA PROGRAMADA - </t>
    </r>
    <r>
      <rPr>
        <b/>
        <sz val="11"/>
        <color theme="1"/>
        <rFont val="Arial"/>
        <family val="2"/>
      </rPr>
      <t>POR CAUSAS INSTITUCIONALES</t>
    </r>
  </si>
  <si>
    <r>
      <t xml:space="preserve">PROPORCION DE CANCELACIÓN DE CIRUGIA PROGRAMADA - </t>
    </r>
    <r>
      <rPr>
        <b/>
        <sz val="11"/>
        <color theme="1"/>
        <rFont val="Arial"/>
        <family val="2"/>
      </rPr>
      <t>POR CAUSAS NO INSTITUCIONALES</t>
    </r>
  </si>
  <si>
    <t>OPORTUNIDAD EN LA PROGRAMACIÓN DE CIRUGÍA</t>
  </si>
  <si>
    <r>
      <t xml:space="preserve">OPORTUNIDAD EN LA PROGRAMACIÓN DE CIRUGÍA - </t>
    </r>
    <r>
      <rPr>
        <b/>
        <sz val="11"/>
        <color theme="1"/>
        <rFont val="Arial"/>
        <family val="2"/>
      </rPr>
      <t>REALIZADA</t>
    </r>
  </si>
  <si>
    <r>
      <t xml:space="preserve">OPORTUNIDAD EN LA PROGRAMACIÓN DE CIRUGÍA - </t>
    </r>
    <r>
      <rPr>
        <b/>
        <sz val="11"/>
        <color theme="1"/>
        <rFont val="Arial"/>
        <family val="2"/>
      </rPr>
      <t>CANCELADA</t>
    </r>
  </si>
  <si>
    <t>ENFERMERÍA</t>
  </si>
  <si>
    <t>PROMEDIO DE DIAS DE ANTIBIÓTICO POR INFECCION ASOCIADA A LA ATENCION EN SALUD</t>
  </si>
  <si>
    <t>PORCENTAJE DE INFECCIÓN DEL SITIO QUIRÚRGICO EN CIRUGÍA CON HERIDA LIMPIA</t>
  </si>
  <si>
    <t>PORCENTAJE DE INFECCIÓN DEL SITIO QUIRÚRGICO EN CIRUGÍA CON HERIDA LIMPIA - CONTAMINADA</t>
  </si>
  <si>
    <t>PORCENTAJE DE PACIENTES CON HERIDAS QUIRÚRGICAS INFECTADAS</t>
  </si>
  <si>
    <t>RELACION DE CASOS DE MORBILIDAD MATERNA EXTREMA SOBRE CASOS DE MORTALIDAD MATERNA</t>
  </si>
  <si>
    <t>ÍNDICE DE LETALIDAD</t>
  </si>
  <si>
    <t>PORCENTAJE DE CASOS DE MORBILIDAD MATERNA EXTREMA CLASIFICADOS CON GRADO DE SEVERIDAD ALTO</t>
  </si>
  <si>
    <t>AUDITORÍA DE CUENTAS</t>
  </si>
  <si>
    <t>CIRUGIA PLÁSTICA</t>
  </si>
  <si>
    <t>INGENIERÍA</t>
  </si>
  <si>
    <t>GASTROENTEROLOGÍA</t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</si>
  <si>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MEDICINA GENERAL</t>
    </r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</si>
  <si>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ODONTOLOGÍA GENERAL</t>
    </r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</si>
  <si>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TERAPIA DEL LENGUAJE</t>
    </r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</si>
  <si>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TERAPIA OCUPACIONAL</t>
    </r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</si>
  <si>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MEDICINA ESPECIALIZADA</t>
    </r>
  </si>
  <si>
    <r>
      <t xml:space="preserve">OPORTUNIDAD EN LA ASIGNACIÓN DE CITAS DE PRIMERA VEZ - </t>
    </r>
    <r>
      <rPr>
        <b/>
        <sz val="11"/>
        <color theme="1"/>
        <rFont val="Arial"/>
        <family val="2"/>
      </rPr>
      <t>ODONTOLOGÍA ESPECIALIZADA</t>
    </r>
  </si>
  <si>
    <r>
      <t xml:space="preserve">OPORTUNIDAD EN LA ASIGNACIÓN DE CITAS - </t>
    </r>
    <r>
      <rPr>
        <b/>
        <sz val="11"/>
        <color theme="1"/>
        <rFont val="Arial"/>
        <family val="2"/>
      </rPr>
      <t>MEDICINA GENERAL</t>
    </r>
  </si>
  <si>
    <r>
      <t xml:space="preserve">OPORTUNIDAD EN LA ASIGNACIÓN DE CITAS - </t>
    </r>
    <r>
      <rPr>
        <b/>
        <sz val="11"/>
        <color theme="1"/>
        <rFont val="Arial"/>
        <family val="2"/>
      </rPr>
      <t>MEDICINA INTERNA</t>
    </r>
  </si>
  <si>
    <r>
      <t xml:space="preserve">OPORTUNIDAD EN LA ASIGNACIÓN DE CITAS - </t>
    </r>
    <r>
      <rPr>
        <b/>
        <sz val="11"/>
        <color theme="1"/>
        <rFont val="Arial"/>
        <family val="2"/>
      </rPr>
      <t>ODONTOLOGÍA GENERAL</t>
    </r>
  </si>
  <si>
    <r>
      <t xml:space="preserve">INFECCION DEL TORRENTE SANGUINEO ASOCIADA A CATETER CENTRAL - </t>
    </r>
    <r>
      <rPr>
        <b/>
        <sz val="11"/>
        <color theme="1"/>
        <rFont val="Arial"/>
        <family val="2"/>
      </rPr>
      <t>UNIDAD DE TRASPLANTE DE MÉDULA ÓSEA</t>
    </r>
  </si>
  <si>
    <r>
      <t xml:space="preserve">NEUMONIA ASOCIADA A VENTILADOR - </t>
    </r>
    <r>
      <rPr>
        <b/>
        <sz val="11"/>
        <color theme="1"/>
        <rFont val="Arial"/>
        <family val="2"/>
      </rPr>
      <t>UNIDAD DE CUIDADOS INTENVOS ADULTOS</t>
    </r>
  </si>
  <si>
    <r>
      <t xml:space="preserve">NEUMONIA ASOCIADA A VENTILADOR - </t>
    </r>
    <r>
      <rPr>
        <b/>
        <sz val="11"/>
        <color theme="1"/>
        <rFont val="Arial"/>
        <family val="2"/>
      </rPr>
      <t>UNIDAD DE CUIDADOS INTENVOS NEONATAL</t>
    </r>
  </si>
  <si>
    <t>RELACION DE NUMERO DE CRITERIOS EVALUADOS EN MORBILIDAD MATERNA EXTREMA POR CADA CASO</t>
  </si>
  <si>
    <t>RAZÓN DE MORTALIDAD MATERNA</t>
  </si>
  <si>
    <r>
      <t xml:space="preserve">OPORTUNIDAD EN LA ASIGNACIÓN DE CITAS DE CONTROL - </t>
    </r>
    <r>
      <rPr>
        <b/>
        <sz val="11"/>
        <color theme="1"/>
        <rFont val="Arial"/>
        <family val="2"/>
      </rPr>
      <t>MEDICINA ESPECIALIZADA</t>
    </r>
  </si>
  <si>
    <r>
      <t xml:space="preserve">OPORTUNIDAD EN LA ASIGNACIÓN DE CITAS DE CONTROL - </t>
    </r>
    <r>
      <rPr>
        <b/>
        <sz val="11"/>
        <color theme="1"/>
        <rFont val="Arial"/>
        <family val="2"/>
      </rPr>
      <t>ODONTOLOGÍA GENERAL</t>
    </r>
  </si>
  <si>
    <r>
      <t xml:space="preserve">OPORTUNIDAD EN LA ASIGNACIÓN DE CITAS DE CONTROL - </t>
    </r>
    <r>
      <rPr>
        <b/>
        <sz val="11"/>
        <color theme="1"/>
        <rFont val="Arial"/>
        <family val="2"/>
      </rPr>
      <t>ODONTOLOGÍA ESPECIALIZADA</t>
    </r>
  </si>
  <si>
    <t>PORCENTAJE DE PACIENTES QUE TIENEN DILIGENCIADA LA ESCALA DE PREVENCIÓN DE CAÍDAS</t>
  </si>
  <si>
    <t>ADHERENCIA A LOS 10 CORRECTOS EN LA ADMINISTRACIÓN DE MEDICAMENTOS</t>
  </si>
  <si>
    <t>PROPORCION DE CONOCIMIENTO DE LOS 10 CORRECTOS EN LA ADMINISTRACION DE MEDICAMENTOS</t>
  </si>
  <si>
    <r>
      <t xml:space="preserve">SEGUIMIENTO DE AUDITORIA CONCURRENTE AL SERVICIO DEL </t>
    </r>
    <r>
      <rPr>
        <b/>
        <sz val="11"/>
        <color theme="1"/>
        <rFont val="Arial"/>
        <family val="2"/>
      </rPr>
      <t>HOSPITALIZACIÓN</t>
    </r>
  </si>
  <si>
    <r>
      <t xml:space="preserve">DISTRUBUCIÓN POR GRAVEDAD DE RAM (REACCIÓN ADVERSA A MEDICAMENTOS) - </t>
    </r>
    <r>
      <rPr>
        <b/>
        <sz val="11"/>
        <color theme="1"/>
        <rFont val="Arial"/>
        <family val="2"/>
      </rPr>
      <t>LEVE</t>
    </r>
  </si>
  <si>
    <r>
      <t xml:space="preserve">DISTRUBUCIÓN POR GRAVEDAD DE RAM (REACCIÓN ADVERSA A MEDICAMENTOS) - </t>
    </r>
    <r>
      <rPr>
        <b/>
        <sz val="11"/>
        <color theme="1"/>
        <rFont val="Arial"/>
        <family val="2"/>
      </rPr>
      <t>MODERADO</t>
    </r>
  </si>
  <si>
    <r>
      <t xml:space="preserve">DISTRUBUCIÓN POR GRAVEDAD DE RAM (REACCIÓN ADVERSA A MEDICAMENTOS) - </t>
    </r>
    <r>
      <rPr>
        <b/>
        <sz val="11"/>
        <color theme="1"/>
        <rFont val="Arial"/>
        <family val="2"/>
      </rPr>
      <t>GRAVE</t>
    </r>
  </si>
  <si>
    <r>
      <t xml:space="preserve">DISTRUBUCIÓN POR GRAVEDAD DE RAM (REACCIÓN ADVERSA A MEDICAMENTOS) - </t>
    </r>
    <r>
      <rPr>
        <b/>
        <sz val="11"/>
        <color theme="1"/>
        <rFont val="Arial"/>
        <family val="2"/>
      </rPr>
      <t>LETAL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</si>
  <si>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DEFINITIVA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</si>
  <si>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PROBABLE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</si>
  <si>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POSIBLE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</si>
  <si>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IMPROBABLE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</si>
  <si>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NO CLASIFICADA</t>
    </r>
  </si>
  <si>
    <r>
      <t xml:space="preserve">DISTRUBUCIÓN POR TIPO DE RAM (REACCIÓN ADVERSA A MEDICAMENTOS) - </t>
    </r>
    <r>
      <rPr>
        <b/>
        <sz val="11"/>
        <color theme="1"/>
        <rFont val="Arial"/>
        <family val="2"/>
      </rPr>
      <t>INCLASIFICABLE</t>
    </r>
  </si>
  <si>
    <t>ORTOPEDIA</t>
  </si>
  <si>
    <t>PORCENTAJE DE COMPLICACIONES EN TRASPLANTES OSTEOMUSCULARES</t>
  </si>
  <si>
    <t>PORCENTAJE DE INFECCION PERIOPERATORIA EN CIRUGIA ORTOPEDICA</t>
  </si>
  <si>
    <t>REINTERVENCIÓN POR FALLA</t>
  </si>
  <si>
    <t>DÓSIS DIARIA DEFINIDA</t>
  </si>
  <si>
    <t>PORCENTAJE DE ENTREGAS DE TURNO DE ENFERMERÍA SATISFACTORIAS</t>
  </si>
  <si>
    <t>PORCENTAJE DE ADHRENCIA AL PROTOCOLO DE ENTREGA DE TURNO</t>
  </si>
  <si>
    <r>
      <t xml:space="preserve">SEGUIMIENTO DE AUDITORIA CONCURRENTE AL SERVICIO DE </t>
    </r>
    <r>
      <rPr>
        <b/>
        <sz val="11"/>
        <color theme="1"/>
        <rFont val="Arial"/>
        <family val="2"/>
      </rPr>
      <t>TRASPLANTE DE MÉDULA ÓSEA</t>
    </r>
  </si>
  <si>
    <t>PORCENTAJE DE ULCERAS POR PRESION EN PACIENTES CON RIESGO</t>
  </si>
  <si>
    <r>
      <t xml:space="preserve">TIEMPO PROMEDIO DE ESPERA PARA LA ATENCIÓN EN TRIAGE -  </t>
    </r>
    <r>
      <rPr>
        <b/>
        <sz val="11"/>
        <color theme="1"/>
        <rFont val="Arial"/>
        <family val="2"/>
      </rPr>
      <t>GINECOBSTETRICAS</t>
    </r>
  </si>
  <si>
    <r>
      <t xml:space="preserve">PORCENTAJE DE REINGRESOS - </t>
    </r>
    <r>
      <rPr>
        <b/>
        <sz val="11"/>
        <color theme="1"/>
        <rFont val="Arial"/>
        <family val="2"/>
      </rPr>
      <t>ADULTOS</t>
    </r>
  </si>
  <si>
    <r>
      <t xml:space="preserve">PORCENTAJE DE REINGRESOS - </t>
    </r>
    <r>
      <rPr>
        <b/>
        <sz val="11"/>
        <color theme="1"/>
        <rFont val="Arial"/>
        <family val="2"/>
      </rPr>
      <t>GINECOBSTETRICIA</t>
    </r>
  </si>
  <si>
    <r>
      <t xml:space="preserve">PORCENTAJE DE REINGRESOS - </t>
    </r>
    <r>
      <rPr>
        <b/>
        <sz val="11"/>
        <color theme="1"/>
        <rFont val="Arial"/>
        <family val="2"/>
      </rPr>
      <t>PEDIATRÍA</t>
    </r>
  </si>
  <si>
    <t>PORCENTAJE DE TRÁMITES PARA OXÍGENO DOMICILIARIO EXITOSOS</t>
  </si>
  <si>
    <t>PORCENTAJE DE TRÁMITES PARA PHD EXISTOSOS</t>
  </si>
  <si>
    <t>OPORTUNIDAD EN EL TRÁMITE PARA PHD</t>
  </si>
  <si>
    <t>OPORTUNIDAD EN EL TRÁMITE PARA OXÍGENO DOMICILIARIO</t>
  </si>
  <si>
    <t>PORCENTAJE DE CIRUGÍA AMBULATORIA</t>
  </si>
  <si>
    <t>PORCENTAJE DE CIRUGÍA HOSPITALIZADA</t>
  </si>
  <si>
    <t>PORCENTAJE DE CIRUGÍA DE URGENCIA</t>
  </si>
  <si>
    <t>PORCENTAJE DE CIRUGÍA PROGRAMADA</t>
  </si>
  <si>
    <t>PROMEDIO DE PROCEDIMIENTOS POR CIRUGÍA</t>
  </si>
  <si>
    <t>INGRESO A UCI NO PLANEADO</t>
  </si>
  <si>
    <t>NACIDOS VIVOS</t>
  </si>
  <si>
    <t>NÚMERO DE LEGRADOS</t>
  </si>
  <si>
    <t>PROPORCIÓN DE PACIENTES A QUIENES SE LES IDENTIFICA EL RIESGO DE CAÍDAS</t>
  </si>
  <si>
    <t>ADHERENCIA AL PROTOCOLO PREVENCIÓN DE CAÍDAS</t>
  </si>
  <si>
    <t>ADHERENCIA AL PROTOCOLO PREVENCIÓN DE ÚLCERAS POR PRESIÓN</t>
  </si>
  <si>
    <t>CONSULTA PRIORITARIA</t>
  </si>
  <si>
    <t>EFECTIVIDAD</t>
  </si>
  <si>
    <t>Número de eventos adversos relacionados con la administración de medicamentos en hospitalización</t>
  </si>
  <si>
    <t>Proceso</t>
  </si>
  <si>
    <t>UNIDAD DECUIDADOS INTENSIVOS</t>
  </si>
  <si>
    <t>Paquetes Instruccional Buenas Practicas Seguiridad del Paciente</t>
  </si>
  <si>
    <t>TASA DE INFECCION  IAAS</t>
  </si>
  <si>
    <t>INFECCIONES ASOCIADAS A LA ATENCION EN SALUD POR SERVICIO</t>
  </si>
  <si>
    <t>INFECCION GLOBAL ASOCIADA AL CUIDADO EN SALUD</t>
  </si>
  <si>
    <t>INFECCION URINARIA ASOCIADA A SONDA</t>
  </si>
  <si>
    <t>BACTEREMIA ASOCIADA A CATETER CENTRAL</t>
  </si>
  <si>
    <t>PROPORCION DE INFECCION QUIRURGICA</t>
  </si>
  <si>
    <t>PROPORCION DE ADHERENCIA A LA HIGIENE DE MANOS</t>
  </si>
  <si>
    <t>PROPORCION DEADHERENCIA A LA PROFILAXIS ANTIBIOTICA</t>
  </si>
  <si>
    <t>PROPORCION DE ADHERENCIA A LOS AISLAMIENTOS HOSPITALARIOS</t>
  </si>
  <si>
    <t>IDENTIFICACION DE ALERTAS DE MEDICAMENTOS</t>
  </si>
  <si>
    <t>PROPORCION DE REACCIONES ADVERSAS A MEDICAMENTOS</t>
  </si>
  <si>
    <t>PORCENTAJE DE ERRORES DE MEDICACION</t>
  </si>
  <si>
    <t>PROPORCION DE FALLAS EN LA CONSERVACION Y ALMACENAMIENTO DE MEDICAMENTOS</t>
  </si>
  <si>
    <t>PROPORCION DE PACIENTES IDENTIFICADOS CORRECTAMENTE</t>
  </si>
  <si>
    <t>PROCEDIMIENTOS QUIRÚRGICOS EN PACIENTE EQUIVOCADO, EN LUGAR EQUIVOCADO, PROCEDIMIENTO ERRÓNEO E IMPLANTE EQUIVOCADO</t>
  </si>
  <si>
    <t>PROPORCION DE CIRUGÍA NO PERTINENTE</t>
  </si>
  <si>
    <t>PROPORCION DE PACIENTES CON FALLAS ANESTÉSICAS</t>
  </si>
  <si>
    <t>PROPORCION DE PACIENTES CON HERIDAS CONTAMINADAS</t>
  </si>
  <si>
    <t>PROPORCION DE PACIENTES A QUIENES SE LES INDICA EL RIESGO DE CAIDAS</t>
  </si>
  <si>
    <t>IDENTIFICACION DEL RIESGO UPP</t>
  </si>
  <si>
    <t>PROPORCION DE ULCERAS POR PRESION</t>
  </si>
  <si>
    <t>TASA DE LESIONES EN PIEL (UPP)</t>
  </si>
  <si>
    <t xml:space="preserve">OPORTUNIDAD EN LA ASIGNACION DE CITAS DE CONSULTA DE GINECOBSTETRICIA </t>
  </si>
  <si>
    <t>RAZON DE MORATLIDAD MATERNA ACUMULADA</t>
  </si>
  <si>
    <t>ATENCION INSTRUMENTADA DEL PARTO</t>
  </si>
  <si>
    <t>EFECTIVIDAD DEL CONTROL PERINATAL</t>
  </si>
  <si>
    <t>MUJERES GESTANTES EN EL PROGRAMA</t>
  </si>
  <si>
    <t>INGRESO A CONTROL PRENATAL EN EL PRIMER TRIMESTRE</t>
  </si>
  <si>
    <t>MUERTE MATERNA O DAÑO SERIO ASOCIADO CON EL TRABAJO DE PARTO O EL NACIMIENTO EN UN EMBARAZO  DE BAJO RIESGO</t>
  </si>
  <si>
    <t>PROPORCION DE EVENTOS ADVERSOS DERIVADOS DE PROCESOS TRANSFUSIONALES</t>
  </si>
  <si>
    <t>TASA DE REACCIONES TRANSFUSIONALES</t>
  </si>
  <si>
    <r>
      <t xml:space="preserve">PORCENTAJE TIPO DE RAT SEGÚN DEFINICIONES DE CASO - </t>
    </r>
    <r>
      <rPr>
        <b/>
        <sz val="11"/>
        <color theme="1"/>
        <rFont val="Arial"/>
        <family val="2"/>
      </rPr>
      <t>AGUDAS NO INFECCIOSAS</t>
    </r>
  </si>
  <si>
    <r>
      <t xml:space="preserve">PORCENTAJE TIPO DE RAT SEGÚN DEFINICIONES DE CASO - </t>
    </r>
    <r>
      <rPr>
        <b/>
        <sz val="11"/>
        <color theme="1"/>
        <rFont val="Arial"/>
        <family val="2"/>
      </rPr>
      <t>TARDÍAS NO INFECCIOSAS</t>
    </r>
  </si>
  <si>
    <t>Paquetes Instruccionales Identificacion Correcta del Paciente y Muestras de Laboratorio</t>
  </si>
  <si>
    <t>LABORATORIO CLINICO</t>
  </si>
  <si>
    <t>PROPORCION DE MUESTRAS CORRECTAMENTE IDENTIFICADAS</t>
  </si>
  <si>
    <t>PROPORCION DE ERRORES EN LA IDENTIFICACION DE LAS MUESTRAS DE LABORATORIO</t>
  </si>
  <si>
    <t>PROPORCION DE EVENTOS ADVERSOS POR ERRORES EN EL INFORME DIAGNOSTICO DE LABORATORIO</t>
  </si>
  <si>
    <t>ADHERENCIA DEL PERSONAL AL PROTOCOLO DE IDENTIFICACION DE MUESTRAS</t>
  </si>
  <si>
    <t>PERDIDA O DAÑO DE LA MUESTRA DE LABORATORIO O ESPECIMEN DE PATOLOGIA</t>
  </si>
  <si>
    <t>RECURSOS HUMANOS</t>
  </si>
  <si>
    <t>SEGURIDAD Y SALUD EN EL TRABAJO</t>
  </si>
  <si>
    <t>Normativo Res 111 / Dec 1072</t>
  </si>
  <si>
    <t>TASA DE ACCIDENTALIDAD</t>
  </si>
  <si>
    <t>PORCENTAJE DE ENFERMEDADES LABORALES</t>
  </si>
  <si>
    <t>INDICE DE AUSENTISMO</t>
  </si>
  <si>
    <t>COBERTURA INDUCCION</t>
  </si>
  <si>
    <t>COBERTURA DE CAPACITACION</t>
  </si>
  <si>
    <t>PORCENTAJE DE INSPECCIONES REALIZADAS</t>
  </si>
  <si>
    <t>ACCIONES CORRECTIVAS</t>
  </si>
  <si>
    <t>POLITICA SST</t>
  </si>
  <si>
    <t>CUMPLIMIENTO DE OBJETIVOS Y METAS</t>
  </si>
  <si>
    <t>CUMPLIMIENTO PLAN DE TRABAJO ANUAL</t>
  </si>
  <si>
    <t>ASIGNACION DE RESPONSABILIDADES</t>
  </si>
  <si>
    <t>IDENTIFICACION DE PELIGROS Y RIESGOS</t>
  </si>
  <si>
    <t>FUNCIONAMIENTO DEL COPASST</t>
  </si>
  <si>
    <t>ASIGNACION DE RECUSRSOS</t>
  </si>
  <si>
    <t>CUMPLIMIENTO PLAN DE EMERGENCIAS</t>
  </si>
  <si>
    <t>COBERTURA DE CAPACITACION EN SST</t>
  </si>
  <si>
    <t>IMPLEMENTACION SGSST</t>
  </si>
  <si>
    <t>EJECUCION DEL PLAN DE TRABAJO</t>
  </si>
  <si>
    <t>INTERVENCION DE PELIGROS Y RIESGOS</t>
  </si>
  <si>
    <t>PLAN DE ACCIDENTALIDAD</t>
  </si>
  <si>
    <t>INVESTIGACION DE ACCIDENTESE INCIDENTES</t>
  </si>
  <si>
    <t>SIMULACROS</t>
  </si>
  <si>
    <t>TASA DE MORTALIDAD PERINATAL</t>
  </si>
  <si>
    <t>TASA DE MORTALIDAD MATERNA EXTREMA</t>
  </si>
  <si>
    <t>PORCENTAJE DE QUEJAS GESTIONADAS</t>
  </si>
  <si>
    <t>CENTRAL DE ESTERILIZACION</t>
  </si>
  <si>
    <t>PROPORCION DE PERSONAS CON PACIENTES MELLITUS A QUIENES SE LES REALIZA MEDICION DE LDL</t>
  </si>
  <si>
    <t>TASA DE CAIDAS DEL PACIENTE EN EL SERVICIO DE HOSPITALIZACION</t>
  </si>
  <si>
    <t xml:space="preserve">PROPORCION DE EVENTOS ADVERSOS RELACIONADOS CON LA ADMINISTRACION DE MEDICAMENTOS EN HOSPITALIZACION </t>
  </si>
  <si>
    <t>PROPORCION DE CANCELACION DE CIRUGIA</t>
  </si>
  <si>
    <t>RELACION MORBILIDAD MATERNA EXTREMA (MME) / MUERTE MATERNA TEMPRANA (MM)</t>
  </si>
  <si>
    <t>ATENCION PRIORITARIA</t>
  </si>
  <si>
    <r>
      <t xml:space="preserve">TIEMPO PROMEDIO DE ESPERA PARA LA ATENCIÓN EN TRIAGE -  </t>
    </r>
    <r>
      <rPr>
        <b/>
        <sz val="11"/>
        <color theme="1"/>
        <rFont val="Arial"/>
        <family val="2"/>
      </rPr>
      <t>PEDIATRICA</t>
    </r>
  </si>
  <si>
    <r>
      <t xml:space="preserve">TIEMPO PROMEDIO DE ESPERA PARA LA ATENCIÓN MÉDICA - </t>
    </r>
    <r>
      <rPr>
        <b/>
        <sz val="11"/>
        <color theme="1"/>
        <rFont val="Arial"/>
        <family val="2"/>
      </rPr>
      <t>ADULTOS</t>
    </r>
  </si>
  <si>
    <t>OPORTUNIDAD DE SALIDA DEL PACIENTE A OTRA IPS DESDE LA ACEPTACIÓN DE LA EAPB</t>
  </si>
  <si>
    <t>OPORTUNIDAD EN LA ACEPTACIÓN DE TRASLADO DE LA REMISIÓN DEL PACIENTE POR PARTE DE LA EAPB</t>
  </si>
  <si>
    <t>PORCENTAJE DE REMISIONES DE LAS SEDES</t>
  </si>
  <si>
    <t>OPORTUNIDAD DE TRASLADO DE SEDE AL SERVICIO DE CONSULTA PRIORITARIA</t>
  </si>
  <si>
    <t>SERVICIO TRANSFUSIONAL</t>
  </si>
  <si>
    <t>PROPORCION DE REINGRESO HOSPITALARIO POR INFECCION  RESPIRATORIA AGUDA (IRA) EN MENORES DE 5 AÑOS</t>
  </si>
  <si>
    <t xml:space="preserve">LETALIDAD POR INFECCION RESPIRATORIA AGUDA (IRA) EN MENORES DE 5 AÑOS </t>
  </si>
  <si>
    <t>Anual</t>
  </si>
  <si>
    <t>LETALIDAD EN MENORES DE 5 AÑOS POR ENFERMEDAD DIARREICA AGUDA (EDA)</t>
  </si>
  <si>
    <t>TASA DE REINGRESO DE PACIENTES HOSPITALIZADOS EN MENOS DE 15 DIAS</t>
  </si>
  <si>
    <t>EXPERIENCIA DE LA ATENCION</t>
  </si>
  <si>
    <t>PROPORCION DE SATISFACCIÓN GLOBAL DE LOS USUARIOS EN LAS IPS</t>
  </si>
  <si>
    <t>Paquetes Instruccional Buenas Practicas Seguiridad del Paciente - IAAS</t>
  </si>
  <si>
    <t>PEDIATRIA</t>
  </si>
  <si>
    <t>IMÁGENES DIAGNOSTICAS</t>
  </si>
  <si>
    <t>Resolucion 1552</t>
  </si>
  <si>
    <t>OPORTUNIDAD EN LA ATENCION EN CONSULTA PRIORITARIA</t>
  </si>
  <si>
    <t>Resolucion 256</t>
  </si>
  <si>
    <t>Paquetes Instruccional Buenas Practicas Seguiridad del Paciente
Resolucion 256</t>
  </si>
  <si>
    <t>PROPORCION DE EVENTOS ADVERSOS RELACIONADOS CON LA ADMINISTRACION DE MEDICAMENTOS EN ATENCION PRIORITARIA</t>
  </si>
  <si>
    <t>PROMEDIO DE CARGAS DE AUTOCLAVE Vapor 1</t>
  </si>
  <si>
    <t>PROMEDIO DE CARGAS DE AUTOCLAVE Vapor 2</t>
  </si>
  <si>
    <t>PROMEDIO DE CARGAS DE AUTOCLAVE Formalina de 65</t>
  </si>
  <si>
    <t>PROMEDIO DE CARGAS DE AUTOCLAVE Stericool (Peróxido de hidrogeno)</t>
  </si>
  <si>
    <t>PROMEDIO DE PRODUCTOS ESTERILIZADOS POR CARGA Vapor 1</t>
  </si>
  <si>
    <t>PROMEDIO DE PRODUCTOS ESTERILIZADOS POR CARGA Vapor 2</t>
  </si>
  <si>
    <t>PROMEDIO DE PRODUCTOS ESTERILIZADOS POR CARGA Formalina de 65</t>
  </si>
  <si>
    <t>PROMEDIO DE PRODUCTOS ESTERILIZADOS POR CARGA Stericool (Peróxido de hidrogeno)</t>
  </si>
  <si>
    <t>PORCENTAJE DE REMISIONES DE SALIDAS EXITOSAS</t>
  </si>
  <si>
    <t>OPORTUNIDAD DE RESPUESTA A QUEJAS - HOSPITALIZACION Y SERVICIOS AMBULATORIOS</t>
  </si>
  <si>
    <t>OPORTUNIDAD DE RESPUESTA A QUEJAS - ATENCION PRIORITARIA</t>
  </si>
  <si>
    <t>Produccion</t>
  </si>
  <si>
    <r>
      <t xml:space="preserve">PORCENTAJE DE SEGUIMIENTO DE AUDITORIA CONCURRENTE AL SERVICIO DE </t>
    </r>
    <r>
      <rPr>
        <b/>
        <sz val="11"/>
        <color theme="1"/>
        <rFont val="Arial"/>
        <family val="2"/>
      </rPr>
      <t>UCI</t>
    </r>
  </si>
  <si>
    <r>
      <t xml:space="preserve">PORCENTAJE DE SEGUIMIENTO DE AUDITORIA CONCURRENTE AL SERVICIO DE </t>
    </r>
    <r>
      <rPr>
        <b/>
        <sz val="11"/>
        <color theme="1"/>
        <rFont val="Arial"/>
        <family val="2"/>
      </rPr>
      <t>CIRUGÍA CARDIOVASCULAR</t>
    </r>
  </si>
  <si>
    <r>
      <t xml:space="preserve">PORCENTAJE DE SEGUIMIENTO DE AUDITORIA CONCURRENTE AL SERVICIO DE </t>
    </r>
    <r>
      <rPr>
        <b/>
        <sz val="11"/>
        <color theme="1"/>
        <rFont val="Arial"/>
        <family val="2"/>
      </rPr>
      <t>TRASPLANTE RENAL</t>
    </r>
  </si>
  <si>
    <t>DIRECTRIZ DEL INDICADOR</t>
  </si>
  <si>
    <t>INSUMOS</t>
  </si>
  <si>
    <t>PRODUCTO CONFORME</t>
  </si>
  <si>
    <t>PRODUCTO NO CONFORME</t>
  </si>
  <si>
    <t>GIRO DE CAMA</t>
  </si>
  <si>
    <t>Numero de eventos letales en menores de 5 años a causa de EDA.</t>
  </si>
  <si>
    <t>Número de pacientes encuestados que se consideran satisfechos con los servicios recibidos en la IPS.</t>
  </si>
  <si>
    <t>Número de pacientes encuestados que se consideran insatisfechos con los servicios recibidos por la IPS</t>
  </si>
  <si>
    <t>DIMENISONES ABORDADAS</t>
  </si>
  <si>
    <t>Salario facturador asignador de citas, odontologo general, inversion capital realizada en estructura fisica consultorio, insumos de oficina.</t>
  </si>
  <si>
    <t>Salario facturador asignador de citas, medico especialista, inversion capital realizada en mantenimiento de estructura fisica consultorio, insumos de oficina.</t>
  </si>
  <si>
    <t>Inversion en camas de hospitalizacion, salario de enfermeras, inversion en medicamentos, salario medicos generales y especialistas.</t>
  </si>
  <si>
    <t>Salario medico tratante, enfermeras, auxiliares,mantenimiento  infraestructura, equipos biomedicos, insumos oficina.</t>
  </si>
  <si>
    <t>Salarios de medicos generales y especialistas, enfermeras, auxiliares, camas de hospitalizacion, equipos biomedicos, insumos biologicos.</t>
  </si>
  <si>
    <t>Inversion en camas de hospitalizacion, salario de enfermeras, inversion en medicamentos, equipos biomedicos, salario medicos generales y especialistas, insumos de oficina.</t>
  </si>
  <si>
    <t>Camas de hospitalizacion, salario de medicos generales y especialistas, inversion en medicamentos.</t>
  </si>
  <si>
    <t>Salario de medicos generales y especialistas, camas de hospitalizacion, inversion en medicamentos, inversion en mantenimiento de estructuta fisica, equipos biomedicos.</t>
  </si>
  <si>
    <t>Salario profesional lider SIAU, insumos oficina, inversion en sistema de informacion, mantenimiento de estructura fisica.</t>
  </si>
  <si>
    <t>Salario facturador asignador de citas,  inversion de capital realizada en mantenimieno estructura fisica consultorio, insumos de oficina.</t>
  </si>
  <si>
    <t>REINGRESOS NO PROGRAMADOS A LA UCI EN MENOS DE 48 HORAS</t>
  </si>
  <si>
    <t>PORCENTAJE DE OCUPACION DE LA UCI</t>
  </si>
  <si>
    <t>PORCENTAJE DE MORTALIDAD EN LA UCI</t>
  </si>
  <si>
    <t>GIRO DE CAMA EN LA UCI</t>
  </si>
  <si>
    <t>UNIDAD DE CUIDADOS INTENSIVOS</t>
  </si>
  <si>
    <t>ESTRATEGICO</t>
  </si>
  <si>
    <t>Salario de medicos especialistas, salario enfermeras, costos de estancia en UCI, inversion infraestructura.</t>
  </si>
  <si>
    <t>ESTANCIA MEDIA EN LA UCI</t>
  </si>
  <si>
    <t>IMAGENOLOGIA</t>
  </si>
  <si>
    <t>Salario del radiologo, mantenimieno de equipos biomedicos, insumos de impresión y papeleria.</t>
  </si>
  <si>
    <t>Ic</t>
  </si>
  <si>
    <t>Inc</t>
  </si>
  <si>
    <t>NO CONFORME</t>
  </si>
  <si>
    <t>NUMERO DE CITAS</t>
  </si>
  <si>
    <t>medicina general por primera vez (3 dias habiles)</t>
  </si>
  <si>
    <t>medicina interna por primera vez (5 dias habiles)</t>
  </si>
  <si>
    <t>Ginecologia por primera vez (5 dias habiles)</t>
  </si>
  <si>
    <t>medicina familiar por primera vez (5 dias habiles despues de la autorizacion- total 10 dias)</t>
  </si>
  <si>
    <t>Odontologia general por primera vez (3 dias habiles)</t>
  </si>
  <si>
    <t>Tiempo promedio de espera para la asignacion de citas por primera vez ( dias habiles)</t>
  </si>
  <si>
    <t>Giro de cama en la UCI  ( 3 dias habiles)</t>
  </si>
  <si>
    <t>NUMERO DE EGRESOS UCI</t>
  </si>
  <si>
    <t>Estancia media en la UCI  ( 3 dias habiles)</t>
  </si>
  <si>
    <t>NO CONFORME (ESTANCIA &gt; 4 DIAS EN LA UCI)</t>
  </si>
  <si>
    <t>NO CONFORME ( 3 DIAS EN LA UCI)</t>
  </si>
  <si>
    <t>Cuantos pacientes por cada mes y cuantos duraron  mas de 4 dias</t>
  </si>
  <si>
    <t>Porcentaje de mortalidad en la UCI  ( 3 dias habiles)</t>
  </si>
  <si>
    <t>ESTANCIA PROMEDIO EN LA UCI</t>
  </si>
  <si>
    <t>NUMERO DE PACIENTES EN LA UCI DADOS DE ALTA CON VIDA EN EL 2020</t>
  </si>
  <si>
    <t>NO CONFORME NUMERO DE PACIENTES FALLECIDOS EN LA UCI D EN EL 2020</t>
  </si>
  <si>
    <t>Letalidad en menores de 5 años por EDA ( 0  MUERTES)</t>
  </si>
  <si>
    <t>NUMERO DE PACIENTES ATENDIDOS</t>
  </si>
  <si>
    <t>NO CONFORME NUMERO DE PACIENTES FALLECIDOS</t>
  </si>
  <si>
    <t>Tiempo promedio de espera para la asignación de cita de Odontología General</t>
  </si>
  <si>
    <t>DATO FEBRERO</t>
  </si>
  <si>
    <t>Tiempo promedio de espera para la asignación de cita Promoción y detección</t>
  </si>
  <si>
    <t>Tiempo promedio de espera para la asignación de cita de Ortopedia</t>
  </si>
  <si>
    <t>Tiempo promedio de espera para la asignación de cita de Medicina Familiar</t>
  </si>
  <si>
    <t>Tiempo promedio de espera para la toma de Ecografía</t>
  </si>
  <si>
    <t>Tiempo promedio de espera para la asignación de cita de Cirugía General</t>
  </si>
  <si>
    <t>Tiempo promedio de espera para la asignación de cita de pediatría</t>
  </si>
  <si>
    <t>Tiempo promedio de espera para la asignación de cita de Ginecologia</t>
  </si>
  <si>
    <t>Tiempo promedio de espera para la asignación de cita de Obstetricia</t>
  </si>
  <si>
    <t>Tiempo promedio de espera para la asignación de cita de Medicina Interna</t>
  </si>
  <si>
    <t>Proporción de gestantes con consulta de control prenatal de primera vez antes de las 12 semanas de gestación</t>
  </si>
  <si>
    <t>Tiempo promedio de espera para la asignación de cita de Medicina General</t>
  </si>
  <si>
    <t>Dias</t>
  </si>
  <si>
    <t>Porcentaje</t>
  </si>
  <si>
    <t>Numero de Gestantes que ingresan a control prenatal antes de las 12 semanas de gestación. (año 2020)</t>
  </si>
  <si>
    <t>Porcentaje de pacientes atendidos por primera vez en odontologia general</t>
  </si>
  <si>
    <t xml:space="preserve">Oportunidad en la entrega de resultados imágenes diagnosticas	</t>
  </si>
  <si>
    <t xml:space="preserve">	Giro de cama UCI</t>
  </si>
  <si>
    <t>Egresos/Pormedio de cama disponible</t>
  </si>
  <si>
    <t>Estancia media UCI</t>
  </si>
  <si>
    <t xml:space="preserve">	Porcentaje de ocupación UCI</t>
  </si>
  <si>
    <t xml:space="preserve">	Letalidad en menores de 5 años por Enfermedad Diarreica Aguda (EDA)</t>
  </si>
  <si>
    <t>Tasa de reingreso de pacientes hospitalizados en menos de 15 días</t>
  </si>
  <si>
    <t>Proporcion *1000 egresos</t>
  </si>
  <si>
    <t>Relación Morbilidad Materna Extrema(MME) / Muerte Materna temprana (MM)</t>
  </si>
  <si>
    <t>Cantidad</t>
  </si>
  <si>
    <t>Reingresos no programados a la UCI en menos de 48 horas</t>
  </si>
  <si>
    <t>Porcentaje de Mortalidad en la UCI</t>
  </si>
  <si>
    <t>Proporción de eventos adversos relacionados con la administración de medicamentos en hospitalización</t>
  </si>
  <si>
    <t>Tasa de satisfacción global</t>
  </si>
  <si>
    <t>SIUA (Sistema de informacion y atencion al usuario)</t>
  </si>
  <si>
    <t>Ot</t>
  </si>
  <si>
    <t>Salario medico general</t>
  </si>
  <si>
    <t>Salario radiologo</t>
  </si>
  <si>
    <t>Salario facturador asignador de citas</t>
  </si>
  <si>
    <t>DETALLADO</t>
  </si>
  <si>
    <t>Inversion administrativa mantenimiento consultorios</t>
  </si>
  <si>
    <t>Inversion insumos oficina</t>
  </si>
  <si>
    <t>Salario ortopedista</t>
  </si>
  <si>
    <t>Salario medico familiar</t>
  </si>
  <si>
    <t>Salario medico control prenatal</t>
  </si>
  <si>
    <t>Inversion equipos biomedicos (ecografos).</t>
  </si>
  <si>
    <t>Salario medico cirujano</t>
  </si>
  <si>
    <t>Salario medico pediatra</t>
  </si>
  <si>
    <t>Salario ginecologo</t>
  </si>
  <si>
    <t>Salario medico obstetra</t>
  </si>
  <si>
    <t>Salario medico internista</t>
  </si>
  <si>
    <t>Salario facturador asignador de citas, medico general, inversion capital realizada en mantenimiento de estructura fisica consultorio, insumos de oficina.</t>
  </si>
  <si>
    <t>Salario odontologo.</t>
  </si>
  <si>
    <t>Inversion mantenimiento equipos biomedicos</t>
  </si>
  <si>
    <t>Salario medicos internistas…</t>
  </si>
  <si>
    <t>Salario enfermeras</t>
  </si>
  <si>
    <t>Valor estancia diaria en UCI</t>
  </si>
  <si>
    <t>Inversion infraestructura UCI.</t>
  </si>
  <si>
    <t>Salario medico tratante</t>
  </si>
  <si>
    <t>Inversion mantenimiento infraestructura</t>
  </si>
  <si>
    <t>Inversion equipos biomedicos, camas.</t>
  </si>
  <si>
    <t>Inversion medicamentos</t>
  </si>
  <si>
    <t>Salario medicos generales</t>
  </si>
  <si>
    <t>Salario medicos especialistas</t>
  </si>
  <si>
    <t>costo inversion mantenimiento insumos biomedicos hosptalizacion- camas.</t>
  </si>
  <si>
    <t>costo inversion mantenimiento insumos biomedicos hosptalizacion camas.</t>
  </si>
  <si>
    <t>Salarios medicos especialistas.</t>
  </si>
  <si>
    <t>Salario auxiliares</t>
  </si>
  <si>
    <t>Inversion insumos biomedicos hospitalizacion, camas.</t>
  </si>
  <si>
    <t>Inversion insumos biologicos (hemoderivados).</t>
  </si>
  <si>
    <t>Salario medicos internistas..</t>
  </si>
  <si>
    <t>Costo estancia diaria UCI.</t>
  </si>
  <si>
    <t>Inversion equipos biomedicos y camas hospitalizacion.</t>
  </si>
  <si>
    <t>Salario medicos especialistas.</t>
  </si>
  <si>
    <t>Costo promedio inversion medicamenos</t>
  </si>
  <si>
    <t>Salario profesional lider SIAU</t>
  </si>
  <si>
    <t>Inversion sistema de informacion</t>
  </si>
  <si>
    <t>Inversion insumos de oficina</t>
  </si>
  <si>
    <t>Inversion mantenimiento estructura fisica.</t>
  </si>
  <si>
    <t>INDICADOR</t>
  </si>
  <si>
    <t>INSUMOS ENTRADAS</t>
  </si>
  <si>
    <t>Valor facturado por la IPS por cada paciente a quien se le asigna cita con medico general.</t>
  </si>
  <si>
    <t>Valor facturado por la IPS por cada paciente a quien se le asigna cita con medico general por primera vez.</t>
  </si>
  <si>
    <t>Valor facturado por la IPS por cada paciente a quien se le asigna cita de PyD.</t>
  </si>
  <si>
    <t>Valor facturado por la IPS por cada paciente a quien se le asigna cita con medico ortopedista.</t>
  </si>
  <si>
    <t>Valor facturado por la IPS por cada paciente a quien se le asigna cita con medico familiar.</t>
  </si>
  <si>
    <t>Valor facturado por la IPS por cada paciente a quien se le asigna cita de control prenatal.</t>
  </si>
  <si>
    <t>Valor facturado por la IPS por cada paciente a quien se le asigna cita con medico cirujano.</t>
  </si>
  <si>
    <t>Valor facturado por la IPS por cada paciente a quien se le asigna cita con medico internista.</t>
  </si>
  <si>
    <t>FINANCIERA</t>
  </si>
  <si>
    <t>TH</t>
  </si>
  <si>
    <t>FISICA</t>
  </si>
  <si>
    <t>DIMENSION</t>
  </si>
  <si>
    <t>OUTPUTS</t>
  </si>
  <si>
    <t>Porcentaje Conformidad Ic</t>
  </si>
  <si>
    <t>Producto/salida</t>
  </si>
  <si>
    <t>Estancia media en la UCI</t>
  </si>
  <si>
    <t>Mantenimiento consultorios</t>
  </si>
  <si>
    <t>Porcentaje inconformidad</t>
  </si>
  <si>
    <t>Numero de eventos conformes</t>
  </si>
  <si>
    <t>Numero de eventos no conformes</t>
  </si>
  <si>
    <t>Ot (Total eventos)</t>
  </si>
  <si>
    <t>1/P</t>
  </si>
  <si>
    <t>Constante de conformidad</t>
  </si>
  <si>
    <t>Valor del producto conforme</t>
  </si>
  <si>
    <t>Valor del producto no conforme</t>
  </si>
  <si>
    <t>Ot (Ingresos anuales facturados)</t>
  </si>
  <si>
    <t>CONSTANTE DE CONFORMIDAD</t>
  </si>
  <si>
    <t xml:space="preserve">1) </t>
  </si>
  <si>
    <t>2)</t>
  </si>
  <si>
    <t>3)</t>
  </si>
  <si>
    <t>4)</t>
  </si>
  <si>
    <t>FUENTE DEL INDICADOR</t>
  </si>
  <si>
    <t>It</t>
  </si>
  <si>
    <t>No conformes (Pesos)</t>
  </si>
  <si>
    <t>Conformes (Pesos)</t>
  </si>
  <si>
    <t>Formula Operacional</t>
  </si>
  <si>
    <t>Secuencia</t>
  </si>
  <si>
    <t>It: Insumos totales
Ot: salidas totales
R: Ingresos obtenidos por la venta de productos conformes
Inc= Total de Insumos consumidos para producir  productos no conformes</t>
  </si>
  <si>
    <t>&gt; 0% y &lt; 50%</t>
  </si>
  <si>
    <t>&gt;90%</t>
  </si>
  <si>
    <t>INVERSION (PESOS)</t>
  </si>
  <si>
    <t xml:space="preserve">MEDIA DE LA PRODUCTIVIDAD EFECTIVA
</t>
  </si>
  <si>
    <t>&gt;50% y &lt; 90%</t>
  </si>
  <si>
    <t>Constante de no conformidad</t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</si>
  <si>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Ortopedia</t>
    </r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</si>
  <si>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Medicina Familiar</t>
    </r>
  </si>
  <si>
    <r>
      <t xml:space="preserve">Tiempo promedio de espera para la toma de </t>
    </r>
    <r>
      <rPr>
        <b/>
        <sz val="11"/>
        <color theme="1"/>
        <rFont val="Arial"/>
        <family val="2"/>
      </rPr>
      <t>Ecografía</t>
    </r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</si>
  <si>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Cirugía General</t>
    </r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</si>
  <si>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pediatría</t>
    </r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</si>
  <si>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Medicina Interna</t>
    </r>
  </si>
  <si>
    <r>
      <t>Tiempo promedio de espera para la entrega de resultados</t>
    </r>
    <r>
      <rPr>
        <b/>
        <sz val="11"/>
        <color theme="1"/>
        <rFont val="Arial"/>
        <family val="2"/>
      </rPr>
      <t xml:space="preserve"> Imágenes Diagnosticas	</t>
    </r>
  </si>
  <si>
    <t>Porcentaje de mortalidad en la UCI</t>
  </si>
  <si>
    <t>SERVICIO FARMACEUTICO</t>
  </si>
  <si>
    <t>DESAGREGACION DE LA FORMULA DE PRODUCTIVIDAD ( Ephrem berhe, Daniel azene, Brihanu abebe)</t>
  </si>
  <si>
    <t>&gt;95%</t>
  </si>
  <si>
    <t>&gt;50% y &lt;95%</t>
  </si>
  <si>
    <t>&lt;50</t>
  </si>
  <si>
    <t>&gt;50%</t>
  </si>
  <si>
    <t>EQUIPO CONSULTOR</t>
  </si>
  <si>
    <t>Formula</t>
  </si>
  <si>
    <t>Entradas (Ic-Inc)</t>
  </si>
  <si>
    <t>Salidas(Ot)</t>
  </si>
  <si>
    <t>Costo total</t>
  </si>
  <si>
    <t>Costo por hora</t>
  </si>
  <si>
    <t>Cantidad de pacientes atendidos en 1 hora</t>
  </si>
  <si>
    <t>Ing. Alejandro Galeano Avendaño</t>
  </si>
  <si>
    <t>VALOR FACTURADO unitario del servicio</t>
  </si>
  <si>
    <t>VALOR FACTURADO</t>
  </si>
  <si>
    <t>Honorarios facturador asignador de citas</t>
  </si>
  <si>
    <t>Honorarios medico general</t>
  </si>
  <si>
    <t>Honorarios medico ortopedista</t>
  </si>
  <si>
    <t>Honorarios medico familiar</t>
  </si>
  <si>
    <t>Honorarios medico control prenatal</t>
  </si>
  <si>
    <t>Honorarios medico cirujano</t>
  </si>
  <si>
    <t>Honorarios medico pediatra</t>
  </si>
  <si>
    <t>Honorarios medico Ginecobstetra</t>
  </si>
  <si>
    <t xml:space="preserve">Honorarios medico internista - intensivista </t>
  </si>
  <si>
    <t>Honorarios medico tratante</t>
  </si>
  <si>
    <t xml:space="preserve">Honorarios enfermeras </t>
  </si>
  <si>
    <t>Honorarios enfermeras UCI</t>
  </si>
  <si>
    <t>Honorarios enfermeras</t>
  </si>
  <si>
    <t>RETORNO (PESOS)</t>
  </si>
  <si>
    <t>0 RAM</t>
  </si>
  <si>
    <t>Numero de pacientes dados de alta de la UCI sin reingreso en 48 horas.</t>
  </si>
  <si>
    <t>Numero de pacientes con reingreso en 48 horas a la UCI</t>
  </si>
  <si>
    <t>Numero de pacientes egresados vivos de la UCI</t>
  </si>
  <si>
    <t>0 Eventos</t>
  </si>
  <si>
    <t>SOGCS</t>
  </si>
  <si>
    <t>10,54 Semanas</t>
  </si>
  <si>
    <t>META SOGCS</t>
  </si>
  <si>
    <t>% DE  EVENTOS CONFORMES</t>
  </si>
  <si>
    <t>12 Semanas</t>
  </si>
  <si>
    <t>0,004 RAM</t>
  </si>
  <si>
    <t>&gt;88% y &lt;95%</t>
  </si>
  <si>
    <t>&gt; 1 Evento</t>
  </si>
  <si>
    <t>&lt;= 0 Eventos</t>
  </si>
  <si>
    <t>CONVENCIONES PORCENTAJE DE EVENTOS CONFORMES</t>
  </si>
  <si>
    <t>CONSTANTE DE NO CONFORMIDAD (VARIABLES DE NO CALIDAD)</t>
  </si>
  <si>
    <t>SECCIONES</t>
  </si>
  <si>
    <t>DIRECTOR DEL PROYECTO:</t>
  </si>
  <si>
    <t>GESTION CLINICA AMBULATORIA</t>
  </si>
  <si>
    <t>APOYO DIAGNOSTICO Y SERVICIOS COMPLEMENTARIOS</t>
  </si>
  <si>
    <t>GESTION CLINICA DE HOSPITALIZACION</t>
  </si>
  <si>
    <r>
      <t xml:space="preserve">Tiempo promedio de espera para la asignación de cita </t>
    </r>
    <r>
      <rPr>
        <b/>
        <sz val="11"/>
        <color theme="1"/>
        <rFont val="Arial"/>
        <family val="2"/>
      </rPr>
      <t>Promoción y detección (Cardiología, dermatología, enfermería general, gastroenterología, endoscopia, higiene oral, nutrición, optometría y terapias respiratorias)</t>
    </r>
  </si>
  <si>
    <t>ANALISIS DE EFICIENCIA HOSPITAL MARIA AUXILIADORA ESE
VIGENCIA 2020</t>
  </si>
  <si>
    <t>&gt;50% y &lt; 95%</t>
  </si>
  <si>
    <t>&gt; 0% y &lt; 90%</t>
  </si>
  <si>
    <t>&gt;90% y &lt;99%</t>
  </si>
  <si>
    <t>&gt;99%</t>
  </si>
  <si>
    <t xml:space="preserve">Variables </t>
  </si>
  <si>
    <t>Mapa de procesos</t>
  </si>
  <si>
    <t>Resultados de aplicación formula</t>
  </si>
  <si>
    <t>Análisis de resultados</t>
  </si>
  <si>
    <t>Tatiana carolina hincapié</t>
  </si>
  <si>
    <t>Ing. Harold Wilson Hernández cruz</t>
  </si>
  <si>
    <t>El inverso de la productividad es directamente proporcional a la sumatoria de las entradas conformes y las entradas no conformes , entendiéndose que las salidas totales de los productos consumidos son iguales en ambos sentidos de la formula, conservando su independencia.</t>
  </si>
  <si>
    <t>La constante C, representa la condición ideal en donde los insumos consumidos por productos conformes, por tanto se puede decir que una organización es eficiente si la ecuación Inc/Ot es menor que la C y tiende a cero.</t>
  </si>
  <si>
    <t>Explicación de variables</t>
  </si>
  <si>
    <t>El autor define la productividad organizacional, directamente proporcional a los resultados totales alcanzados e inversamente proporcional a los resultados totales consumidos, Definición transversal a : Salidas totales / entradas totales</t>
  </si>
  <si>
    <t>Resolución 1552</t>
  </si>
  <si>
    <t>Financiera, física y talento humano.</t>
  </si>
  <si>
    <r>
      <t xml:space="preserve">Tiempo promedio de espera para la asignación de cita de </t>
    </r>
    <r>
      <rPr>
        <b/>
        <sz val="11"/>
        <color theme="1"/>
        <rFont val="Arial"/>
        <family val="2"/>
      </rPr>
      <t>Ginecología y obstetricia</t>
    </r>
  </si>
  <si>
    <r>
      <t xml:space="preserve">Tiempo promedio de espera para la asignación de las citas por primera vez - </t>
    </r>
    <r>
      <rPr>
        <b/>
        <sz val="11"/>
        <color theme="1"/>
        <rFont val="Arial"/>
        <family val="2"/>
      </rPr>
      <t>Odontología General</t>
    </r>
  </si>
  <si>
    <t>Resolución 256</t>
  </si>
  <si>
    <t>Letalidad en menores de 5 años por enfermedad diarreica aguda (EDA)</t>
  </si>
  <si>
    <t>Porcentaje de ocupación en la UCI</t>
  </si>
  <si>
    <t xml:space="preserve">Proporción de eventos adversos relacionados con la administración de medicamentos en hospitalización </t>
  </si>
  <si>
    <t>Tasa de reingreso de pacientes hospitalizados en menos de 15 días por IRA (Infección respiratoria aguda)</t>
  </si>
  <si>
    <t>SIUA (Sistema de informacion y atención al usuario)</t>
  </si>
  <si>
    <t>Proporción de satisfacción global de los usuarios en la IPS</t>
  </si>
  <si>
    <r>
      <t xml:space="preserve">Tiempo promedio de espera para la asignación de las citas por primera vez - </t>
    </r>
    <r>
      <rPr>
        <b/>
        <sz val="11"/>
        <color theme="1"/>
        <rFont val="Arial"/>
        <family val="2"/>
      </rPr>
      <t>Medicina General</t>
    </r>
  </si>
  <si>
    <t>Inversión insumos oficina</t>
  </si>
  <si>
    <t>Depreciación equipos biomédicos (ecógrafos).</t>
  </si>
  <si>
    <t>Honorarios Odontólogo</t>
  </si>
  <si>
    <t>Honorarios radiólogo</t>
  </si>
  <si>
    <t>Honorarios facturador radiología</t>
  </si>
  <si>
    <t>Depreciación estructura física rx</t>
  </si>
  <si>
    <t>Depreciación equipos biomédicos Rx</t>
  </si>
  <si>
    <t>Honorarios Auxiliares de enfermería hospitalización</t>
  </si>
  <si>
    <t>Depreciación infraestructura hospitalización</t>
  </si>
  <si>
    <t>Depreciación equipos biomédicos, camas hospitalización</t>
  </si>
  <si>
    <t>Honorarios médicos intensivistas UCI</t>
  </si>
  <si>
    <t>Inversión infraestructura UCI.</t>
  </si>
  <si>
    <t>Adquisición equipos biomédicos- camas.</t>
  </si>
  <si>
    <t>Inversión equipos biomédicos- camas.</t>
  </si>
  <si>
    <t>Depreciación equipos biomédicos hospitalización- camas.</t>
  </si>
  <si>
    <t>Honorarios médicos especialistas</t>
  </si>
  <si>
    <t>Honorarios médicos intensivista UCI</t>
  </si>
  <si>
    <t>Depreciación equipos biomédicos y camas hospitalización.</t>
  </si>
  <si>
    <t xml:space="preserve"> inversión medicamentos</t>
  </si>
  <si>
    <t xml:space="preserve">Honorarios médicos especialistas. </t>
  </si>
  <si>
    <t>Inversión TH  SIAU</t>
  </si>
  <si>
    <t>Inversión sistema de informacion</t>
  </si>
  <si>
    <t>Depreciación estructura física.</t>
  </si>
  <si>
    <t>Tiempo estándar empleado por paciente (Minutos)</t>
  </si>
  <si>
    <t xml:space="preserve">Tiempo de prestación del servicio de acuerdo al tiempo estándar (Horas) </t>
  </si>
  <si>
    <t>Costo unitario por evento que le cuesta a la institución</t>
  </si>
  <si>
    <t xml:space="preserve">Costos de inversión </t>
  </si>
  <si>
    <t>Valor facturado por la IPS por cada paciente a quien se le asigna cita con pediatría.</t>
  </si>
  <si>
    <t>Valor facturado por la IPS por cada paciente a quien se le asigna cita con ginecología.</t>
  </si>
  <si>
    <t>Valor facturado por la IPS por cada paciente a quien se le asigna cita con odontología.</t>
  </si>
  <si>
    <t>Valor facturado por la IPS por realización de imágenes diagnosticas.</t>
  </si>
  <si>
    <t>Valor promedio facturado por la IPS por atención a menores de 5 años por EDA.</t>
  </si>
  <si>
    <t xml:space="preserve">Valor facturado por la IPS por paciente en UCI estancia  días.
</t>
  </si>
  <si>
    <t>Valor facturado por la IPS por ocupación diaria de UCI &lt;60%.</t>
  </si>
  <si>
    <t xml:space="preserve">Valor facturado por la IPS por la hospitalización de paciente con </t>
  </si>
  <si>
    <t xml:space="preserve">Valor facturado por la IPS por atención de pacientes en UCI por reingresos en menos de 48 horas. </t>
  </si>
  <si>
    <t xml:space="preserve">Valor promedio facturado por la IPS en atención a un paciente en la UCI
</t>
  </si>
  <si>
    <t>Valor promedio facturado por la IPS en atención a pacientes a quienes se les suministra medicamento, con egreso.</t>
  </si>
  <si>
    <t>Valor promedio facturado de menor de 5 años hospitalizado con al menos un egreso por IRA</t>
  </si>
  <si>
    <t>Salario facturador asignador de citas, medico especialista, inversión capital realizada en mantenimiento de estructura física consultorio, insumos de oficina.</t>
  </si>
  <si>
    <t>Numero de pacientes a quienes se les asigno la cita con promoción y detección  en un lapso de 3 días hábiles. (año 2020)</t>
  </si>
  <si>
    <t>Numero de pacientes a quienes se les asigno la cita con promoción y detección en en lapso superior a 3 días hábiles. (año 2020)</t>
  </si>
  <si>
    <t>Numero de pacientes a quienes se les asigno la cita con ortopedia en un lapso de 5 días hábiles. (año 2020)</t>
  </si>
  <si>
    <t>Numero de pacientes a quienes se les asigno la cita con ortopedia en un lapso mayor a 5 días hábiles. (año 2020)</t>
  </si>
  <si>
    <t>Numero de pacientes a quienes se les asigno la cita con medicina familiar en un lapso de 5 días hábiles. (año 2020)</t>
  </si>
  <si>
    <t>Numero de pacientes a quienes se les asigno la cita con medicina familiar en un lapso superior a 5 días hábiles. (año 2020)</t>
  </si>
  <si>
    <t>Numero de pacientes a quienes se les asigno la toma de ecografía en un lapso de 15 días hábiles. (año 2020)</t>
  </si>
  <si>
    <t>Numero de pacientes a quienes no se les asigno la toma de ecografía en un lapso de 15 días hábiles. (año 2020)</t>
  </si>
  <si>
    <t>Numero de pacientes a quienes se les asigno la cita con cirugía general en un lapso de 5 días hábiles. (año 2020)</t>
  </si>
  <si>
    <t>Numero de pacientes a quienes se les asigno la cita con cirugía general en un lapso superior a 5 días hábiles. (año 2020)</t>
  </si>
  <si>
    <t>Numero de pacientes a quienes se les asigno la cita con pediatría en un lapso de 5 días hábiles. (año 2020)</t>
  </si>
  <si>
    <t>Numero de pacientes a quienes se les asigno la cita con pediatría en un lapso mayor de 5 días hábiles. (año 2020)</t>
  </si>
  <si>
    <t>Numero de pacientes a quienes se les asigno la cita con ginecología en un lapso de 5 días hábiles. (año 2020)</t>
  </si>
  <si>
    <t>Numero de pacientes a quienes se les asigno la cita la cita con ginecología en un lapso mayor de 5 días hábiles. (año 2020)</t>
  </si>
  <si>
    <t>Numero de pacientes a quienes se les asigno la cita con medicina interna en un lapso de 5 días hábiles. (año 2020)</t>
  </si>
  <si>
    <t>Numero de pacientes a quienes se les asigno la cita con medicina interna en un lapso mayor de 5 días hábiles. (año 2020)</t>
  </si>
  <si>
    <t>Numero de Gestantes que ingresan a control prenatal, después de las 12 semanas de gestación. (año 2020)</t>
  </si>
  <si>
    <t>Salario facturador asignador de citas, odontólogo general, inversión capital realizada en estructura física consultorio, insumos de oficina.</t>
  </si>
  <si>
    <t>Numero de pacientes a quienes se les asigno cita por primera vez con odontología general en un lapso de 3 días hábiles. (año 2020)</t>
  </si>
  <si>
    <t>Numero de pacientes a quienes se les asigno cita por primera vez con odontología general en un lapso mayor de 3 días hábiles. (año 2020)</t>
  </si>
  <si>
    <t>Salario del radiólogo, mantenimiento de equipos biomédicos, insumos de impresión y papelería.</t>
  </si>
  <si>
    <t>Numero de resultados entregados de imagenología en un lapso de 2 días.</t>
  </si>
  <si>
    <t>Numero de resultados de imagenología  entregados en un lapso de tiempo superior a 2 días.</t>
  </si>
  <si>
    <t>Salario medico tratante, enfermeras, auxiliares, mantenimiento  infraestructura, equipos biomédicos, insumos oficina.</t>
  </si>
  <si>
    <t>Número de eventos de EDA en menores de 5 años resueltos.</t>
  </si>
  <si>
    <t>Salario de médicos especialistas, salario enfermeras, costos de estancia en UCI, inversión infraestructura.</t>
  </si>
  <si>
    <t>Numero promedio de días de atención en UCI prestada a cada paciente egresado menor o igual a 4 días.</t>
  </si>
  <si>
    <t>Numero promedio de días de atención en UCI prestada a cada paciente egresado mayor a 4 días.</t>
  </si>
  <si>
    <t>Promedio de ocupación en la UCI menor al 60% en el mes.</t>
  </si>
  <si>
    <t>Promedio de ocupación en la UCI mayor al 60% en el mes.</t>
  </si>
  <si>
    <t>Inversión en camas de hospitalización, salario de enfermeras, inversión en medicamentos, equipos biomédicos, salario médicos generales y especialistas, insumos de oficina.</t>
  </si>
  <si>
    <t>Número de casos dados de alta, que no  reingresaron antes de 15 días.(año 2020).</t>
  </si>
  <si>
    <t>Número de casos dados de alta, con reingresos, en menos de 15 días.(año 2020).</t>
  </si>
  <si>
    <t>Numero de mortalidades en la UCI</t>
  </si>
  <si>
    <t>Camas de hospitalización, salario de médicos generales y especialistas, inversión en medicamentos.</t>
  </si>
  <si>
    <t>Números de pacientes a los que se les administro medicamentos y no presentaron eventos adversos en hospitalización</t>
  </si>
  <si>
    <t>Salario de médicos generales y especialistas, camas de hospitalización, inversión en medicamentos, inversión en mantenimiento de estructura física, equipos biomédicos.</t>
  </si>
  <si>
    <t>Número de pacientes dados de alta por infección respiratoria aguda y que no presentaron reingreso en menos de 15 días</t>
  </si>
  <si>
    <t>Número de pacientes que reingresan al servicio de hospitalización por infección respiratoria aguda, antes de 15 días.</t>
  </si>
  <si>
    <t>Salario profesional líder SIAU, insumos oficina, inversión en sistema de informacion, mantenimiento de estructura física.</t>
  </si>
  <si>
    <t>Salario facturador asignador de citas,  inversión de capital realizada en mantenimiento estructura física consultorio, insumos de oficina.</t>
  </si>
  <si>
    <t>Numero de pacientes a quienes se les asigno la cita por primera vez con medicina general  en en lapso de 3 días hábiles. (año 2020)</t>
  </si>
  <si>
    <t>Numero de pacientes a quienes se les asigno la cita por primera vez con medicina general  en en lapso, superior a los 3 días hábiles. (año 2020)</t>
  </si>
  <si>
    <t>6,39 Días</t>
  </si>
  <si>
    <t>5 días</t>
  </si>
  <si>
    <t>6,71 Días</t>
  </si>
  <si>
    <t>3,75 Días</t>
  </si>
  <si>
    <t>15 Días</t>
  </si>
  <si>
    <t>2,27 Días</t>
  </si>
  <si>
    <t>5 Días</t>
  </si>
  <si>
    <t>4,26 Días</t>
  </si>
  <si>
    <t>4,95 Días</t>
  </si>
  <si>
    <t>3,46 Días</t>
  </si>
  <si>
    <t>3,11 Días</t>
  </si>
  <si>
    <t>3 Días</t>
  </si>
  <si>
    <t>0 Días</t>
  </si>
  <si>
    <t>2 Días</t>
  </si>
  <si>
    <t>7,80 Días</t>
  </si>
  <si>
    <t>4 Días</t>
  </si>
  <si>
    <t>2,91 Días</t>
  </si>
  <si>
    <t>3 días</t>
  </si>
  <si>
    <t>5,42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</si>
</sst>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240A]General"/>
    <numFmt numFmtId="165" formatCode="#,##0_ ;\-#,##0\ "/>
    <numFmt numFmtId="166" formatCode="&quot;$&quot;\ #,##0"/>
    <numFmt numFmtId="167" formatCode="0.00000"/>
    <numFmt numFmtId="168" formatCode="#,##0.000000;\-#,##0.000000"/>
    <numFmt numFmtId="169" formatCode="0.0000"/>
    <numFmt numFmtId="170" formatCode="_-* #,##0_-;\-* #,##0_-;_-* &quot;-&quot;??_-;_-@_-"/>
    <numFmt numFmtId="171" formatCode="0.0000000000%"/>
    <numFmt numFmtId="172" formatCode="0.000%"/>
  </numFmts>
  <fonts count="2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u val="singleAccounting"/>
      <sz val="13"/>
      <color theme="1"/>
      <name val="Arial"/>
      <family val="2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theme="4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theme="8" tint="0.39997558519241921"/>
        <bgColor theme="4" tint="0.59999389629810485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164" fontId="8" fillId="0" borderId="0" applyBorder="0" applyProtection="0"/>
    <xf numFmtId="0" fontId="7" fillId="0" borderId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9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5" borderId="2" xfId="1" applyFont="1" applyFill="1" applyBorder="1" applyAlignment="1" applyProtection="1">
      <alignment horizontal="center" vertical="center" wrapText="1"/>
    </xf>
    <xf numFmtId="0" fontId="1" fillId="5" borderId="2" xfId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9" borderId="2" xfId="0" applyFill="1" applyBorder="1" applyAlignment="1">
      <alignment horizontal="center"/>
    </xf>
    <xf numFmtId="0" fontId="0" fillId="7" borderId="2" xfId="0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wrapText="1"/>
    </xf>
    <xf numFmtId="0" fontId="13" fillId="11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 wrapText="1"/>
    </xf>
    <xf numFmtId="0" fontId="13" fillId="12" borderId="2" xfId="0" applyFont="1" applyFill="1" applyBorder="1" applyAlignment="1">
      <alignment wrapText="1"/>
    </xf>
    <xf numFmtId="0" fontId="13" fillId="13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2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19" borderId="0" xfId="0" applyFill="1" applyAlignment="1" applyProtection="1">
      <alignment horizontal="left"/>
      <protection locked="0"/>
    </xf>
    <xf numFmtId="42" fontId="19" fillId="0" borderId="2" xfId="0" applyNumberFormat="1" applyFont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1" fontId="20" fillId="0" borderId="2" xfId="0" applyNumberFormat="1" applyFont="1" applyBorder="1" applyAlignment="1" applyProtection="1">
      <alignment horizontal="center" vertical="center" wrapText="1"/>
    </xf>
    <xf numFmtId="1" fontId="19" fillId="0" borderId="9" xfId="0" applyNumberFormat="1" applyFont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8" borderId="2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5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6" fontId="2" fillId="0" borderId="2" xfId="0" applyNumberFormat="1" applyFont="1" applyBorder="1" applyAlignment="1" applyProtection="1">
      <alignment horizontal="center" vertical="center" wrapText="1"/>
      <protection locked="0"/>
    </xf>
    <xf numFmtId="44" fontId="2" fillId="0" borderId="0" xfId="7" applyFont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</xf>
    <xf numFmtId="170" fontId="0" fillId="0" borderId="0" xfId="6" applyNumberFormat="1" applyFont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2" fontId="0" fillId="0" borderId="0" xfId="7" applyNumberFormat="1" applyFont="1" applyAlignment="1" applyProtection="1">
      <alignment horizontal="center"/>
      <protection locked="0"/>
    </xf>
    <xf numFmtId="171" fontId="0" fillId="0" borderId="0" xfId="5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wrapText="1"/>
      <protection locked="0"/>
    </xf>
    <xf numFmtId="2" fontId="19" fillId="4" borderId="1" xfId="0" applyNumberFormat="1" applyFont="1" applyFill="1" applyBorder="1" applyAlignment="1" applyProtection="1">
      <alignment horizontal="center" vertical="center" wrapText="1"/>
    </xf>
    <xf numFmtId="42" fontId="19" fillId="4" borderId="1" xfId="0" applyNumberFormat="1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166" fontId="0" fillId="0" borderId="0" xfId="0" applyNumberFormat="1" applyAlignment="1" applyProtection="1">
      <alignment horizontal="center" vertical="center"/>
      <protection locked="0"/>
    </xf>
    <xf numFmtId="42" fontId="18" fillId="0" borderId="2" xfId="0" applyNumberFormat="1" applyFont="1" applyFill="1" applyBorder="1" applyProtection="1">
      <protection locked="0"/>
    </xf>
    <xf numFmtId="42" fontId="18" fillId="0" borderId="2" xfId="0" applyNumberFormat="1" applyFont="1" applyFill="1" applyBorder="1" applyAlignment="1" applyProtection="1">
      <alignment horizontal="center" vertical="center"/>
      <protection locked="0"/>
    </xf>
    <xf numFmtId="42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42" fontId="18" fillId="0" borderId="2" xfId="0" applyNumberFormat="1" applyFont="1" applyFill="1" applyBorder="1" applyAlignment="1" applyProtection="1">
      <alignment wrapText="1"/>
      <protection locked="0"/>
    </xf>
    <xf numFmtId="44" fontId="18" fillId="0" borderId="2" xfId="7" applyFont="1" applyFill="1" applyBorder="1" applyAlignment="1" applyProtection="1">
      <alignment horizontal="left" wrapText="1"/>
      <protection locked="0"/>
    </xf>
    <xf numFmtId="42" fontId="18" fillId="0" borderId="11" xfId="0" applyNumberFormat="1" applyFont="1" applyFill="1" applyBorder="1" applyAlignment="1" applyProtection="1">
      <alignment horizontal="center"/>
      <protection locked="0"/>
    </xf>
    <xf numFmtId="42" fontId="0" fillId="0" borderId="0" xfId="0" applyNumberFormat="1" applyFill="1" applyProtection="1">
      <protection locked="0"/>
    </xf>
    <xf numFmtId="2" fontId="18" fillId="0" borderId="2" xfId="0" applyNumberFormat="1" applyFont="1" applyFill="1" applyBorder="1" applyAlignment="1" applyProtection="1">
      <alignment horizontal="center" vertical="center"/>
      <protection locked="0"/>
    </xf>
    <xf numFmtId="1" fontId="18" fillId="0" borderId="2" xfId="0" applyNumberFormat="1" applyFont="1" applyFill="1" applyBorder="1" applyAlignment="1" applyProtection="1">
      <alignment horizontal="center" vertical="center"/>
      <protection locked="0"/>
    </xf>
    <xf numFmtId="1" fontId="18" fillId="0" borderId="2" xfId="0" applyNumberFormat="1" applyFont="1" applyFill="1" applyBorder="1" applyAlignment="1" applyProtection="1">
      <alignment horizontal="center"/>
      <protection locked="0"/>
    </xf>
    <xf numFmtId="1" fontId="18" fillId="0" borderId="2" xfId="7" applyNumberFormat="1" applyFont="1" applyFill="1" applyBorder="1" applyAlignment="1" applyProtection="1">
      <alignment horizontal="center"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wrapText="1"/>
      <protection locked="0"/>
    </xf>
    <xf numFmtId="1" fontId="18" fillId="0" borderId="2" xfId="7" applyNumberFormat="1" applyFont="1" applyFill="1" applyBorder="1" applyAlignment="1" applyProtection="1">
      <alignment horizontal="center" wrapText="1"/>
      <protection locked="0"/>
    </xf>
    <xf numFmtId="1" fontId="18" fillId="0" borderId="11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Fill="1" applyAlignment="1" applyProtection="1">
      <alignment horizontal="center"/>
      <protection locked="0"/>
    </xf>
    <xf numFmtId="2" fontId="18" fillId="0" borderId="18" xfId="0" applyNumberFormat="1" applyFont="1" applyFill="1" applyBorder="1" applyAlignment="1" applyProtection="1">
      <alignment horizontal="center" vertical="center"/>
      <protection locked="0"/>
    </xf>
    <xf numFmtId="1" fontId="18" fillId="0" borderId="11" xfId="0" applyNumberFormat="1" applyFont="1" applyFill="1" applyBorder="1" applyAlignment="1" applyProtection="1">
      <alignment horizontal="center" vertical="center"/>
      <protection locked="0"/>
    </xf>
    <xf numFmtId="42" fontId="18" fillId="0" borderId="18" xfId="0" applyNumberFormat="1" applyFont="1" applyFill="1" applyBorder="1" applyProtection="1">
      <protection locked="0"/>
    </xf>
    <xf numFmtId="42" fontId="18" fillId="0" borderId="11" xfId="0" applyNumberFormat="1" applyFont="1" applyFill="1" applyBorder="1" applyProtection="1">
      <protection locked="0"/>
    </xf>
    <xf numFmtId="42" fontId="18" fillId="0" borderId="11" xfId="0" applyNumberFormat="1" applyFont="1" applyFill="1" applyBorder="1" applyAlignment="1" applyProtection="1">
      <alignment horizontal="center" vertical="center"/>
      <protection locked="0"/>
    </xf>
    <xf numFmtId="42" fontId="18" fillId="0" borderId="18" xfId="0" applyNumberFormat="1" applyFont="1" applyFill="1" applyBorder="1" applyAlignment="1" applyProtection="1">
      <alignment horizontal="center" vertical="center"/>
      <protection locked="0"/>
    </xf>
    <xf numFmtId="1" fontId="18" fillId="0" borderId="18" xfId="0" applyNumberFormat="1" applyFont="1" applyFill="1" applyBorder="1" applyAlignment="1" applyProtection="1">
      <alignment horizontal="center" vertical="center"/>
      <protection locked="0"/>
    </xf>
    <xf numFmtId="42" fontId="18" fillId="0" borderId="18" xfId="7" applyNumberFormat="1" applyFont="1" applyFill="1" applyBorder="1" applyAlignment="1" applyProtection="1">
      <alignment horizontal="center" vertical="center"/>
      <protection locked="0"/>
    </xf>
    <xf numFmtId="42" fontId="18" fillId="0" borderId="18" xfId="7" applyNumberFormat="1" applyFont="1" applyFill="1" applyBorder="1" applyAlignment="1" applyProtection="1">
      <alignment horizontal="center" vertical="center" wrapText="1"/>
      <protection locked="0"/>
    </xf>
    <xf numFmtId="42" fontId="18" fillId="0" borderId="11" xfId="7" applyNumberFormat="1" applyFont="1" applyFill="1" applyBorder="1" applyAlignment="1" applyProtection="1">
      <alignment horizontal="center" vertical="center" wrapText="1"/>
      <protection locked="0"/>
    </xf>
    <xf numFmtId="1" fontId="18" fillId="0" borderId="11" xfId="7" applyNumberFormat="1" applyFont="1" applyFill="1" applyBorder="1" applyAlignment="1" applyProtection="1">
      <alignment horizontal="center" vertical="center" wrapText="1"/>
      <protection locked="0"/>
    </xf>
    <xf numFmtId="1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18" xfId="0" applyNumberFormat="1" applyFont="1" applyFill="1" applyBorder="1" applyAlignment="1" applyProtection="1">
      <alignment horizontal="center"/>
      <protection locked="0"/>
    </xf>
    <xf numFmtId="42" fontId="18" fillId="0" borderId="11" xfId="7" applyNumberFormat="1" applyFont="1" applyFill="1" applyBorder="1" applyAlignment="1" applyProtection="1">
      <alignment wrapText="1"/>
      <protection locked="0"/>
    </xf>
    <xf numFmtId="1" fontId="18" fillId="0" borderId="11" xfId="7" applyNumberFormat="1" applyFont="1" applyFill="1" applyBorder="1" applyAlignment="1" applyProtection="1">
      <alignment horizontal="center" wrapText="1"/>
      <protection locked="0"/>
    </xf>
    <xf numFmtId="42" fontId="18" fillId="24" borderId="18" xfId="0" applyNumberFormat="1" applyFont="1" applyFill="1" applyBorder="1" applyAlignment="1" applyProtection="1">
      <alignment vertical="center"/>
    </xf>
    <xf numFmtId="42" fontId="18" fillId="24" borderId="2" xfId="0" applyNumberFormat="1" applyFont="1" applyFill="1" applyBorder="1" applyAlignment="1" applyProtection="1">
      <alignment vertical="center"/>
    </xf>
    <xf numFmtId="42" fontId="18" fillId="24" borderId="11" xfId="0" applyNumberFormat="1" applyFont="1" applyFill="1" applyBorder="1" applyAlignment="1" applyProtection="1">
      <alignment vertical="center"/>
    </xf>
    <xf numFmtId="42" fontId="18" fillId="24" borderId="18" xfId="0" applyNumberFormat="1" applyFont="1" applyFill="1" applyBorder="1" applyProtection="1"/>
    <xf numFmtId="42" fontId="18" fillId="24" borderId="2" xfId="0" applyNumberFormat="1" applyFont="1" applyFill="1" applyBorder="1" applyProtection="1"/>
    <xf numFmtId="42" fontId="18" fillId="24" borderId="11" xfId="0" applyNumberFormat="1" applyFont="1" applyFill="1" applyBorder="1" applyProtection="1"/>
    <xf numFmtId="42" fontId="18" fillId="24" borderId="2" xfId="0" applyNumberFormat="1" applyFont="1" applyFill="1" applyBorder="1" applyAlignment="1" applyProtection="1">
      <alignment horizontal="center" vertical="center"/>
    </xf>
    <xf numFmtId="42" fontId="18" fillId="24" borderId="11" xfId="0" applyNumberFormat="1" applyFont="1" applyFill="1" applyBorder="1" applyAlignment="1" applyProtection="1">
      <alignment horizontal="center" vertical="center"/>
    </xf>
    <xf numFmtId="42" fontId="18" fillId="24" borderId="2" xfId="7" applyNumberFormat="1" applyFont="1" applyFill="1" applyBorder="1" applyAlignment="1" applyProtection="1">
      <alignment horizontal="center" vertical="center" wrapText="1"/>
    </xf>
    <xf numFmtId="42" fontId="18" fillId="24" borderId="2" xfId="0" applyNumberFormat="1" applyFont="1" applyFill="1" applyBorder="1" applyAlignment="1" applyProtection="1">
      <alignment horizontal="center" vertical="center" wrapText="1"/>
    </xf>
    <xf numFmtId="42" fontId="18" fillId="24" borderId="11" xfId="7" applyNumberFormat="1" applyFont="1" applyFill="1" applyBorder="1" applyAlignment="1" applyProtection="1">
      <alignment horizontal="center" vertical="center" wrapText="1"/>
    </xf>
    <xf numFmtId="42" fontId="18" fillId="24" borderId="2" xfId="0" applyNumberFormat="1" applyFont="1" applyFill="1" applyBorder="1" applyAlignment="1" applyProtection="1">
      <alignment wrapText="1"/>
    </xf>
    <xf numFmtId="42" fontId="18" fillId="24" borderId="11" xfId="7" applyNumberFormat="1" applyFont="1" applyFill="1" applyBorder="1" applyAlignment="1" applyProtection="1">
      <alignment wrapText="1"/>
    </xf>
    <xf numFmtId="44" fontId="18" fillId="24" borderId="2" xfId="7" applyFont="1" applyFill="1" applyBorder="1" applyAlignment="1" applyProtection="1">
      <alignment horizontal="left" wrapText="1"/>
    </xf>
    <xf numFmtId="42" fontId="18" fillId="24" borderId="11" xfId="0" applyNumberFormat="1" applyFont="1" applyFill="1" applyBorder="1" applyAlignment="1" applyProtection="1">
      <alignment horizontal="center"/>
    </xf>
    <xf numFmtId="1" fontId="18" fillId="24" borderId="18" xfId="0" applyNumberFormat="1" applyFont="1" applyFill="1" applyBorder="1" applyAlignment="1" applyProtection="1">
      <alignment horizontal="center" vertical="center"/>
    </xf>
    <xf numFmtId="2" fontId="18" fillId="24" borderId="18" xfId="7" applyNumberFormat="1" applyFont="1" applyFill="1" applyBorder="1" applyAlignment="1" applyProtection="1">
      <alignment horizontal="center" vertical="center"/>
    </xf>
    <xf numFmtId="1" fontId="18" fillId="24" borderId="2" xfId="0" applyNumberFormat="1" applyFont="1" applyFill="1" applyBorder="1" applyAlignment="1" applyProtection="1">
      <alignment horizontal="center" vertical="center"/>
    </xf>
    <xf numFmtId="2" fontId="18" fillId="24" borderId="2" xfId="7" applyNumberFormat="1" applyFont="1" applyFill="1" applyBorder="1" applyAlignment="1" applyProtection="1">
      <alignment horizontal="center" vertical="center"/>
    </xf>
    <xf numFmtId="1" fontId="18" fillId="24" borderId="11" xfId="0" applyNumberFormat="1" applyFont="1" applyFill="1" applyBorder="1" applyAlignment="1" applyProtection="1">
      <alignment horizontal="center" vertical="center"/>
    </xf>
    <xf numFmtId="2" fontId="18" fillId="24" borderId="11" xfId="7" applyNumberFormat="1" applyFont="1" applyFill="1" applyBorder="1" applyAlignment="1" applyProtection="1">
      <alignment horizontal="center" vertical="center"/>
    </xf>
    <xf numFmtId="1" fontId="18" fillId="24" borderId="2" xfId="0" applyNumberFormat="1" applyFont="1" applyFill="1" applyBorder="1" applyAlignment="1" applyProtection="1">
      <alignment horizontal="center"/>
    </xf>
    <xf numFmtId="2" fontId="18" fillId="24" borderId="2" xfId="7" applyNumberFormat="1" applyFont="1" applyFill="1" applyBorder="1" applyAlignment="1" applyProtection="1">
      <alignment horizontal="center"/>
    </xf>
    <xf numFmtId="1" fontId="18" fillId="24" borderId="11" xfId="0" applyNumberFormat="1" applyFont="1" applyFill="1" applyBorder="1" applyAlignment="1" applyProtection="1">
      <alignment horizontal="center"/>
    </xf>
    <xf numFmtId="2" fontId="18" fillId="24" borderId="11" xfId="7" applyNumberFormat="1" applyFont="1" applyFill="1" applyBorder="1" applyAlignment="1" applyProtection="1">
      <alignment horizontal="center"/>
    </xf>
    <xf numFmtId="1" fontId="18" fillId="24" borderId="2" xfId="7" applyNumberFormat="1" applyFont="1" applyFill="1" applyBorder="1" applyAlignment="1" applyProtection="1">
      <alignment horizontal="center" vertical="center" wrapText="1"/>
    </xf>
    <xf numFmtId="2" fontId="18" fillId="24" borderId="2" xfId="7" applyNumberFormat="1" applyFont="1" applyFill="1" applyBorder="1" applyAlignment="1" applyProtection="1">
      <alignment horizontal="center" vertical="center" wrapText="1"/>
    </xf>
    <xf numFmtId="1" fontId="18" fillId="24" borderId="2" xfId="0" applyNumberFormat="1" applyFont="1" applyFill="1" applyBorder="1" applyAlignment="1" applyProtection="1">
      <alignment horizontal="center" vertical="center" wrapText="1"/>
    </xf>
    <xf numFmtId="1" fontId="18" fillId="24" borderId="11" xfId="7" applyNumberFormat="1" applyFont="1" applyFill="1" applyBorder="1" applyAlignment="1" applyProtection="1">
      <alignment horizontal="center" vertical="center" wrapText="1"/>
    </xf>
    <xf numFmtId="2" fontId="18" fillId="24" borderId="11" xfId="7" applyNumberFormat="1" applyFont="1" applyFill="1" applyBorder="1" applyAlignment="1" applyProtection="1">
      <alignment horizontal="center" vertical="center" wrapText="1"/>
    </xf>
    <xf numFmtId="1" fontId="18" fillId="24" borderId="18" xfId="0" applyNumberFormat="1" applyFont="1" applyFill="1" applyBorder="1" applyAlignment="1" applyProtection="1">
      <alignment horizontal="center"/>
    </xf>
    <xf numFmtId="2" fontId="18" fillId="24" borderId="18" xfId="7" applyNumberFormat="1" applyFont="1" applyFill="1" applyBorder="1" applyAlignment="1" applyProtection="1">
      <alignment horizontal="center"/>
    </xf>
    <xf numFmtId="1" fontId="18" fillId="24" borderId="2" xfId="0" applyNumberFormat="1" applyFont="1" applyFill="1" applyBorder="1" applyAlignment="1" applyProtection="1">
      <alignment horizontal="center" wrapText="1"/>
    </xf>
    <xf numFmtId="2" fontId="18" fillId="24" borderId="2" xfId="7" applyNumberFormat="1" applyFont="1" applyFill="1" applyBorder="1" applyAlignment="1" applyProtection="1">
      <alignment horizontal="center" wrapText="1"/>
    </xf>
    <xf numFmtId="1" fontId="18" fillId="24" borderId="11" xfId="7" applyNumberFormat="1" applyFont="1" applyFill="1" applyBorder="1" applyAlignment="1" applyProtection="1">
      <alignment horizontal="center" wrapText="1"/>
    </xf>
    <xf numFmtId="2" fontId="18" fillId="24" borderId="11" xfId="7" applyNumberFormat="1" applyFont="1" applyFill="1" applyBorder="1" applyAlignment="1" applyProtection="1">
      <alignment horizontal="center" wrapText="1"/>
    </xf>
    <xf numFmtId="1" fontId="18" fillId="24" borderId="2" xfId="7" applyNumberFormat="1" applyFont="1" applyFill="1" applyBorder="1" applyAlignment="1" applyProtection="1">
      <alignment horizont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11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0" fontId="18" fillId="0" borderId="24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top" wrapText="1"/>
    </xf>
    <xf numFmtId="0" fontId="18" fillId="0" borderId="31" xfId="0" applyFont="1" applyFill="1" applyBorder="1" applyAlignment="1" applyProtection="1">
      <alignment horizontal="left" vertical="top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31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wrapText="1"/>
    </xf>
    <xf numFmtId="0" fontId="18" fillId="0" borderId="31" xfId="0" applyFont="1" applyFill="1" applyBorder="1" applyAlignment="1" applyProtection="1">
      <alignment horizontal="left" wrapText="1"/>
    </xf>
    <xf numFmtId="0" fontId="18" fillId="0" borderId="2" xfId="0" applyFont="1" applyFill="1" applyBorder="1" applyAlignment="1" applyProtection="1">
      <alignment horizontal="left" wrapText="1"/>
    </xf>
    <xf numFmtId="0" fontId="18" fillId="0" borderId="11" xfId="0" applyFont="1" applyFill="1" applyBorder="1" applyAlignment="1" applyProtection="1">
      <alignment horizontal="left" wrapText="1"/>
    </xf>
    <xf numFmtId="0" fontId="19" fillId="0" borderId="1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" fontId="9" fillId="0" borderId="0" xfId="0" applyNumberFormat="1" applyFont="1" applyFill="1" applyAlignment="1" applyProtection="1">
      <alignment horizontal="center" vertical="center" wrapText="1"/>
    </xf>
    <xf numFmtId="1" fontId="9" fillId="0" borderId="0" xfId="0" applyNumberFormat="1" applyFont="1" applyAlignment="1" applyProtection="1">
      <alignment horizontal="center" vertical="center" wrapText="1"/>
    </xf>
    <xf numFmtId="2" fontId="9" fillId="0" borderId="0" xfId="7" applyNumberFormat="1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42" fontId="20" fillId="4" borderId="1" xfId="0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 applyProtection="1">
      <alignment horizontal="center"/>
      <protection locked="0"/>
    </xf>
    <xf numFmtId="0" fontId="19" fillId="0" borderId="2" xfId="0" applyFont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center" vertical="center"/>
    </xf>
    <xf numFmtId="42" fontId="19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1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66" fontId="2" fillId="24" borderId="2" xfId="0" applyNumberFormat="1" applyFont="1" applyFill="1" applyBorder="1" applyAlignment="1" applyProtection="1">
      <alignment horizontal="center" vertical="center" wrapText="1"/>
    </xf>
    <xf numFmtId="167" fontId="2" fillId="24" borderId="2" xfId="0" applyNumberFormat="1" applyFont="1" applyFill="1" applyBorder="1" applyAlignment="1" applyProtection="1">
      <alignment horizontal="center" vertical="center" wrapText="1"/>
    </xf>
    <xf numFmtId="169" fontId="2" fillId="24" borderId="2" xfId="4" applyNumberFormat="1" applyFont="1" applyFill="1" applyBorder="1" applyAlignment="1" applyProtection="1">
      <alignment horizontal="center" vertical="center" wrapText="1"/>
    </xf>
    <xf numFmtId="39" fontId="2" fillId="24" borderId="2" xfId="4" applyNumberFormat="1" applyFont="1" applyFill="1" applyBorder="1" applyAlignment="1" applyProtection="1">
      <alignment horizontal="center" vertical="center" wrapText="1"/>
    </xf>
    <xf numFmtId="166" fontId="2" fillId="24" borderId="2" xfId="7" applyNumberFormat="1" applyFont="1" applyFill="1" applyBorder="1" applyAlignment="1" applyProtection="1">
      <alignment horizontal="center" vertical="center" wrapText="1"/>
    </xf>
    <xf numFmtId="168" fontId="2" fillId="24" borderId="2" xfId="4" applyNumberFormat="1" applyFont="1" applyFill="1" applyBorder="1" applyAlignment="1" applyProtection="1">
      <alignment horizontal="center" vertical="center" wrapText="1"/>
    </xf>
    <xf numFmtId="3" fontId="2" fillId="24" borderId="2" xfId="0" applyNumberFormat="1" applyFont="1" applyFill="1" applyBorder="1" applyAlignment="1" applyProtection="1">
      <alignment horizontal="center" vertical="center" wrapText="1"/>
    </xf>
    <xf numFmtId="0" fontId="2" fillId="24" borderId="2" xfId="4" applyNumberFormat="1" applyFont="1" applyFill="1" applyBorder="1" applyAlignment="1" applyProtection="1">
      <alignment horizontal="center" vertical="center" wrapText="1"/>
    </xf>
    <xf numFmtId="2" fontId="2" fillId="24" borderId="2" xfId="4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4" borderId="2" xfId="0" applyFont="1" applyFill="1" applyBorder="1" applyAlignment="1" applyProtection="1">
      <alignment horizontal="left" vertical="center" wrapText="1"/>
      <protection hidden="1"/>
    </xf>
    <xf numFmtId="0" fontId="2" fillId="24" borderId="2" xfId="0" applyFont="1" applyFill="1" applyBorder="1" applyAlignment="1" applyProtection="1">
      <alignment horizontal="center" vertical="center" wrapText="1"/>
      <protection hidden="1"/>
    </xf>
    <xf numFmtId="0" fontId="13" fillId="25" borderId="2" xfId="0" applyFont="1" applyFill="1" applyBorder="1" applyAlignment="1" applyProtection="1">
      <alignment wrapText="1"/>
      <protection hidden="1"/>
    </xf>
    <xf numFmtId="0" fontId="13" fillId="26" borderId="2" xfId="0" applyFont="1" applyFill="1" applyBorder="1" applyAlignment="1" applyProtection="1">
      <alignment wrapText="1"/>
      <protection hidden="1"/>
    </xf>
    <xf numFmtId="0" fontId="3" fillId="21" borderId="1" xfId="0" applyFont="1" applyFill="1" applyBorder="1" applyAlignment="1" applyProtection="1">
      <alignment horizontal="center" vertical="center" wrapText="1"/>
    </xf>
    <xf numFmtId="0" fontId="5" fillId="21" borderId="1" xfId="0" applyFont="1" applyFill="1" applyBorder="1" applyAlignment="1" applyProtection="1">
      <alignment horizontal="center" vertical="center" wrapText="1"/>
    </xf>
    <xf numFmtId="0" fontId="3" fillId="21" borderId="1" xfId="0" applyNumberFormat="1" applyFont="1" applyFill="1" applyBorder="1" applyAlignment="1" applyProtection="1">
      <alignment horizontal="center" vertical="center" wrapText="1"/>
    </xf>
    <xf numFmtId="167" fontId="18" fillId="24" borderId="39" xfId="0" applyNumberFormat="1" applyFont="1" applyFill="1" applyBorder="1" applyAlignment="1" applyProtection="1">
      <alignment horizontal="center" vertical="center"/>
    </xf>
    <xf numFmtId="167" fontId="18" fillId="22" borderId="39" xfId="0" applyNumberFormat="1" applyFont="1" applyFill="1" applyBorder="1" applyAlignment="1" applyProtection="1">
      <alignment horizontal="center" vertical="center"/>
    </xf>
    <xf numFmtId="2" fontId="21" fillId="22" borderId="39" xfId="0" applyNumberFormat="1" applyFont="1" applyFill="1" applyBorder="1" applyAlignment="1" applyProtection="1">
      <alignment horizontal="center" vertical="center"/>
      <protection locked="0"/>
    </xf>
    <xf numFmtId="0" fontId="21" fillId="0" borderId="39" xfId="0" applyFont="1" applyFill="1" applyBorder="1" applyAlignment="1" applyProtection="1">
      <alignment horizontal="center" vertical="center" wrapText="1"/>
      <protection locked="0"/>
    </xf>
    <xf numFmtId="166" fontId="18" fillId="24" borderId="39" xfId="0" applyNumberFormat="1" applyFont="1" applyFill="1" applyBorder="1" applyAlignment="1" applyProtection="1">
      <alignment horizontal="center" vertical="center"/>
    </xf>
    <xf numFmtId="166" fontId="18" fillId="24" borderId="40" xfId="0" applyNumberFormat="1" applyFont="1" applyFill="1" applyBorder="1" applyAlignment="1" applyProtection="1">
      <alignment horizontal="center" vertical="center"/>
    </xf>
    <xf numFmtId="167" fontId="18" fillId="23" borderId="39" xfId="0" applyNumberFormat="1" applyFont="1" applyFill="1" applyBorder="1" applyAlignment="1" applyProtection="1">
      <alignment horizontal="center" vertical="center"/>
    </xf>
    <xf numFmtId="2" fontId="21" fillId="23" borderId="39" xfId="0" applyNumberFormat="1" applyFont="1" applyFill="1" applyBorder="1" applyAlignment="1" applyProtection="1">
      <alignment horizontal="center" vertical="center"/>
      <protection locked="0"/>
    </xf>
    <xf numFmtId="2" fontId="21" fillId="6" borderId="39" xfId="0" applyNumberFormat="1" applyFont="1" applyFill="1" applyBorder="1" applyAlignment="1" applyProtection="1">
      <alignment horizontal="center" vertical="center"/>
      <protection locked="0"/>
    </xf>
    <xf numFmtId="2" fontId="21" fillId="22" borderId="39" xfId="0" applyNumberFormat="1" applyFont="1" applyFill="1" applyBorder="1" applyAlignment="1" applyProtection="1">
      <alignment horizontal="center" vertical="center" wrapText="1"/>
      <protection locked="0"/>
    </xf>
    <xf numFmtId="9" fontId="21" fillId="23" borderId="39" xfId="5" applyFont="1" applyFill="1" applyBorder="1" applyAlignment="1" applyProtection="1">
      <alignment horizontal="center" vertical="center"/>
      <protection locked="0"/>
    </xf>
    <xf numFmtId="9" fontId="21" fillId="0" borderId="39" xfId="0" applyNumberFormat="1" applyFont="1" applyFill="1" applyBorder="1" applyAlignment="1" applyProtection="1">
      <alignment horizontal="center" vertical="center" wrapText="1"/>
      <protection locked="0"/>
    </xf>
    <xf numFmtId="10" fontId="21" fillId="23" borderId="39" xfId="5" applyNumberFormat="1" applyFont="1" applyFill="1" applyBorder="1" applyAlignment="1" applyProtection="1">
      <alignment horizontal="center" vertical="center"/>
      <protection locked="0"/>
    </xf>
    <xf numFmtId="2" fontId="21" fillId="23" borderId="39" xfId="0" applyNumberFormat="1" applyFont="1" applyFill="1" applyBorder="1" applyAlignment="1" applyProtection="1">
      <alignment horizontal="center" vertical="center" wrapText="1"/>
      <protection locked="0"/>
    </xf>
    <xf numFmtId="10" fontId="21" fillId="22" borderId="39" xfId="5" applyNumberFormat="1" applyFont="1" applyFill="1" applyBorder="1" applyAlignment="1" applyProtection="1">
      <alignment horizontal="center" vertical="center"/>
      <protection locked="0"/>
    </xf>
    <xf numFmtId="0" fontId="17" fillId="16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Fill="1" applyBorder="1" applyProtection="1">
      <protection locked="0"/>
    </xf>
    <xf numFmtId="0" fontId="0" fillId="20" borderId="2" xfId="0" applyFill="1" applyBorder="1" applyProtection="1">
      <protection locked="0"/>
    </xf>
    <xf numFmtId="0" fontId="17" fillId="16" borderId="2" xfId="0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20" borderId="2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8" fillId="24" borderId="38" xfId="0" applyFont="1" applyFill="1" applyBorder="1" applyAlignment="1" applyProtection="1">
      <alignment horizontal="left" vertical="center" wrapText="1"/>
      <protection hidden="1"/>
    </xf>
    <xf numFmtId="10" fontId="18" fillId="0" borderId="39" xfId="5" applyNumberFormat="1" applyFont="1" applyFill="1" applyBorder="1" applyAlignment="1" applyProtection="1">
      <alignment horizontal="center" vertical="center" wrapText="1"/>
    </xf>
    <xf numFmtId="10" fontId="18" fillId="0" borderId="39" xfId="5" applyNumberFormat="1" applyFont="1" applyBorder="1" applyAlignment="1" applyProtection="1">
      <alignment horizontal="center" vertical="center" wrapText="1"/>
    </xf>
    <xf numFmtId="172" fontId="18" fillId="0" borderId="39" xfId="5" applyNumberFormat="1" applyFont="1" applyBorder="1" applyAlignment="1" applyProtection="1">
      <alignment horizontal="center" vertical="center" wrapText="1"/>
    </xf>
    <xf numFmtId="10" fontId="18" fillId="0" borderId="39" xfId="5" applyNumberFormat="1" applyFont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9" fillId="0" borderId="20" xfId="0" applyFont="1" applyBorder="1" applyProtection="1"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0" fontId="9" fillId="0" borderId="41" xfId="0" applyFont="1" applyBorder="1" applyAlignment="1" applyProtection="1">
      <alignment horizontal="left" vertical="center"/>
      <protection hidden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9" fillId="17" borderId="27" xfId="0" applyFont="1" applyFill="1" applyBorder="1" applyAlignment="1" applyProtection="1">
      <alignment horizontal="center" vertical="center"/>
      <protection hidden="1"/>
    </xf>
    <xf numFmtId="0" fontId="9" fillId="17" borderId="22" xfId="0" applyFont="1" applyFill="1" applyBorder="1" applyAlignment="1" applyProtection="1">
      <alignment horizontal="center" vertical="center"/>
      <protection hidden="1"/>
    </xf>
    <xf numFmtId="0" fontId="9" fillId="17" borderId="28" xfId="0" applyFont="1" applyFill="1" applyBorder="1" applyAlignment="1" applyProtection="1">
      <alignment horizontal="center" vertical="center"/>
      <protection hidden="1"/>
    </xf>
    <xf numFmtId="0" fontId="9" fillId="17" borderId="29" xfId="0" applyFont="1" applyFill="1" applyBorder="1" applyAlignment="1" applyProtection="1">
      <alignment horizontal="center" vertical="center"/>
      <protection hidden="1"/>
    </xf>
    <xf numFmtId="0" fontId="9" fillId="17" borderId="21" xfId="0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/>
    </xf>
    <xf numFmtId="0" fontId="0" fillId="0" borderId="2" xfId="0" applyBorder="1" applyAlignment="1">
      <alignment horizontal="left" wrapText="1"/>
    </xf>
    <xf numFmtId="166" fontId="18" fillId="24" borderId="18" xfId="0" applyNumberFormat="1" applyFont="1" applyFill="1" applyBorder="1" applyAlignment="1" applyProtection="1">
      <alignment horizontal="center" vertical="center"/>
    </xf>
    <xf numFmtId="166" fontId="18" fillId="24" borderId="2" xfId="0" applyNumberFormat="1" applyFont="1" applyFill="1" applyBorder="1" applyAlignment="1" applyProtection="1">
      <alignment horizontal="center" vertical="center"/>
    </xf>
    <xf numFmtId="166" fontId="18" fillId="24" borderId="11" xfId="0" applyNumberFormat="1" applyFont="1" applyFill="1" applyBorder="1" applyAlignment="1" applyProtection="1">
      <alignment horizontal="center" vertical="center"/>
    </xf>
    <xf numFmtId="166" fontId="18" fillId="24" borderId="18" xfId="7" applyNumberFormat="1" applyFont="1" applyFill="1" applyBorder="1" applyAlignment="1" applyProtection="1">
      <alignment horizontal="center" vertical="center" wrapText="1"/>
    </xf>
    <xf numFmtId="166" fontId="18" fillId="24" borderId="2" xfId="7" applyNumberFormat="1" applyFont="1" applyFill="1" applyBorder="1" applyAlignment="1" applyProtection="1">
      <alignment horizontal="center" vertical="center" wrapText="1"/>
    </xf>
    <xf numFmtId="166" fontId="18" fillId="24" borderId="11" xfId="7" applyNumberFormat="1" applyFont="1" applyFill="1" applyBorder="1" applyAlignment="1" applyProtection="1">
      <alignment horizontal="center" vertical="center" wrapText="1"/>
    </xf>
    <xf numFmtId="2" fontId="18" fillId="24" borderId="18" xfId="0" applyNumberFormat="1" applyFont="1" applyFill="1" applyBorder="1" applyAlignment="1" applyProtection="1">
      <alignment horizontal="center" vertical="center"/>
    </xf>
    <xf numFmtId="2" fontId="18" fillId="24" borderId="2" xfId="0" applyNumberFormat="1" applyFont="1" applyFill="1" applyBorder="1" applyAlignment="1" applyProtection="1">
      <alignment horizontal="center" vertical="center"/>
    </xf>
    <xf numFmtId="2" fontId="18" fillId="24" borderId="11" xfId="0" applyNumberFormat="1" applyFont="1" applyFill="1" applyBorder="1" applyAlignment="1" applyProtection="1">
      <alignment horizontal="center" vertical="center"/>
    </xf>
    <xf numFmtId="1" fontId="18" fillId="4" borderId="18" xfId="0" applyNumberFormat="1" applyFont="1" applyFill="1" applyBorder="1" applyAlignment="1" applyProtection="1">
      <alignment horizontal="center" vertical="center"/>
      <protection locked="0"/>
    </xf>
    <xf numFmtId="1" fontId="18" fillId="4" borderId="2" xfId="0" applyNumberFormat="1" applyFont="1" applyFill="1" applyBorder="1" applyAlignment="1" applyProtection="1">
      <alignment horizontal="center" vertical="center"/>
      <protection locked="0"/>
    </xf>
    <xf numFmtId="1" fontId="18" fillId="4" borderId="11" xfId="0" applyNumberFormat="1" applyFont="1" applyFill="1" applyBorder="1" applyAlignment="1" applyProtection="1">
      <alignment horizontal="center" vertical="center"/>
      <protection locked="0"/>
    </xf>
    <xf numFmtId="1" fontId="18" fillId="24" borderId="30" xfId="0" applyNumberFormat="1" applyFont="1" applyFill="1" applyBorder="1" applyAlignment="1" applyProtection="1">
      <alignment horizontal="center" vertical="center"/>
    </xf>
    <xf numFmtId="1" fontId="18" fillId="24" borderId="9" xfId="0" applyNumberFormat="1" applyFont="1" applyFill="1" applyBorder="1" applyAlignment="1" applyProtection="1">
      <alignment horizontal="center" vertical="center"/>
    </xf>
    <xf numFmtId="1" fontId="18" fillId="24" borderId="12" xfId="0" applyNumberFormat="1" applyFont="1" applyFill="1" applyBorder="1" applyAlignment="1" applyProtection="1">
      <alignment horizontal="center" vertical="center"/>
    </xf>
    <xf numFmtId="2" fontId="18" fillId="24" borderId="18" xfId="7" applyNumberFormat="1" applyFont="1" applyFill="1" applyBorder="1" applyAlignment="1" applyProtection="1">
      <alignment horizontal="center" vertical="center" wrapText="1"/>
    </xf>
    <xf numFmtId="2" fontId="18" fillId="24" borderId="2" xfId="7" applyNumberFormat="1" applyFont="1" applyFill="1" applyBorder="1" applyAlignment="1" applyProtection="1">
      <alignment horizontal="center" vertical="center" wrapText="1"/>
    </xf>
    <xf numFmtId="2" fontId="18" fillId="24" borderId="11" xfId="7" applyNumberFormat="1" applyFont="1" applyFill="1" applyBorder="1" applyAlignment="1" applyProtection="1">
      <alignment horizontal="center" vertical="center" wrapText="1"/>
    </xf>
    <xf numFmtId="1" fontId="18" fillId="4" borderId="18" xfId="6" applyNumberFormat="1" applyFont="1" applyFill="1" applyBorder="1" applyAlignment="1" applyProtection="1">
      <alignment horizontal="center" vertical="center" wrapText="1"/>
      <protection locked="0"/>
    </xf>
    <xf numFmtId="1" fontId="18" fillId="4" borderId="2" xfId="6" applyNumberFormat="1" applyFont="1" applyFill="1" applyBorder="1" applyAlignment="1" applyProtection="1">
      <alignment horizontal="center" vertical="center" wrapText="1"/>
      <protection locked="0"/>
    </xf>
    <xf numFmtId="1" fontId="18" fillId="4" borderId="11" xfId="6" applyNumberFormat="1" applyFont="1" applyFill="1" applyBorder="1" applyAlignment="1" applyProtection="1">
      <alignment horizontal="center" vertical="center" wrapText="1"/>
      <protection locked="0"/>
    </xf>
    <xf numFmtId="165" fontId="18" fillId="4" borderId="18" xfId="7" applyNumberFormat="1" applyFont="1" applyFill="1" applyBorder="1" applyAlignment="1" applyProtection="1">
      <alignment horizontal="center" vertical="center" wrapText="1"/>
      <protection locked="0"/>
    </xf>
    <xf numFmtId="165" fontId="18" fillId="4" borderId="2" xfId="7" applyNumberFormat="1" applyFont="1" applyFill="1" applyBorder="1" applyAlignment="1" applyProtection="1">
      <alignment horizontal="center" vertical="center" wrapText="1"/>
      <protection locked="0"/>
    </xf>
    <xf numFmtId="165" fontId="18" fillId="4" borderId="11" xfId="7" applyNumberFormat="1" applyFont="1" applyFill="1" applyBorder="1" applyAlignment="1" applyProtection="1">
      <alignment horizontal="center" vertical="center" wrapText="1"/>
      <protection locked="0"/>
    </xf>
    <xf numFmtId="2" fontId="18" fillId="24" borderId="18" xfId="6" applyNumberFormat="1" applyFont="1" applyFill="1" applyBorder="1" applyAlignment="1" applyProtection="1">
      <alignment horizontal="center" vertical="center" wrapText="1"/>
    </xf>
    <xf numFmtId="2" fontId="18" fillId="24" borderId="2" xfId="6" applyNumberFormat="1" applyFont="1" applyFill="1" applyBorder="1" applyAlignment="1" applyProtection="1">
      <alignment horizontal="center" vertical="center" wrapText="1"/>
    </xf>
    <xf numFmtId="2" fontId="18" fillId="24" borderId="11" xfId="6" applyNumberFormat="1" applyFont="1" applyFill="1" applyBorder="1" applyAlignment="1" applyProtection="1">
      <alignment horizontal="center" vertical="center" wrapText="1"/>
    </xf>
    <xf numFmtId="166" fontId="18" fillId="24" borderId="18" xfId="7" applyNumberFormat="1" applyFont="1" applyFill="1" applyBorder="1" applyAlignment="1" applyProtection="1">
      <alignment horizontal="center" vertical="center"/>
    </xf>
    <xf numFmtId="166" fontId="18" fillId="24" borderId="2" xfId="7" applyNumberFormat="1" applyFont="1" applyFill="1" applyBorder="1" applyAlignment="1" applyProtection="1">
      <alignment horizontal="center" vertical="center"/>
    </xf>
    <xf numFmtId="166" fontId="18" fillId="24" borderId="11" xfId="7" applyNumberFormat="1" applyFont="1" applyFill="1" applyBorder="1" applyAlignment="1" applyProtection="1">
      <alignment horizontal="center" vertical="center"/>
    </xf>
    <xf numFmtId="166" fontId="18" fillId="24" borderId="25" xfId="0" applyNumberFormat="1" applyFont="1" applyFill="1" applyBorder="1" applyAlignment="1" applyProtection="1">
      <alignment horizontal="center" vertical="center"/>
    </xf>
    <xf numFmtId="166" fontId="18" fillId="24" borderId="4" xfId="0" applyNumberFormat="1" applyFont="1" applyFill="1" applyBorder="1" applyAlignment="1" applyProtection="1">
      <alignment horizontal="center" vertical="center"/>
    </xf>
    <xf numFmtId="166" fontId="18" fillId="24" borderId="32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  <protection locked="0"/>
    </xf>
    <xf numFmtId="0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0" borderId="11" xfId="0" applyNumberFormat="1" applyFont="1" applyFill="1" applyBorder="1" applyAlignment="1" applyProtection="1">
      <alignment horizontal="center" vertical="center"/>
      <protection locked="0"/>
    </xf>
    <xf numFmtId="2" fontId="18" fillId="24" borderId="18" xfId="5" applyNumberFormat="1" applyFont="1" applyFill="1" applyBorder="1" applyAlignment="1" applyProtection="1">
      <alignment horizontal="center" vertical="center"/>
    </xf>
    <xf numFmtId="2" fontId="18" fillId="24" borderId="2" xfId="5" applyNumberFormat="1" applyFont="1" applyFill="1" applyBorder="1" applyAlignment="1" applyProtection="1">
      <alignment horizontal="center" vertical="center"/>
    </xf>
    <xf numFmtId="2" fontId="18" fillId="24" borderId="11" xfId="5" applyNumberFormat="1" applyFont="1" applyFill="1" applyBorder="1" applyAlignment="1" applyProtection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/>
      <protection locked="0"/>
    </xf>
    <xf numFmtId="0" fontId="18" fillId="4" borderId="2" xfId="0" applyNumberFormat="1" applyFont="1" applyFill="1" applyBorder="1" applyAlignment="1" applyProtection="1">
      <alignment horizontal="center" vertical="center"/>
      <protection locked="0"/>
    </xf>
    <xf numFmtId="0" fontId="18" fillId="4" borderId="11" xfId="0" applyNumberFormat="1" applyFont="1" applyFill="1" applyBorder="1" applyAlignment="1" applyProtection="1">
      <alignment horizontal="center" vertical="center"/>
      <protection locked="0"/>
    </xf>
    <xf numFmtId="2" fontId="18" fillId="24" borderId="18" xfId="4" applyNumberFormat="1" applyFont="1" applyFill="1" applyBorder="1" applyAlignment="1" applyProtection="1">
      <alignment horizontal="center" vertical="center"/>
    </xf>
    <xf numFmtId="2" fontId="18" fillId="24" borderId="2" xfId="4" applyNumberFormat="1" applyFont="1" applyFill="1" applyBorder="1" applyAlignment="1" applyProtection="1">
      <alignment horizontal="center" vertical="center"/>
    </xf>
    <xf numFmtId="2" fontId="18" fillId="24" borderId="11" xfId="4" applyNumberFormat="1" applyFont="1" applyFill="1" applyBorder="1" applyAlignment="1" applyProtection="1">
      <alignment horizontal="center" vertical="center"/>
    </xf>
    <xf numFmtId="0" fontId="18" fillId="0" borderId="18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11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34" xfId="0" applyFont="1" applyFill="1" applyBorder="1" applyAlignment="1" applyProtection="1">
      <alignment horizontal="left" vertical="center" wrapText="1"/>
    </xf>
    <xf numFmtId="165" fontId="18" fillId="4" borderId="18" xfId="7" applyNumberFormat="1" applyFont="1" applyFill="1" applyBorder="1" applyAlignment="1" applyProtection="1">
      <alignment horizontal="center" vertical="center"/>
      <protection locked="0"/>
    </xf>
    <xf numFmtId="165" fontId="18" fillId="4" borderId="2" xfId="7" applyNumberFormat="1" applyFont="1" applyFill="1" applyBorder="1" applyAlignment="1" applyProtection="1">
      <alignment horizontal="center" vertical="center"/>
      <protection locked="0"/>
    </xf>
    <xf numFmtId="165" fontId="18" fillId="4" borderId="11" xfId="7" applyNumberFormat="1" applyFont="1" applyFill="1" applyBorder="1" applyAlignment="1" applyProtection="1">
      <alignment horizontal="center" vertical="center"/>
      <protection locked="0"/>
    </xf>
    <xf numFmtId="166" fontId="18" fillId="24" borderId="25" xfId="7" applyNumberFormat="1" applyFont="1" applyFill="1" applyBorder="1" applyAlignment="1" applyProtection="1">
      <alignment horizontal="center" vertical="center" wrapText="1"/>
    </xf>
    <xf numFmtId="166" fontId="18" fillId="24" borderId="4" xfId="7" applyNumberFormat="1" applyFont="1" applyFill="1" applyBorder="1" applyAlignment="1" applyProtection="1">
      <alignment horizontal="center" vertical="center" wrapText="1"/>
    </xf>
    <xf numFmtId="166" fontId="18" fillId="24" borderId="32" xfId="7" applyNumberFormat="1" applyFont="1" applyFill="1" applyBorder="1" applyAlignment="1" applyProtection="1">
      <alignment horizontal="center" vertical="center" wrapText="1"/>
    </xf>
    <xf numFmtId="3" fontId="18" fillId="4" borderId="18" xfId="0" applyNumberFormat="1" applyFont="1" applyFill="1" applyBorder="1" applyAlignment="1" applyProtection="1">
      <alignment horizontal="center" vertical="center"/>
      <protection locked="0"/>
    </xf>
    <xf numFmtId="3" fontId="18" fillId="4" borderId="2" xfId="0" applyNumberFormat="1" applyFont="1" applyFill="1" applyBorder="1" applyAlignment="1" applyProtection="1">
      <alignment horizontal="center" vertical="center"/>
      <protection locked="0"/>
    </xf>
    <xf numFmtId="3" fontId="18" fillId="4" borderId="11" xfId="0" applyNumberFormat="1" applyFont="1" applyFill="1" applyBorder="1" applyAlignment="1" applyProtection="1">
      <alignment horizontal="center" vertical="center"/>
      <protection locked="0"/>
    </xf>
    <xf numFmtId="0" fontId="18" fillId="0" borderId="17" xfId="0" applyFont="1" applyFill="1" applyBorder="1" applyAlignment="1" applyProtection="1">
      <alignment horizontal="left" vertical="top" wrapText="1"/>
      <protection hidden="1"/>
    </xf>
    <xf numFmtId="0" fontId="18" fillId="0" borderId="8" xfId="0" applyFont="1" applyFill="1" applyBorder="1" applyAlignment="1" applyProtection="1">
      <alignment horizontal="left" vertical="top" wrapText="1"/>
      <protection hidden="1"/>
    </xf>
    <xf numFmtId="0" fontId="18" fillId="0" borderId="10" xfId="0" applyFont="1" applyFill="1" applyBorder="1" applyAlignment="1" applyProtection="1">
      <alignment horizontal="left" vertical="top" wrapText="1"/>
      <protection hidden="1"/>
    </xf>
    <xf numFmtId="0" fontId="18" fillId="0" borderId="33" xfId="0" applyFont="1" applyFill="1" applyBorder="1" applyAlignment="1" applyProtection="1">
      <alignment horizontal="left" vertical="center" wrapText="1"/>
    </xf>
    <xf numFmtId="0" fontId="18" fillId="0" borderId="23" xfId="0" applyFont="1" applyFill="1" applyBorder="1" applyAlignment="1" applyProtection="1">
      <alignment horizontal="left" vertical="center" wrapText="1"/>
    </xf>
    <xf numFmtId="166" fontId="18" fillId="24" borderId="25" xfId="7" applyNumberFormat="1" applyFont="1" applyFill="1" applyBorder="1" applyAlignment="1" applyProtection="1">
      <alignment horizontal="center" vertical="center"/>
    </xf>
    <xf numFmtId="166" fontId="18" fillId="24" borderId="4" xfId="7" applyNumberFormat="1" applyFont="1" applyFill="1" applyBorder="1" applyAlignment="1" applyProtection="1">
      <alignment horizontal="center" vertical="center"/>
    </xf>
    <xf numFmtId="166" fontId="18" fillId="24" borderId="32" xfId="7" applyNumberFormat="1" applyFont="1" applyFill="1" applyBorder="1" applyAlignment="1" applyProtection="1">
      <alignment horizontal="center" vertical="center"/>
    </xf>
    <xf numFmtId="165" fontId="18" fillId="0" borderId="17" xfId="0" applyNumberFormat="1" applyFont="1" applyFill="1" applyBorder="1" applyAlignment="1" applyProtection="1">
      <alignment horizontal="left" vertical="center" wrapText="1"/>
      <protection hidden="1"/>
    </xf>
    <xf numFmtId="165" fontId="18" fillId="0" borderId="8" xfId="0" applyNumberFormat="1" applyFont="1" applyFill="1" applyBorder="1" applyAlignment="1" applyProtection="1">
      <alignment horizontal="left" vertical="center" wrapText="1"/>
      <protection hidden="1"/>
    </xf>
    <xf numFmtId="165" fontId="18" fillId="0" borderId="10" xfId="0" applyNumberFormat="1" applyFont="1" applyFill="1" applyBorder="1" applyAlignment="1" applyProtection="1">
      <alignment horizontal="left" vertical="center" wrapText="1"/>
      <protection hidden="1"/>
    </xf>
    <xf numFmtId="2" fontId="18" fillId="24" borderId="18" xfId="7" applyNumberFormat="1" applyFont="1" applyFill="1" applyBorder="1" applyAlignment="1" applyProtection="1">
      <alignment horizontal="center" vertical="center"/>
    </xf>
    <xf numFmtId="2" fontId="18" fillId="24" borderId="2" xfId="7" applyNumberFormat="1" applyFont="1" applyFill="1" applyBorder="1" applyAlignment="1" applyProtection="1">
      <alignment horizontal="center" vertical="center"/>
    </xf>
    <xf numFmtId="2" fontId="18" fillId="24" borderId="11" xfId="7" applyNumberFormat="1" applyFont="1" applyFill="1" applyBorder="1" applyAlignment="1" applyProtection="1">
      <alignment horizontal="center" vertical="center"/>
    </xf>
    <xf numFmtId="0" fontId="18" fillId="0" borderId="17" xfId="0" applyFont="1" applyFill="1" applyBorder="1" applyAlignment="1" applyProtection="1">
      <alignment horizontal="left" vertical="center" wrapText="1"/>
      <protection hidden="1"/>
    </xf>
    <xf numFmtId="0" fontId="18" fillId="0" borderId="8" xfId="0" applyFont="1" applyFill="1" applyBorder="1" applyAlignment="1" applyProtection="1">
      <alignment horizontal="left" vertical="center" wrapText="1"/>
      <protection hidden="1"/>
    </xf>
    <xf numFmtId="0" fontId="18" fillId="0" borderId="10" xfId="0" applyFont="1" applyFill="1" applyBorder="1" applyAlignment="1" applyProtection="1">
      <alignment horizontal="left" vertical="center" wrapText="1"/>
      <protection hidden="1"/>
    </xf>
    <xf numFmtId="165" fontId="18" fillId="4" borderId="18" xfId="0" applyNumberFormat="1" applyFont="1" applyFill="1" applyBorder="1" applyAlignment="1" applyProtection="1">
      <alignment horizontal="center" vertical="center"/>
      <protection locked="0"/>
    </xf>
    <xf numFmtId="165" fontId="18" fillId="4" borderId="2" xfId="0" applyNumberFormat="1" applyFont="1" applyFill="1" applyBorder="1" applyAlignment="1" applyProtection="1">
      <alignment horizontal="center" vertical="center"/>
      <protection locked="0"/>
    </xf>
    <xf numFmtId="165" fontId="18" fillId="4" borderId="11" xfId="0" applyNumberFormat="1" applyFont="1" applyFill="1" applyBorder="1" applyAlignment="1" applyProtection="1">
      <alignment horizontal="center" vertical="center"/>
      <protection locked="0"/>
    </xf>
    <xf numFmtId="167" fontId="18" fillId="24" borderId="18" xfId="0" applyNumberFormat="1" applyFont="1" applyFill="1" applyBorder="1" applyAlignment="1" applyProtection="1">
      <alignment horizontal="center" vertical="center"/>
    </xf>
    <xf numFmtId="167" fontId="18" fillId="24" borderId="2" xfId="0" applyNumberFormat="1" applyFont="1" applyFill="1" applyBorder="1" applyAlignment="1" applyProtection="1">
      <alignment horizontal="center" vertical="center"/>
    </xf>
    <xf numFmtId="167" fontId="18" fillId="24" borderId="11" xfId="0" applyNumberFormat="1" applyFont="1" applyFill="1" applyBorder="1" applyAlignment="1" applyProtection="1">
      <alignment horizontal="center" vertical="center"/>
    </xf>
    <xf numFmtId="169" fontId="18" fillId="24" borderId="18" xfId="0" applyNumberFormat="1" applyFont="1" applyFill="1" applyBorder="1" applyAlignment="1" applyProtection="1">
      <alignment horizontal="center" vertical="center"/>
    </xf>
    <xf numFmtId="169" fontId="18" fillId="24" borderId="2" xfId="0" applyNumberFormat="1" applyFont="1" applyFill="1" applyBorder="1" applyAlignment="1" applyProtection="1">
      <alignment horizontal="center" vertical="center"/>
    </xf>
    <xf numFmtId="169" fontId="18" fillId="24" borderId="11" xfId="0" applyNumberFormat="1" applyFont="1" applyFill="1" applyBorder="1" applyAlignment="1" applyProtection="1">
      <alignment horizontal="center" vertical="center"/>
    </xf>
    <xf numFmtId="0" fontId="16" fillId="14" borderId="35" xfId="0" applyFont="1" applyFill="1" applyBorder="1" applyAlignment="1" applyProtection="1">
      <alignment horizontal="center"/>
    </xf>
    <xf numFmtId="0" fontId="16" fillId="14" borderId="36" xfId="0" applyFont="1" applyFill="1" applyBorder="1" applyAlignment="1" applyProtection="1">
      <alignment horizontal="center"/>
    </xf>
    <xf numFmtId="0" fontId="16" fillId="14" borderId="37" xfId="0" applyFont="1" applyFill="1" applyBorder="1" applyAlignment="1" applyProtection="1">
      <alignment horizontal="center"/>
    </xf>
    <xf numFmtId="0" fontId="18" fillId="24" borderId="13" xfId="0" applyFont="1" applyFill="1" applyBorder="1" applyAlignment="1" applyProtection="1">
      <alignment horizontal="left" vertical="top" wrapText="1"/>
      <protection hidden="1"/>
    </xf>
    <xf numFmtId="0" fontId="18" fillId="24" borderId="14" xfId="0" applyFont="1" applyFill="1" applyBorder="1" applyAlignment="1" applyProtection="1">
      <alignment horizontal="left" vertical="top" wrapText="1"/>
      <protection hidden="1"/>
    </xf>
    <xf numFmtId="0" fontId="18" fillId="24" borderId="16" xfId="0" applyFont="1" applyFill="1" applyBorder="1" applyAlignment="1" applyProtection="1">
      <alignment horizontal="left" vertical="top" wrapText="1"/>
      <protection hidden="1"/>
    </xf>
    <xf numFmtId="1" fontId="18" fillId="24" borderId="2" xfId="0" applyNumberFormat="1" applyFont="1" applyFill="1" applyBorder="1" applyAlignment="1" applyProtection="1">
      <alignment horizontal="center" vertical="center"/>
      <protection hidden="1"/>
    </xf>
    <xf numFmtId="166" fontId="18" fillId="24" borderId="9" xfId="0" applyNumberFormat="1" applyFont="1" applyFill="1" applyBorder="1" applyAlignment="1" applyProtection="1">
      <alignment horizontal="center" vertical="center"/>
      <protection hidden="1"/>
    </xf>
    <xf numFmtId="2" fontId="18" fillId="0" borderId="8" xfId="0" applyNumberFormat="1" applyFont="1" applyFill="1" applyBorder="1" applyAlignment="1" applyProtection="1">
      <alignment horizontal="left" vertical="center" wrapText="1"/>
      <protection locked="0"/>
    </xf>
    <xf numFmtId="166" fontId="18" fillId="0" borderId="2" xfId="7" applyNumberFormat="1" applyFont="1" applyFill="1" applyBorder="1" applyAlignment="1" applyProtection="1">
      <alignment horizontal="center" vertical="center"/>
      <protection locked="0"/>
    </xf>
    <xf numFmtId="1" fontId="18" fillId="24" borderId="2" xfId="0" applyNumberFormat="1" applyFont="1" applyFill="1" applyBorder="1" applyAlignment="1" applyProtection="1">
      <alignment horizontal="center" vertical="center"/>
    </xf>
    <xf numFmtId="0" fontId="18" fillId="24" borderId="2" xfId="0" applyFont="1" applyFill="1" applyBorder="1" applyAlignment="1" applyProtection="1">
      <alignment horizontal="center" vertical="center"/>
      <protection hidden="1"/>
    </xf>
    <xf numFmtId="166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24" borderId="15" xfId="0" applyFont="1" applyFill="1" applyBorder="1" applyAlignment="1" applyProtection="1">
      <alignment horizontal="left" vertical="top" wrapText="1"/>
      <protection hidden="1"/>
    </xf>
    <xf numFmtId="165" fontId="18" fillId="24" borderId="13" xfId="0" applyNumberFormat="1" applyFont="1" applyFill="1" applyBorder="1" applyAlignment="1" applyProtection="1">
      <alignment horizontal="left" vertical="center" wrapText="1"/>
      <protection hidden="1"/>
    </xf>
    <xf numFmtId="165" fontId="18" fillId="24" borderId="14" xfId="0" applyNumberFormat="1" applyFont="1" applyFill="1" applyBorder="1" applyAlignment="1" applyProtection="1">
      <alignment horizontal="left" vertical="center" wrapText="1"/>
      <protection hidden="1"/>
    </xf>
    <xf numFmtId="165" fontId="18" fillId="24" borderId="16" xfId="0" applyNumberFormat="1" applyFont="1" applyFill="1" applyBorder="1" applyAlignment="1" applyProtection="1">
      <alignment horizontal="left" vertical="center" wrapText="1"/>
      <protection hidden="1"/>
    </xf>
    <xf numFmtId="0" fontId="18" fillId="24" borderId="13" xfId="0" applyFont="1" applyFill="1" applyBorder="1" applyAlignment="1" applyProtection="1">
      <alignment horizontal="left" vertical="center" wrapText="1"/>
      <protection hidden="1"/>
    </xf>
    <xf numFmtId="0" fontId="18" fillId="24" borderId="14" xfId="0" applyFont="1" applyFill="1" applyBorder="1" applyAlignment="1" applyProtection="1">
      <alignment horizontal="left" vertical="center" wrapText="1"/>
      <protection hidden="1"/>
    </xf>
    <xf numFmtId="0" fontId="18" fillId="24" borderId="16" xfId="0" applyFont="1" applyFill="1" applyBorder="1" applyAlignment="1" applyProtection="1">
      <alignment horizontal="left" vertical="center" wrapText="1"/>
      <protection hidden="1"/>
    </xf>
    <xf numFmtId="44" fontId="18" fillId="24" borderId="2" xfId="7" applyFont="1" applyFill="1" applyBorder="1" applyAlignment="1" applyProtection="1">
      <alignment horizontal="center" vertical="center"/>
    </xf>
    <xf numFmtId="44" fontId="18" fillId="24" borderId="11" xfId="7" applyFont="1" applyFill="1" applyBorder="1" applyAlignment="1" applyProtection="1">
      <alignment horizontal="center" vertical="center"/>
    </xf>
    <xf numFmtId="1" fontId="18" fillId="24" borderId="11" xfId="0" applyNumberFormat="1" applyFont="1" applyFill="1" applyBorder="1" applyAlignment="1" applyProtection="1">
      <alignment horizontal="center" vertical="center"/>
    </xf>
    <xf numFmtId="0" fontId="18" fillId="24" borderId="2" xfId="0" applyNumberFormat="1" applyFont="1" applyFill="1" applyBorder="1" applyAlignment="1" applyProtection="1">
      <alignment horizontal="center" vertical="center"/>
    </xf>
    <xf numFmtId="1" fontId="18" fillId="24" borderId="11" xfId="0" applyNumberFormat="1" applyFont="1" applyFill="1" applyBorder="1" applyAlignment="1" applyProtection="1">
      <alignment horizontal="center" vertical="center"/>
      <protection hidden="1"/>
    </xf>
    <xf numFmtId="44" fontId="18" fillId="24" borderId="9" xfId="7" applyFont="1" applyFill="1" applyBorder="1" applyAlignment="1" applyProtection="1">
      <alignment horizontal="center" vertical="center"/>
      <protection hidden="1"/>
    </xf>
    <xf numFmtId="44" fontId="18" fillId="24" borderId="12" xfId="7" applyFont="1" applyFill="1" applyBorder="1" applyAlignment="1" applyProtection="1">
      <alignment horizontal="center" vertical="center"/>
      <protection hidden="1"/>
    </xf>
    <xf numFmtId="1" fontId="18" fillId="0" borderId="8" xfId="0" applyNumberFormat="1" applyFont="1" applyFill="1" applyBorder="1" applyAlignment="1" applyProtection="1">
      <alignment horizontal="left" vertical="center" wrapText="1"/>
      <protection locked="0"/>
    </xf>
    <xf numFmtId="1" fontId="18" fillId="0" borderId="10" xfId="0" applyNumberFormat="1" applyFont="1" applyFill="1" applyBorder="1" applyAlignment="1" applyProtection="1">
      <alignment horizontal="left" vertical="center" wrapText="1"/>
      <protection locked="0"/>
    </xf>
    <xf numFmtId="166" fontId="18" fillId="0" borderId="11" xfId="0" applyNumberFormat="1" applyFont="1" applyFill="1" applyBorder="1" applyAlignment="1" applyProtection="1">
      <alignment horizontal="center" vertical="center"/>
      <protection locked="0"/>
    </xf>
    <xf numFmtId="0" fontId="18" fillId="0" borderId="8" xfId="0" applyFont="1" applyFill="1" applyBorder="1" applyAlignment="1" applyProtection="1">
      <alignment horizontal="left" vertical="center" wrapText="1"/>
      <protection locked="0"/>
    </xf>
    <xf numFmtId="0" fontId="18" fillId="0" borderId="8" xfId="0" applyFont="1" applyFill="1" applyBorder="1" applyAlignment="1" applyProtection="1">
      <alignment horizontal="left" wrapText="1"/>
      <protection locked="0"/>
    </xf>
    <xf numFmtId="166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18" fillId="24" borderId="9" xfId="7" applyNumberFormat="1" applyFont="1" applyFill="1" applyBorder="1" applyAlignment="1" applyProtection="1">
      <alignment horizontal="center" vertical="center"/>
      <protection hidden="1"/>
    </xf>
    <xf numFmtId="0" fontId="18" fillId="0" borderId="8" xfId="0" applyFont="1" applyFill="1" applyBorder="1" applyAlignment="1" applyProtection="1">
      <alignment horizontal="left" vertical="center"/>
      <protection locked="0"/>
    </xf>
    <xf numFmtId="0" fontId="18" fillId="24" borderId="2" xfId="0" applyFont="1" applyFill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top" wrapText="1"/>
      <protection locked="0"/>
    </xf>
    <xf numFmtId="0" fontId="22" fillId="0" borderId="2" xfId="0" applyFon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15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7" borderId="3" xfId="0" applyFill="1" applyBorder="1" applyAlignment="1">
      <alignment horizontal="center" wrapText="1"/>
    </xf>
    <xf numFmtId="0" fontId="0" fillId="7" borderId="4" xfId="0" applyFill="1" applyBorder="1" applyAlignment="1">
      <alignment horizontal="center" wrapText="1"/>
    </xf>
    <xf numFmtId="0" fontId="0" fillId="8" borderId="3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9" borderId="3" xfId="0" applyFill="1" applyBorder="1" applyAlignment="1">
      <alignment horizontal="center" wrapText="1"/>
    </xf>
    <xf numFmtId="0" fontId="0" fillId="9" borderId="4" xfId="0" applyFill="1" applyBorder="1" applyAlignment="1">
      <alignment horizontal="center" wrapText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</cellXfs>
  <cellStyles count="8">
    <cellStyle name="Excel Built-in Normal" xfId="2" xr:uid="{00000000-0005-0000-0000-000000000000}"/>
    <cellStyle name="Millares" xfId="6" builtinId="3"/>
    <cellStyle name="Millares [0]" xfId="4" builtinId="6"/>
    <cellStyle name="Moneda" xfId="7" builtinId="4"/>
    <cellStyle name="Normal" xfId="0" builtinId="0"/>
    <cellStyle name="Normal 2" xfId="1" xr:uid="{00000000-0005-0000-0000-000005000000}"/>
    <cellStyle name="Normal 5" xfId="3" xr:uid="{00000000-0005-0000-0000-000006000000}"/>
    <cellStyle name="Porcentaje" xfId="5" builtinId="5"/>
  </cellStyles>
  <dxfs count="8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13" Type="http://schemas.openxmlformats.org/officeDocument/2006/relationships/image" Target="../media/image9.png"/><Relationship Id="rId18" Type="http://schemas.openxmlformats.org/officeDocument/2006/relationships/hyperlink" Target="#'Resultados de aplicacion'!A1"/><Relationship Id="rId3" Type="http://schemas.openxmlformats.org/officeDocument/2006/relationships/hyperlink" Target="#'Mapa de procesos HMA'!A1"/><Relationship Id="rId21" Type="http://schemas.openxmlformats.org/officeDocument/2006/relationships/hyperlink" Target="#'Analisis de resultados'!A1"/><Relationship Id="rId7" Type="http://schemas.openxmlformats.org/officeDocument/2006/relationships/image" Target="../media/image5.png"/><Relationship Id="rId12" Type="http://schemas.openxmlformats.org/officeDocument/2006/relationships/hyperlink" Target="#'Entradas (Ic-Inc)'!A1"/><Relationship Id="rId17" Type="http://schemas.openxmlformats.org/officeDocument/2006/relationships/image" Target="../media/image12.svg"/><Relationship Id="rId2" Type="http://schemas.openxmlformats.org/officeDocument/2006/relationships/image" Target="../media/image2.png"/><Relationship Id="rId16" Type="http://schemas.openxmlformats.org/officeDocument/2006/relationships/image" Target="../media/image11.png"/><Relationship Id="rId20" Type="http://schemas.openxmlformats.org/officeDocument/2006/relationships/image" Target="../media/image14.svg"/><Relationship Id="rId1" Type="http://schemas.openxmlformats.org/officeDocument/2006/relationships/image" Target="../media/image1.jpeg"/><Relationship Id="rId6" Type="http://schemas.openxmlformats.org/officeDocument/2006/relationships/hyperlink" Target="#'Metodologia del calculo'!A1"/><Relationship Id="rId11" Type="http://schemas.openxmlformats.org/officeDocument/2006/relationships/image" Target="../media/image8.svg"/><Relationship Id="rId5" Type="http://schemas.openxmlformats.org/officeDocument/2006/relationships/image" Target="../media/image4.svg"/><Relationship Id="rId15" Type="http://schemas.openxmlformats.org/officeDocument/2006/relationships/hyperlink" Target="#'Salidas(Ot)'!A1"/><Relationship Id="rId23" Type="http://schemas.openxmlformats.org/officeDocument/2006/relationships/image" Target="../media/image16.sv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4" Type="http://schemas.openxmlformats.org/officeDocument/2006/relationships/image" Target="../media/image3.png"/><Relationship Id="rId9" Type="http://schemas.openxmlformats.org/officeDocument/2006/relationships/hyperlink" Target="#Variables!A1"/><Relationship Id="rId14" Type="http://schemas.openxmlformats.org/officeDocument/2006/relationships/image" Target="../media/image10.svg"/><Relationship Id="rId22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3</xdr:col>
      <xdr:colOff>2552701</xdr:colOff>
      <xdr:row>15</xdr:row>
      <xdr:rowOff>368300</xdr:rowOff>
    </xdr:to>
    <xdr:pic>
      <xdr:nvPicPr>
        <xdr:cNvPr id="3" name="Picture 2" descr="magen relacionada">
          <a:extLst>
            <a:ext uri="{FF2B5EF4-FFF2-40B4-BE49-F238E27FC236}">
              <a16:creationId xmlns:a16="http://schemas.microsoft.com/office/drawing/2014/main" id="{B6260A10-E7BB-4FCB-96DD-FD91F95F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9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4450"/>
          <a:ext cx="7880351" cy="442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82550</xdr:rowOff>
    </xdr:from>
    <xdr:to>
      <xdr:col>2</xdr:col>
      <xdr:colOff>1238250</xdr:colOff>
      <xdr:row>3</xdr:row>
      <xdr:rowOff>146685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DCEDBE-CDB5-4692-8841-03A8D67D97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2550"/>
          <a:ext cx="2686050" cy="622935"/>
        </a:xfrm>
        <a:prstGeom prst="rect">
          <a:avLst/>
        </a:prstGeom>
      </xdr:spPr>
    </xdr:pic>
    <xdr:clientData/>
  </xdr:twoCellAnchor>
  <xdr:twoCellAnchor editAs="oneCell">
    <xdr:from>
      <xdr:col>4</xdr:col>
      <xdr:colOff>1187450</xdr:colOff>
      <xdr:row>9</xdr:row>
      <xdr:rowOff>0</xdr:rowOff>
    </xdr:from>
    <xdr:to>
      <xdr:col>4</xdr:col>
      <xdr:colOff>1581150</xdr:colOff>
      <xdr:row>9</xdr:row>
      <xdr:rowOff>393700</xdr:rowOff>
    </xdr:to>
    <xdr:pic>
      <xdr:nvPicPr>
        <xdr:cNvPr id="5" name="Gráfico 4" descr="Ciclismo en compañía con relleno sóli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F3C9F-F9B4-40A3-B521-F90845171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086850" y="2419350"/>
          <a:ext cx="393700" cy="393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10</xdr:row>
      <xdr:rowOff>0</xdr:rowOff>
    </xdr:from>
    <xdr:to>
      <xdr:col>4</xdr:col>
      <xdr:colOff>1568450</xdr:colOff>
      <xdr:row>11</xdr:row>
      <xdr:rowOff>19050</xdr:rowOff>
    </xdr:to>
    <xdr:pic>
      <xdr:nvPicPr>
        <xdr:cNvPr id="7" name="Gráfico 6" descr="Piezas de ajedrez con relleno sóli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AB75A8-93D0-4722-9013-C605FDC73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042400" y="2838450"/>
          <a:ext cx="425450" cy="425450"/>
        </a:xfrm>
        <a:prstGeom prst="rect">
          <a:avLst/>
        </a:prstGeom>
      </xdr:spPr>
    </xdr:pic>
    <xdr:clientData/>
  </xdr:twoCellAnchor>
  <xdr:twoCellAnchor editAs="oneCell">
    <xdr:from>
      <xdr:col>4</xdr:col>
      <xdr:colOff>1117600</xdr:colOff>
      <xdr:row>10</xdr:row>
      <xdr:rowOff>368300</xdr:rowOff>
    </xdr:from>
    <xdr:to>
      <xdr:col>4</xdr:col>
      <xdr:colOff>1612900</xdr:colOff>
      <xdr:row>12</xdr:row>
      <xdr:rowOff>50800</xdr:rowOff>
    </xdr:to>
    <xdr:pic>
      <xdr:nvPicPr>
        <xdr:cNvPr id="9" name="Gráfico 8" descr="Bar chart con relleno sóli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770FE6C-9EDC-4013-A48C-63C9E1C4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9017000" y="320675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1149350</xdr:colOff>
      <xdr:row>11</xdr:row>
      <xdr:rowOff>393700</xdr:rowOff>
    </xdr:from>
    <xdr:to>
      <xdr:col>4</xdr:col>
      <xdr:colOff>1574800</xdr:colOff>
      <xdr:row>13</xdr:row>
      <xdr:rowOff>6350</xdr:rowOff>
    </xdr:to>
    <xdr:pic>
      <xdr:nvPicPr>
        <xdr:cNvPr id="11" name="Gráfico 10" descr="Introducir con relleno sóli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6E937FA-C33D-4222-A685-EB8AA3C9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9048750" y="3638550"/>
          <a:ext cx="425450" cy="425450"/>
        </a:xfrm>
        <a:prstGeom prst="rect">
          <a:avLst/>
        </a:prstGeom>
      </xdr:spPr>
    </xdr:pic>
    <xdr:clientData/>
  </xdr:twoCellAnchor>
  <xdr:twoCellAnchor editAs="oneCell">
    <xdr:from>
      <xdr:col>4</xdr:col>
      <xdr:colOff>1136650</xdr:colOff>
      <xdr:row>13</xdr:row>
      <xdr:rowOff>6350</xdr:rowOff>
    </xdr:from>
    <xdr:to>
      <xdr:col>4</xdr:col>
      <xdr:colOff>1549400</xdr:colOff>
      <xdr:row>14</xdr:row>
      <xdr:rowOff>12700</xdr:rowOff>
    </xdr:to>
    <xdr:pic>
      <xdr:nvPicPr>
        <xdr:cNvPr id="13" name="Gráfico 12" descr="Salir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C831090-0409-4FF9-9E3E-A125681F3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9036050" y="3295650"/>
          <a:ext cx="412750" cy="4127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2006600</xdr:colOff>
      <xdr:row>13</xdr:row>
      <xdr:rowOff>374650</xdr:rowOff>
    </xdr:from>
    <xdr:to>
      <xdr:col>4</xdr:col>
      <xdr:colOff>2476500</xdr:colOff>
      <xdr:row>15</xdr:row>
      <xdr:rowOff>31750</xdr:rowOff>
    </xdr:to>
    <xdr:pic>
      <xdr:nvPicPr>
        <xdr:cNvPr id="15" name="Gráfico 14" descr="Piezas de ajedrez contorn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8843520-A55F-4F00-91BF-5F2C35314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9906000" y="3663950"/>
          <a:ext cx="469900" cy="4699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2006600</xdr:colOff>
      <xdr:row>14</xdr:row>
      <xdr:rowOff>387350</xdr:rowOff>
    </xdr:from>
    <xdr:to>
      <xdr:col>4</xdr:col>
      <xdr:colOff>2444750</xdr:colOff>
      <xdr:row>16</xdr:row>
      <xdr:rowOff>12700</xdr:rowOff>
    </xdr:to>
    <xdr:pic>
      <xdr:nvPicPr>
        <xdr:cNvPr id="17" name="Gráfico 16" descr="Bar graph with upward trend con relleno sólid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E1F28C8-62C7-40C0-AFCD-207ECF53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9906000" y="4083050"/>
          <a:ext cx="438150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105832</xdr:rowOff>
    </xdr:from>
    <xdr:to>
      <xdr:col>7</xdr:col>
      <xdr:colOff>1238250</xdr:colOff>
      <xdr:row>42</xdr:row>
      <xdr:rowOff>85809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BC5FC4-6683-4F89-8374-08DE908BE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6" y="105832"/>
          <a:ext cx="6519334" cy="75364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387349</xdr:colOff>
      <xdr:row>7</xdr:row>
      <xdr:rowOff>34926</xdr:rowOff>
    </xdr:from>
    <xdr:to>
      <xdr:col>5</xdr:col>
      <xdr:colOff>628650</xdr:colOff>
      <xdr:row>7</xdr:row>
      <xdr:rowOff>704850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98" t="54447" r="49839" b="28449"/>
        <a:stretch/>
      </xdr:blipFill>
      <xdr:spPr bwMode="auto">
        <a:xfrm>
          <a:off x="1149349" y="2428876"/>
          <a:ext cx="3289301" cy="669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73025</xdr:colOff>
      <xdr:row>2</xdr:row>
      <xdr:rowOff>63500</xdr:rowOff>
    </xdr:from>
    <xdr:to>
      <xdr:col>6</xdr:col>
      <xdr:colOff>260350</xdr:colOff>
      <xdr:row>3</xdr:row>
      <xdr:rowOff>165100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989" t="57690" r="35497" b="33715"/>
        <a:stretch/>
      </xdr:blipFill>
      <xdr:spPr>
        <a:xfrm>
          <a:off x="835025" y="247650"/>
          <a:ext cx="3997325" cy="400050"/>
        </a:xfrm>
        <a:prstGeom prst="rect">
          <a:avLst/>
        </a:prstGeom>
      </xdr:spPr>
    </xdr:pic>
    <xdr:clientData/>
  </xdr:twoCellAnchor>
  <xdr:twoCellAnchor editAs="oneCell">
    <xdr:from>
      <xdr:col>1</xdr:col>
      <xdr:colOff>113635</xdr:colOff>
      <xdr:row>5</xdr:row>
      <xdr:rowOff>63500</xdr:rowOff>
    </xdr:from>
    <xdr:to>
      <xdr:col>6</xdr:col>
      <xdr:colOff>552450</xdr:colOff>
      <xdr:row>5</xdr:row>
      <xdr:rowOff>730250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760" t="34119" r="48236" b="49082"/>
        <a:stretch/>
      </xdr:blipFill>
      <xdr:spPr>
        <a:xfrm>
          <a:off x="875635" y="984250"/>
          <a:ext cx="4248815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133349</xdr:colOff>
      <xdr:row>6</xdr:row>
      <xdr:rowOff>9526</xdr:rowOff>
    </xdr:from>
    <xdr:to>
      <xdr:col>6</xdr:col>
      <xdr:colOff>603250</xdr:colOff>
      <xdr:row>6</xdr:row>
      <xdr:rowOff>636178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166" t="48053" r="39304" b="41398"/>
        <a:stretch/>
      </xdr:blipFill>
      <xdr:spPr>
        <a:xfrm>
          <a:off x="895349" y="1666876"/>
          <a:ext cx="4279901" cy="626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2017889</xdr:colOff>
      <xdr:row>0</xdr:row>
      <xdr:rowOff>18062</xdr:rowOff>
    </xdr:from>
    <xdr:to>
      <xdr:col>10</xdr:col>
      <xdr:colOff>18293</xdr:colOff>
      <xdr:row>1</xdr:row>
      <xdr:rowOff>364368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98" t="54447" r="49839" b="28449"/>
        <a:stretch/>
      </xdr:blipFill>
      <xdr:spPr bwMode="auto">
        <a:xfrm>
          <a:off x="18455318" y="18062"/>
          <a:ext cx="2590546" cy="527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 filterMode="1">
    <pageSetUpPr fitToPage="1"/>
  </sheetPr>
  <dimension ref="A3:K285"/>
  <sheetViews>
    <sheetView showGridLines="0" view="pageBreakPreview" zoomScale="70" zoomScaleNormal="70" zoomScaleSheetLayoutView="70" workbookViewId="0">
      <pane ySplit="3" topLeftCell="A61" activePane="bottomLeft" state="frozen"/>
      <selection pane="bottomLeft" activeCell="A61" sqref="A61"/>
    </sheetView>
  </sheetViews>
  <sheetFormatPr baseColWidth="10" defaultColWidth="18.81640625" defaultRowHeight="14.5"/>
  <cols>
    <col min="1" max="1" width="6.26953125" style="3" customWidth="1"/>
    <col min="2" max="2" width="20.26953125" style="3" customWidth="1"/>
    <col min="3" max="3" width="17.54296875" style="3" customWidth="1"/>
    <col min="4" max="4" width="43" style="3" customWidth="1"/>
    <col min="5" max="5" width="24.26953125" style="3" customWidth="1"/>
    <col min="6" max="6" width="18.26953125" style="3" customWidth="1"/>
    <col min="7" max="7" width="50.81640625" style="3" customWidth="1"/>
    <col min="8" max="8" width="21.453125" style="3" customWidth="1"/>
    <col min="9" max="9" width="26" style="3" customWidth="1"/>
    <col min="10" max="10" width="35.54296875" style="3" customWidth="1"/>
    <col min="11" max="11" width="18.81640625" style="3"/>
  </cols>
  <sheetData>
    <row r="3" spans="1:11" ht="47.25" customHeight="1">
      <c r="A3" s="1" t="s">
        <v>2</v>
      </c>
      <c r="B3" s="1" t="s">
        <v>4</v>
      </c>
      <c r="C3" s="1" t="s">
        <v>0</v>
      </c>
      <c r="D3" s="1" t="s">
        <v>17</v>
      </c>
      <c r="E3" s="1" t="s">
        <v>31</v>
      </c>
      <c r="F3" s="1" t="s">
        <v>7</v>
      </c>
      <c r="G3" s="1" t="s">
        <v>1</v>
      </c>
      <c r="H3" s="1" t="s">
        <v>32</v>
      </c>
      <c r="I3" s="2" t="s">
        <v>337</v>
      </c>
      <c r="J3" s="2" t="s">
        <v>5</v>
      </c>
    </row>
    <row r="4" spans="1:11" ht="42.75" hidden="1" customHeight="1">
      <c r="A4" s="12">
        <v>1</v>
      </c>
      <c r="B4" s="6" t="s">
        <v>9</v>
      </c>
      <c r="C4" s="5" t="s">
        <v>10</v>
      </c>
      <c r="D4" s="5" t="s">
        <v>25</v>
      </c>
      <c r="E4" s="5" t="s">
        <v>138</v>
      </c>
      <c r="F4" s="5" t="s">
        <v>21</v>
      </c>
      <c r="G4" s="5" t="s">
        <v>63</v>
      </c>
      <c r="H4" s="5" t="s">
        <v>12</v>
      </c>
      <c r="I4" s="4" t="s">
        <v>222</v>
      </c>
      <c r="J4" s="4" t="e">
        <f>IF(SUM(#REF!)=0,"",IF(#REF!&gt;#REF!,"NEGATIVO","POSITIVO"))</f>
        <v>#REF!</v>
      </c>
    </row>
    <row r="5" spans="1:11" ht="42.75" hidden="1" customHeight="1">
      <c r="A5" s="12">
        <v>2</v>
      </c>
      <c r="B5" s="6" t="s">
        <v>9</v>
      </c>
      <c r="C5" s="5" t="s">
        <v>10</v>
      </c>
      <c r="D5" s="5" t="s">
        <v>25</v>
      </c>
      <c r="E5" s="5" t="s">
        <v>138</v>
      </c>
      <c r="F5" s="5" t="s">
        <v>23</v>
      </c>
      <c r="G5" s="5" t="s">
        <v>37</v>
      </c>
      <c r="H5" s="5" t="s">
        <v>12</v>
      </c>
      <c r="I5" s="4" t="s">
        <v>222</v>
      </c>
      <c r="J5" s="4" t="e">
        <f>IF(SUM(#REF!)=0,"",IF(#REF!&gt;#REF!,"NEGATIVO","POSITIVO"))</f>
        <v>#REF!</v>
      </c>
    </row>
    <row r="6" spans="1:11" ht="42.75" hidden="1" customHeight="1">
      <c r="A6" s="12">
        <v>4</v>
      </c>
      <c r="B6" s="6" t="s">
        <v>9</v>
      </c>
      <c r="C6" s="5" t="s">
        <v>8</v>
      </c>
      <c r="D6" s="5" t="s">
        <v>29</v>
      </c>
      <c r="E6" s="5" t="s">
        <v>33</v>
      </c>
      <c r="F6" s="5" t="s">
        <v>23</v>
      </c>
      <c r="G6" s="5" t="s">
        <v>39</v>
      </c>
      <c r="H6" s="5" t="s">
        <v>12</v>
      </c>
      <c r="I6" s="4" t="s">
        <v>222</v>
      </c>
      <c r="J6" s="4" t="e">
        <f>IF(SUM(#REF!)=0,"",IF(#REF!&gt;#REF!,"NEGATIVO","POSITIVO"))</f>
        <v>#REF!</v>
      </c>
    </row>
    <row r="7" spans="1:11" ht="42.75" hidden="1" customHeight="1">
      <c r="A7" s="12">
        <v>5</v>
      </c>
      <c r="B7" s="6" t="s">
        <v>9</v>
      </c>
      <c r="C7" s="5" t="s">
        <v>10</v>
      </c>
      <c r="D7" s="5" t="s">
        <v>24</v>
      </c>
      <c r="E7" s="4" t="s">
        <v>316</v>
      </c>
      <c r="F7" s="5" t="s">
        <v>20</v>
      </c>
      <c r="G7" s="5" t="s">
        <v>70</v>
      </c>
      <c r="H7" s="5" t="s">
        <v>12</v>
      </c>
      <c r="I7" s="4" t="s">
        <v>222</v>
      </c>
      <c r="J7" s="4" t="e">
        <f>IF(SUM(#REF!)=0,"",IF(#REF!&gt;#REF!,"NEGATIVO","POSITIVO"))</f>
        <v>#REF!</v>
      </c>
      <c r="K7" s="7"/>
    </row>
    <row r="8" spans="1:11" ht="42.75" hidden="1" customHeight="1">
      <c r="A8" s="12">
        <v>6</v>
      </c>
      <c r="B8" s="6" t="s">
        <v>9</v>
      </c>
      <c r="C8" s="5" t="s">
        <v>10</v>
      </c>
      <c r="D8" s="5" t="s">
        <v>24</v>
      </c>
      <c r="E8" s="4" t="s">
        <v>316</v>
      </c>
      <c r="F8" s="5" t="s">
        <v>20</v>
      </c>
      <c r="G8" s="5" t="s">
        <v>72</v>
      </c>
      <c r="H8" s="5" t="s">
        <v>12</v>
      </c>
      <c r="I8" s="4" t="s">
        <v>222</v>
      </c>
      <c r="J8" s="4" t="e">
        <f>IF(SUM(#REF!)=0,"",IF(#REF!&gt;#REF!,"NEGATIVO","POSITIVO"))</f>
        <v>#REF!</v>
      </c>
    </row>
    <row r="9" spans="1:11" ht="42.75" hidden="1" customHeight="1">
      <c r="A9" s="12">
        <v>7</v>
      </c>
      <c r="B9" s="6" t="s">
        <v>9</v>
      </c>
      <c r="C9" s="5" t="s">
        <v>10</v>
      </c>
      <c r="D9" s="5" t="s">
        <v>24</v>
      </c>
      <c r="E9" s="4" t="s">
        <v>316</v>
      </c>
      <c r="F9" s="6" t="s">
        <v>20</v>
      </c>
      <c r="G9" s="6" t="s">
        <v>71</v>
      </c>
      <c r="H9" s="5" t="s">
        <v>12</v>
      </c>
      <c r="I9" s="4" t="s">
        <v>222</v>
      </c>
      <c r="J9" s="4" t="e">
        <f>IF(SUM(#REF!)=0,"",IF(#REF!&gt;#REF!,"NEGATIVO","POSITIVO"))</f>
        <v>#REF!</v>
      </c>
    </row>
    <row r="10" spans="1:11" s="3" customFormat="1" ht="42.75" hidden="1" customHeight="1">
      <c r="A10" s="12">
        <v>8</v>
      </c>
      <c r="B10" s="6" t="s">
        <v>9</v>
      </c>
      <c r="C10" s="5" t="s">
        <v>10</v>
      </c>
      <c r="D10" s="5" t="s">
        <v>25</v>
      </c>
      <c r="E10" s="6" t="s">
        <v>148</v>
      </c>
      <c r="F10" s="6" t="s">
        <v>23</v>
      </c>
      <c r="G10" s="13" t="s">
        <v>34</v>
      </c>
      <c r="H10" s="5" t="s">
        <v>12</v>
      </c>
      <c r="I10" s="4" t="s">
        <v>222</v>
      </c>
      <c r="J10" s="4" t="e">
        <f>IF(SUM(#REF!)=0,"",IF(#REF!&gt;#REF!,"NEGATIVO","POSITIVO"))</f>
        <v>#REF!</v>
      </c>
    </row>
    <row r="11" spans="1:11" s="3" customFormat="1" ht="42.75" hidden="1" customHeight="1">
      <c r="A11" s="12">
        <v>9</v>
      </c>
      <c r="B11" s="6" t="s">
        <v>9</v>
      </c>
      <c r="C11" s="5" t="s">
        <v>10</v>
      </c>
      <c r="D11" s="5" t="s">
        <v>25</v>
      </c>
      <c r="E11" s="6" t="s">
        <v>148</v>
      </c>
      <c r="F11" s="6" t="s">
        <v>23</v>
      </c>
      <c r="G11" s="13" t="s">
        <v>35</v>
      </c>
      <c r="H11" s="5" t="s">
        <v>12</v>
      </c>
      <c r="I11" s="4" t="s">
        <v>222</v>
      </c>
      <c r="J11" s="4" t="e">
        <f>IF(SUM(#REF!)=0,"",IF(#REF!&gt;#REF!,"NEGATIVO","POSITIVO"))</f>
        <v>#REF!</v>
      </c>
    </row>
    <row r="12" spans="1:11" s="3" customFormat="1" ht="42.75" hidden="1" customHeight="1">
      <c r="A12" s="12">
        <v>10</v>
      </c>
      <c r="B12" s="6" t="s">
        <v>9</v>
      </c>
      <c r="C12" s="5" t="s">
        <v>10</v>
      </c>
      <c r="D12" s="5" t="s">
        <v>25</v>
      </c>
      <c r="E12" s="6" t="s">
        <v>148</v>
      </c>
      <c r="F12" s="5" t="s">
        <v>23</v>
      </c>
      <c r="G12" s="13" t="s">
        <v>177</v>
      </c>
      <c r="H12" s="5" t="s">
        <v>12</v>
      </c>
      <c r="I12" s="4" t="s">
        <v>222</v>
      </c>
      <c r="J12" s="4" t="e">
        <f>IF(SUM(#REF!)=0,"",IF(#REF!&gt;#REF!,"NEGATIVO","POSITIVO"))</f>
        <v>#REF!</v>
      </c>
    </row>
    <row r="13" spans="1:11" s="3" customFormat="1" ht="42.75" hidden="1" customHeight="1">
      <c r="A13" s="12">
        <v>11</v>
      </c>
      <c r="B13" s="6" t="s">
        <v>9</v>
      </c>
      <c r="C13" s="5" t="s">
        <v>10</v>
      </c>
      <c r="D13" s="5" t="s">
        <v>25</v>
      </c>
      <c r="E13" s="6" t="s">
        <v>148</v>
      </c>
      <c r="F13" s="5" t="s">
        <v>23</v>
      </c>
      <c r="G13" s="13" t="s">
        <v>199</v>
      </c>
      <c r="H13" s="5" t="s">
        <v>12</v>
      </c>
      <c r="I13" s="4" t="s">
        <v>222</v>
      </c>
      <c r="J13" s="4" t="e">
        <f>IF(SUM(#REF!)=0,"",IF(#REF!&gt;#REF!,"NEGATIVO","POSITIVO"))</f>
        <v>#REF!</v>
      </c>
    </row>
    <row r="14" spans="1:11" s="3" customFormat="1" ht="42.75" hidden="1" customHeight="1">
      <c r="A14" s="12">
        <v>12</v>
      </c>
      <c r="B14" s="6" t="s">
        <v>9</v>
      </c>
      <c r="C14" s="5" t="s">
        <v>10</v>
      </c>
      <c r="D14" s="5" t="s">
        <v>25</v>
      </c>
      <c r="E14" s="6" t="s">
        <v>148</v>
      </c>
      <c r="F14" s="6" t="s">
        <v>23</v>
      </c>
      <c r="G14" s="13" t="s">
        <v>40</v>
      </c>
      <c r="H14" s="5" t="s">
        <v>12</v>
      </c>
      <c r="I14" s="4" t="s">
        <v>224</v>
      </c>
      <c r="J14" s="4" t="e">
        <f>IF(SUM(#REF!)=0,"",IF(#REF!&gt;#REF!,"NEGATIVO","POSITIVO"))</f>
        <v>#REF!</v>
      </c>
    </row>
    <row r="15" spans="1:11" s="3" customFormat="1" ht="42.75" hidden="1" customHeight="1">
      <c r="A15" s="12">
        <v>13</v>
      </c>
      <c r="B15" s="6" t="s">
        <v>9</v>
      </c>
      <c r="C15" s="5" t="s">
        <v>10</v>
      </c>
      <c r="D15" s="5" t="s">
        <v>25</v>
      </c>
      <c r="E15" s="6" t="s">
        <v>148</v>
      </c>
      <c r="F15" s="6" t="s">
        <v>23</v>
      </c>
      <c r="G15" s="13" t="s">
        <v>41</v>
      </c>
      <c r="H15" s="5" t="s">
        <v>12</v>
      </c>
      <c r="I15" s="4" t="s">
        <v>224</v>
      </c>
      <c r="J15" s="4" t="e">
        <f>IF(SUM(#REF!)=0,"",IF(#REF!&gt;#REF!,"NEGATIVO","POSITIVO"))</f>
        <v>#REF!</v>
      </c>
    </row>
    <row r="16" spans="1:11" s="3" customFormat="1" ht="42.75" hidden="1" customHeight="1">
      <c r="A16" s="12">
        <v>14</v>
      </c>
      <c r="B16" s="6" t="s">
        <v>9</v>
      </c>
      <c r="C16" s="5" t="s">
        <v>10</v>
      </c>
      <c r="D16" s="5" t="s">
        <v>25</v>
      </c>
      <c r="E16" s="6" t="s">
        <v>148</v>
      </c>
      <c r="F16" s="6" t="s">
        <v>23</v>
      </c>
      <c r="G16" s="13" t="s">
        <v>42</v>
      </c>
      <c r="H16" s="5" t="s">
        <v>12</v>
      </c>
      <c r="I16" s="4" t="s">
        <v>224</v>
      </c>
      <c r="J16" s="4" t="e">
        <f>IF(SUM(#REF!)=0,"",IF(#REF!&gt;#REF!,"NEGATIVO","POSITIVO"))</f>
        <v>#REF!</v>
      </c>
    </row>
    <row r="17" spans="1:10" s="3" customFormat="1" ht="42.75" hidden="1" customHeight="1">
      <c r="A17" s="12">
        <v>15</v>
      </c>
      <c r="B17" s="6" t="s">
        <v>9</v>
      </c>
      <c r="C17" s="5" t="s">
        <v>10</v>
      </c>
      <c r="D17" s="5" t="s">
        <v>25</v>
      </c>
      <c r="E17" s="6" t="s">
        <v>148</v>
      </c>
      <c r="F17" s="5" t="s">
        <v>23</v>
      </c>
      <c r="G17" s="13" t="s">
        <v>43</v>
      </c>
      <c r="H17" s="5" t="s">
        <v>12</v>
      </c>
      <c r="I17" s="4" t="s">
        <v>222</v>
      </c>
      <c r="J17" s="4" t="e">
        <f>IF(SUM(#REF!)=0,"",IF(#REF!&gt;#REF!,"NEGATIVO","POSITIVO"))</f>
        <v>#REF!</v>
      </c>
    </row>
    <row r="18" spans="1:10" s="3" customFormat="1" ht="42.75" hidden="1" customHeight="1">
      <c r="A18" s="12">
        <v>16</v>
      </c>
      <c r="B18" s="6" t="s">
        <v>9</v>
      </c>
      <c r="C18" s="5" t="s">
        <v>10</v>
      </c>
      <c r="D18" s="5" t="s">
        <v>25</v>
      </c>
      <c r="E18" s="6" t="s">
        <v>148</v>
      </c>
      <c r="F18" s="5" t="s">
        <v>23</v>
      </c>
      <c r="G18" s="13" t="s">
        <v>44</v>
      </c>
      <c r="H18" s="5" t="s">
        <v>12</v>
      </c>
      <c r="I18" s="4" t="s">
        <v>222</v>
      </c>
      <c r="J18" s="4" t="e">
        <f>IF(SUM(#REF!)=0,"",IF(#REF!&gt;#REF!,"NEGATIVO","POSITIVO"))</f>
        <v>#REF!</v>
      </c>
    </row>
    <row r="19" spans="1:10" s="3" customFormat="1" ht="56.25" hidden="1" customHeight="1">
      <c r="A19" s="12">
        <v>17</v>
      </c>
      <c r="B19" s="6" t="s">
        <v>9</v>
      </c>
      <c r="C19" s="5" t="s">
        <v>8</v>
      </c>
      <c r="D19" s="5" t="s">
        <v>29</v>
      </c>
      <c r="E19" s="6" t="s">
        <v>33</v>
      </c>
      <c r="F19" s="6" t="s">
        <v>23</v>
      </c>
      <c r="G19" s="6" t="s">
        <v>45</v>
      </c>
      <c r="H19" s="5" t="s">
        <v>12</v>
      </c>
      <c r="I19" s="4" t="s">
        <v>224</v>
      </c>
      <c r="J19" s="4" t="e">
        <f>IF(SUM(#REF!)=0,"",IF(#REF!&gt;#REF!,"NEGATIVO","POSITIVO"))</f>
        <v>#REF!</v>
      </c>
    </row>
    <row r="20" spans="1:10" s="3" customFormat="1" ht="42.75" hidden="1" customHeight="1">
      <c r="A20" s="12">
        <v>18</v>
      </c>
      <c r="B20" s="6" t="s">
        <v>9</v>
      </c>
      <c r="C20" s="5" t="s">
        <v>8</v>
      </c>
      <c r="D20" s="5" t="s">
        <v>29</v>
      </c>
      <c r="E20" s="6" t="s">
        <v>33</v>
      </c>
      <c r="F20" s="6" t="s">
        <v>23</v>
      </c>
      <c r="G20" s="6" t="s">
        <v>46</v>
      </c>
      <c r="H20" s="5" t="s">
        <v>12</v>
      </c>
      <c r="I20" s="4" t="s">
        <v>224</v>
      </c>
      <c r="J20" s="4" t="e">
        <f>IF(SUM(#REF!)=0,"",IF(#REF!&gt;#REF!,"NEGATIVO","POSITIVO"))</f>
        <v>#REF!</v>
      </c>
    </row>
    <row r="21" spans="1:10" s="3" customFormat="1" ht="42.75" hidden="1" customHeight="1">
      <c r="A21" s="12">
        <v>19</v>
      </c>
      <c r="B21" s="6" t="s">
        <v>6</v>
      </c>
      <c r="C21" s="5" t="s">
        <v>10</v>
      </c>
      <c r="D21" s="5" t="s">
        <v>25</v>
      </c>
      <c r="E21" s="6" t="s">
        <v>148</v>
      </c>
      <c r="F21" s="5" t="s">
        <v>23</v>
      </c>
      <c r="G21" s="13" t="s">
        <v>179</v>
      </c>
      <c r="H21" s="5" t="s">
        <v>13</v>
      </c>
      <c r="I21" s="4" t="s">
        <v>222</v>
      </c>
      <c r="J21" s="4" t="e">
        <f>IF(SUM(#REF!)=0,"",IF(#REF!&gt;#REF!,"NEGATIVO","POSITIVO"))</f>
        <v>#REF!</v>
      </c>
    </row>
    <row r="22" spans="1:10" s="3" customFormat="1" ht="42.75" hidden="1" customHeight="1">
      <c r="A22" s="12">
        <v>20</v>
      </c>
      <c r="B22" s="6" t="s">
        <v>6</v>
      </c>
      <c r="C22" s="5" t="s">
        <v>11</v>
      </c>
      <c r="D22" s="5" t="s">
        <v>28</v>
      </c>
      <c r="E22" s="5" t="s">
        <v>158</v>
      </c>
      <c r="F22" s="5" t="s">
        <v>20</v>
      </c>
      <c r="G22" s="13" t="s">
        <v>55</v>
      </c>
      <c r="H22" s="5" t="s">
        <v>12</v>
      </c>
      <c r="I22" s="4" t="s">
        <v>222</v>
      </c>
      <c r="J22" s="4" t="e">
        <f>IF(SUM(#REF!)=0,"",IF(#REF!&gt;#REF!,"NEGATIVO","POSITIVO"))</f>
        <v>#REF!</v>
      </c>
    </row>
    <row r="23" spans="1:10" s="3" customFormat="1" ht="42.75" hidden="1" customHeight="1">
      <c r="A23" s="12">
        <v>21</v>
      </c>
      <c r="B23" s="6" t="s">
        <v>6</v>
      </c>
      <c r="C23" s="5" t="s">
        <v>11</v>
      </c>
      <c r="D23" s="5" t="s">
        <v>28</v>
      </c>
      <c r="E23" s="5" t="s">
        <v>158</v>
      </c>
      <c r="F23" s="5" t="s">
        <v>20</v>
      </c>
      <c r="G23" s="13" t="s">
        <v>54</v>
      </c>
      <c r="H23" s="5" t="s">
        <v>12</v>
      </c>
      <c r="I23" s="4" t="s">
        <v>222</v>
      </c>
      <c r="J23" s="4" t="e">
        <f>IF(SUM(#REF!)=0,"",IF(#REF!&gt;#REF!,"NEGATIVO","POSITIVO"))</f>
        <v>#REF!</v>
      </c>
    </row>
    <row r="24" spans="1:10" s="3" customFormat="1" ht="42.75" hidden="1" customHeight="1">
      <c r="A24" s="12">
        <v>22</v>
      </c>
      <c r="B24" s="6" t="s">
        <v>6</v>
      </c>
      <c r="C24" s="5" t="s">
        <v>10</v>
      </c>
      <c r="D24" s="5" t="s">
        <v>25</v>
      </c>
      <c r="E24" s="5" t="s">
        <v>157</v>
      </c>
      <c r="F24" s="5" t="s">
        <v>23</v>
      </c>
      <c r="G24" s="5" t="s">
        <v>58</v>
      </c>
      <c r="H24" s="5" t="s">
        <v>12</v>
      </c>
      <c r="I24" s="4" t="s">
        <v>222</v>
      </c>
      <c r="J24" s="4" t="e">
        <f>IF(SUM(#REF!)=0,"",IF(#REF!&gt;#REF!,"NEGATIVO","POSITIVO"))</f>
        <v>#REF!</v>
      </c>
    </row>
    <row r="25" spans="1:10" s="3" customFormat="1" ht="42.75" hidden="1" customHeight="1">
      <c r="A25" s="12">
        <v>23</v>
      </c>
      <c r="B25" s="6" t="s">
        <v>9</v>
      </c>
      <c r="C25" s="5" t="s">
        <v>11</v>
      </c>
      <c r="D25" s="5" t="s">
        <v>30</v>
      </c>
      <c r="E25" s="5" t="s">
        <v>156</v>
      </c>
      <c r="F25" s="5" t="s">
        <v>20</v>
      </c>
      <c r="G25" s="13" t="s">
        <v>59</v>
      </c>
      <c r="H25" s="5" t="s">
        <v>12</v>
      </c>
      <c r="I25" s="4" t="s">
        <v>222</v>
      </c>
      <c r="J25" s="4" t="e">
        <f>IF(SUM(#REF!)=0,"",IF(#REF!&gt;#REF!,"NEGATIVO","POSITIVO"))</f>
        <v>#REF!</v>
      </c>
    </row>
    <row r="26" spans="1:10" s="3" customFormat="1" ht="42.75" hidden="1" customHeight="1">
      <c r="A26" s="12">
        <v>24</v>
      </c>
      <c r="B26" s="6" t="s">
        <v>9</v>
      </c>
      <c r="C26" s="5" t="s">
        <v>11</v>
      </c>
      <c r="D26" s="5" t="s">
        <v>30</v>
      </c>
      <c r="E26" s="5" t="s">
        <v>156</v>
      </c>
      <c r="F26" s="5" t="s">
        <v>19</v>
      </c>
      <c r="G26" s="13" t="s">
        <v>60</v>
      </c>
      <c r="H26" s="5" t="s">
        <v>12</v>
      </c>
      <c r="I26" s="4" t="s">
        <v>222</v>
      </c>
      <c r="J26" s="4" t="e">
        <f>IF(SUM(#REF!)=0,"",IF(#REF!&gt;#REF!,"NEGATIVO","POSITIVO"))</f>
        <v>#REF!</v>
      </c>
    </row>
    <row r="27" spans="1:10" s="3" customFormat="1" ht="42.75" hidden="1" customHeight="1">
      <c r="A27" s="12">
        <v>25</v>
      </c>
      <c r="B27" s="6" t="s">
        <v>9</v>
      </c>
      <c r="C27" s="5" t="s">
        <v>11</v>
      </c>
      <c r="D27" s="5" t="s">
        <v>30</v>
      </c>
      <c r="E27" s="5" t="s">
        <v>156</v>
      </c>
      <c r="F27" s="5" t="s">
        <v>19</v>
      </c>
      <c r="G27" s="5" t="s">
        <v>61</v>
      </c>
      <c r="H27" s="5" t="s">
        <v>12</v>
      </c>
      <c r="I27" s="4" t="s">
        <v>222</v>
      </c>
      <c r="J27" s="4" t="e">
        <f>IF(SUM(#REF!)=0,"",IF(#REF!&gt;#REF!,"NEGATIVO","POSITIVO"))</f>
        <v>#REF!</v>
      </c>
    </row>
    <row r="28" spans="1:10" s="3" customFormat="1" ht="42.75" hidden="1" customHeight="1">
      <c r="A28" s="12">
        <v>26</v>
      </c>
      <c r="B28" s="6" t="s">
        <v>9</v>
      </c>
      <c r="C28" s="5" t="s">
        <v>11</v>
      </c>
      <c r="D28" s="5" t="s">
        <v>30</v>
      </c>
      <c r="E28" s="5" t="s">
        <v>156</v>
      </c>
      <c r="F28" s="5" t="s">
        <v>23</v>
      </c>
      <c r="G28" s="5" t="s">
        <v>62</v>
      </c>
      <c r="H28" s="5" t="s">
        <v>12</v>
      </c>
      <c r="I28" s="4" t="s">
        <v>222</v>
      </c>
      <c r="J28" s="4" t="e">
        <f>IF(SUM(#REF!)=0,"",IF(#REF!&gt;#REF!,"NEGATIVO","POSITIVO"))</f>
        <v>#REF!</v>
      </c>
    </row>
    <row r="29" spans="1:10" s="3" customFormat="1" ht="42.75" hidden="1" customHeight="1">
      <c r="A29" s="12">
        <v>27</v>
      </c>
      <c r="B29" s="6" t="s">
        <v>9</v>
      </c>
      <c r="C29" s="5" t="s">
        <v>11</v>
      </c>
      <c r="D29" s="5" t="s">
        <v>30</v>
      </c>
      <c r="E29" s="5" t="s">
        <v>156</v>
      </c>
      <c r="F29" s="5" t="s">
        <v>23</v>
      </c>
      <c r="G29" s="5" t="s">
        <v>180</v>
      </c>
      <c r="H29" s="5" t="s">
        <v>12</v>
      </c>
      <c r="I29" s="4" t="s">
        <v>222</v>
      </c>
      <c r="J29" s="4" t="e">
        <f>IF(SUM(#REF!)=0,"",IF(#REF!&gt;#REF!,"NEGATIVO","POSITIVO"))</f>
        <v>#REF!</v>
      </c>
    </row>
    <row r="30" spans="1:10" s="3" customFormat="1" ht="42.75" hidden="1" customHeight="1">
      <c r="A30" s="12">
        <v>28</v>
      </c>
      <c r="B30" s="6" t="s">
        <v>9</v>
      </c>
      <c r="C30" s="5" t="s">
        <v>11</v>
      </c>
      <c r="D30" s="5" t="s">
        <v>30</v>
      </c>
      <c r="E30" s="5" t="s">
        <v>156</v>
      </c>
      <c r="F30" s="5" t="s">
        <v>23</v>
      </c>
      <c r="G30" s="5" t="s">
        <v>334</v>
      </c>
      <c r="H30" s="5" t="s">
        <v>12</v>
      </c>
      <c r="I30" s="4" t="s">
        <v>222</v>
      </c>
      <c r="J30" s="4" t="e">
        <f>IF(SUM(#REF!)=0,"",IF(#REF!&gt;#REF!,"NEGATIVO","POSITIVO"))</f>
        <v>#REF!</v>
      </c>
    </row>
    <row r="31" spans="1:10" s="3" customFormat="1" ht="42.75" hidden="1" customHeight="1">
      <c r="A31" s="12">
        <v>29</v>
      </c>
      <c r="B31" s="6" t="s">
        <v>9</v>
      </c>
      <c r="C31" s="5" t="s">
        <v>11</v>
      </c>
      <c r="D31" s="5" t="s">
        <v>30</v>
      </c>
      <c r="E31" s="5" t="s">
        <v>156</v>
      </c>
      <c r="F31" s="5" t="s">
        <v>23</v>
      </c>
      <c r="G31" s="5" t="s">
        <v>335</v>
      </c>
      <c r="H31" s="5" t="s">
        <v>12</v>
      </c>
      <c r="I31" s="4" t="s">
        <v>222</v>
      </c>
      <c r="J31" s="4" t="e">
        <f>IF(SUM(#REF!)=0,"",IF(#REF!&gt;#REF!,"NEGATIVO","POSITIVO"))</f>
        <v>#REF!</v>
      </c>
    </row>
    <row r="32" spans="1:10" s="3" customFormat="1" ht="42.75" hidden="1" customHeight="1">
      <c r="A32" s="12">
        <v>30</v>
      </c>
      <c r="B32" s="6" t="s">
        <v>9</v>
      </c>
      <c r="C32" s="5" t="s">
        <v>11</v>
      </c>
      <c r="D32" s="5" t="s">
        <v>30</v>
      </c>
      <c r="E32" s="5" t="s">
        <v>156</v>
      </c>
      <c r="F32" s="5" t="s">
        <v>23</v>
      </c>
      <c r="G32" s="5" t="s">
        <v>198</v>
      </c>
      <c r="H32" s="5" t="s">
        <v>12</v>
      </c>
      <c r="I32" s="4" t="s">
        <v>222</v>
      </c>
      <c r="J32" s="4" t="e">
        <f>IF(SUM(#REF!)=0,"",IF(#REF!&gt;#REF!,"NEGATIVO","POSITIVO"))</f>
        <v>#REF!</v>
      </c>
    </row>
    <row r="33" spans="1:10" s="3" customFormat="1" ht="42.75" hidden="1" customHeight="1">
      <c r="A33" s="12">
        <v>31</v>
      </c>
      <c r="B33" s="6" t="s">
        <v>9</v>
      </c>
      <c r="C33" s="5" t="s">
        <v>11</v>
      </c>
      <c r="D33" s="5" t="s">
        <v>30</v>
      </c>
      <c r="E33" s="5" t="s">
        <v>156</v>
      </c>
      <c r="F33" s="5" t="s">
        <v>23</v>
      </c>
      <c r="G33" s="5" t="s">
        <v>336</v>
      </c>
      <c r="H33" s="5" t="s">
        <v>12</v>
      </c>
      <c r="I33" s="4" t="s">
        <v>222</v>
      </c>
      <c r="J33" s="4" t="e">
        <f>IF(SUM(#REF!)=0,"",IF(#REF!&gt;#REF!,"NEGATIVO","POSITIVO"))</f>
        <v>#REF!</v>
      </c>
    </row>
    <row r="34" spans="1:10" s="3" customFormat="1" ht="42.75" hidden="1" customHeight="1">
      <c r="A34" s="12">
        <v>32</v>
      </c>
      <c r="B34" s="6" t="s">
        <v>6</v>
      </c>
      <c r="C34" s="5" t="s">
        <v>10</v>
      </c>
      <c r="D34" s="5" t="s">
        <v>25</v>
      </c>
      <c r="E34" s="5" t="s">
        <v>191</v>
      </c>
      <c r="F34" s="5" t="s">
        <v>23</v>
      </c>
      <c r="G34" s="5" t="s">
        <v>192</v>
      </c>
      <c r="H34" s="5" t="s">
        <v>12</v>
      </c>
      <c r="I34" s="4" t="s">
        <v>222</v>
      </c>
      <c r="J34" s="4" t="e">
        <f>IF(SUM(#REF!)=0,"",IF(#REF!&gt;#REF!,"NEGATIVO","POSITIVO"))</f>
        <v>#REF!</v>
      </c>
    </row>
    <row r="35" spans="1:10" s="3" customFormat="1" ht="42.75" hidden="1" customHeight="1">
      <c r="A35" s="12">
        <v>33</v>
      </c>
      <c r="B35" s="6" t="s">
        <v>6</v>
      </c>
      <c r="C35" s="5" t="s">
        <v>10</v>
      </c>
      <c r="D35" s="5" t="s">
        <v>25</v>
      </c>
      <c r="E35" s="5" t="s">
        <v>191</v>
      </c>
      <c r="F35" s="5" t="s">
        <v>23</v>
      </c>
      <c r="G35" s="5" t="s">
        <v>193</v>
      </c>
      <c r="H35" s="5" t="s">
        <v>12</v>
      </c>
      <c r="I35" s="4" t="s">
        <v>222</v>
      </c>
      <c r="J35" s="4" t="e">
        <f>IF(SUM(#REF!)=0,"",IF(#REF!&gt;#REF!,"NEGATIVO","POSITIVO"))</f>
        <v>#REF!</v>
      </c>
    </row>
    <row r="36" spans="1:10" s="3" customFormat="1" ht="42.75" hidden="1" customHeight="1">
      <c r="A36" s="12">
        <v>34</v>
      </c>
      <c r="B36" s="6" t="s">
        <v>6</v>
      </c>
      <c r="C36" s="5" t="s">
        <v>10</v>
      </c>
      <c r="D36" s="5" t="s">
        <v>25</v>
      </c>
      <c r="E36" s="5" t="s">
        <v>191</v>
      </c>
      <c r="F36" s="5" t="s">
        <v>23</v>
      </c>
      <c r="G36" s="5" t="s">
        <v>194</v>
      </c>
      <c r="H36" s="5" t="s">
        <v>12</v>
      </c>
      <c r="I36" s="4" t="s">
        <v>222</v>
      </c>
      <c r="J36" s="4" t="e">
        <f>IF(SUM(#REF!)=0,"",IF(#REF!&gt;#REF!,"NEGATIVO","POSITIVO"))</f>
        <v>#REF!</v>
      </c>
    </row>
    <row r="37" spans="1:10" s="3" customFormat="1" ht="21" hidden="1" customHeight="1">
      <c r="A37" s="12">
        <v>35</v>
      </c>
      <c r="B37" s="6" t="s">
        <v>6</v>
      </c>
      <c r="C37" s="5" t="s">
        <v>10</v>
      </c>
      <c r="D37" s="5" t="s">
        <v>25</v>
      </c>
      <c r="E37" s="5" t="s">
        <v>102</v>
      </c>
      <c r="F37" s="5" t="s">
        <v>18</v>
      </c>
      <c r="G37" s="5" t="s">
        <v>214</v>
      </c>
      <c r="H37" s="5" t="s">
        <v>12</v>
      </c>
      <c r="I37" s="4" t="s">
        <v>222</v>
      </c>
      <c r="J37" s="4" t="e">
        <f>IF(SUM(#REF!)=0,"",IF(#REF!&gt;#REF!,"NEGATIVO","POSITIVO"))</f>
        <v>#REF!</v>
      </c>
    </row>
    <row r="38" spans="1:10" s="3" customFormat="1" ht="21.75" hidden="1" customHeight="1">
      <c r="A38" s="12">
        <v>36</v>
      </c>
      <c r="B38" s="6" t="s">
        <v>6</v>
      </c>
      <c r="C38" s="5" t="s">
        <v>10</v>
      </c>
      <c r="D38" s="5" t="s">
        <v>25</v>
      </c>
      <c r="E38" s="5" t="s">
        <v>102</v>
      </c>
      <c r="F38" s="5" t="s">
        <v>18</v>
      </c>
      <c r="G38" s="5" t="s">
        <v>103</v>
      </c>
      <c r="H38" s="5" t="s">
        <v>12</v>
      </c>
      <c r="I38" s="4" t="s">
        <v>222</v>
      </c>
      <c r="J38" s="4" t="e">
        <f>IF(SUM(#REF!)=0,"",IF(#REF!&gt;#REF!,"NEGATIVO","POSITIVO"))</f>
        <v>#REF!</v>
      </c>
    </row>
    <row r="39" spans="1:10" s="3" customFormat="1" ht="42.75" hidden="1" customHeight="1">
      <c r="A39" s="12">
        <v>40</v>
      </c>
      <c r="B39" s="6" t="s">
        <v>6</v>
      </c>
      <c r="C39" s="5" t="s">
        <v>10</v>
      </c>
      <c r="D39" s="5" t="s">
        <v>25</v>
      </c>
      <c r="E39" s="6" t="s">
        <v>102</v>
      </c>
      <c r="F39" s="6" t="s">
        <v>21</v>
      </c>
      <c r="G39" s="6" t="s">
        <v>294</v>
      </c>
      <c r="H39" s="5" t="s">
        <v>12</v>
      </c>
      <c r="I39" s="4" t="s">
        <v>222</v>
      </c>
      <c r="J39" s="4" t="e">
        <f>IF(SUM(#REF!)=0,"",IF(#REF!&gt;#REF!,"NEGATIVO","POSITIVO"))</f>
        <v>#REF!</v>
      </c>
    </row>
    <row r="40" spans="1:10" s="3" customFormat="1" ht="42.75" hidden="1" customHeight="1">
      <c r="A40" s="12">
        <v>41</v>
      </c>
      <c r="B40" s="6" t="s">
        <v>6</v>
      </c>
      <c r="C40" s="5" t="s">
        <v>10</v>
      </c>
      <c r="D40" s="5" t="s">
        <v>25</v>
      </c>
      <c r="E40" s="6" t="s">
        <v>102</v>
      </c>
      <c r="F40" s="6" t="s">
        <v>23</v>
      </c>
      <c r="G40" s="6" t="s">
        <v>104</v>
      </c>
      <c r="H40" s="5" t="s">
        <v>12</v>
      </c>
      <c r="I40" s="4" t="s">
        <v>222</v>
      </c>
      <c r="J40" s="4" t="e">
        <f>IF(SUM(#REF!)=0,"",IF(#REF!&gt;#REF!,"NEGATIVO","POSITIVO"))</f>
        <v>#REF!</v>
      </c>
    </row>
    <row r="41" spans="1:10" s="3" customFormat="1" ht="42.75" hidden="1" customHeight="1">
      <c r="A41" s="12">
        <v>42</v>
      </c>
      <c r="B41" s="6" t="s">
        <v>6</v>
      </c>
      <c r="C41" s="5" t="s">
        <v>10</v>
      </c>
      <c r="D41" s="5" t="s">
        <v>25</v>
      </c>
      <c r="E41" s="6" t="s">
        <v>102</v>
      </c>
      <c r="F41" s="6" t="s">
        <v>19</v>
      </c>
      <c r="G41" s="6" t="s">
        <v>105</v>
      </c>
      <c r="H41" s="5" t="s">
        <v>12</v>
      </c>
      <c r="I41" s="4" t="s">
        <v>222</v>
      </c>
      <c r="J41" s="4" t="e">
        <f>IF(SUM(#REF!)=0,"",IF(#REF!&gt;#REF!,"NEGATIVO","POSITIVO"))</f>
        <v>#REF!</v>
      </c>
    </row>
    <row r="42" spans="1:10" s="3" customFormat="1" ht="42.75" customHeight="1">
      <c r="A42" s="12">
        <v>43</v>
      </c>
      <c r="B42" s="12" t="s">
        <v>220</v>
      </c>
      <c r="C42" s="5" t="s">
        <v>10</v>
      </c>
      <c r="D42" s="5" t="s">
        <v>25</v>
      </c>
      <c r="E42" s="6" t="s">
        <v>102</v>
      </c>
      <c r="F42" s="6" t="s">
        <v>21</v>
      </c>
      <c r="G42" s="16" t="s">
        <v>290</v>
      </c>
      <c r="H42" s="5" t="s">
        <v>12</v>
      </c>
      <c r="I42" s="4" t="s">
        <v>319</v>
      </c>
      <c r="J42" s="4" t="e">
        <f>IF(SUM(#REF!)=0,"",IF(#REF!&gt;#REF!,"NEGATIVO","POSITIVO"))</f>
        <v>#REF!</v>
      </c>
    </row>
    <row r="43" spans="1:10" s="3" customFormat="1" ht="42.75" customHeight="1">
      <c r="A43" s="12">
        <v>45</v>
      </c>
      <c r="B43" s="12" t="s">
        <v>220</v>
      </c>
      <c r="C43" s="5" t="s">
        <v>10</v>
      </c>
      <c r="D43" s="5" t="s">
        <v>25</v>
      </c>
      <c r="E43" s="6" t="s">
        <v>315</v>
      </c>
      <c r="F43" s="6" t="s">
        <v>21</v>
      </c>
      <c r="G43" s="16" t="s">
        <v>307</v>
      </c>
      <c r="H43" s="5" t="s">
        <v>12</v>
      </c>
      <c r="I43" s="4" t="s">
        <v>319</v>
      </c>
      <c r="J43" s="4" t="e">
        <f>IF(SUM(#REF!)=0,"",IF(#REF!&gt;#REF!,"NEGATIVO","POSITIVO"))</f>
        <v>#REF!</v>
      </c>
    </row>
    <row r="44" spans="1:10" ht="42.75" hidden="1" customHeight="1">
      <c r="A44" s="12">
        <v>46</v>
      </c>
      <c r="B44" s="6" t="s">
        <v>9</v>
      </c>
      <c r="C44" s="5" t="s">
        <v>10</v>
      </c>
      <c r="D44" s="5" t="s">
        <v>25</v>
      </c>
      <c r="E44" s="6" t="s">
        <v>140</v>
      </c>
      <c r="F44" s="6" t="s">
        <v>23</v>
      </c>
      <c r="G44" s="6" t="s">
        <v>173</v>
      </c>
      <c r="H44" s="5" t="s">
        <v>12</v>
      </c>
      <c r="I44" s="4" t="s">
        <v>224</v>
      </c>
      <c r="J44" s="4" t="e">
        <f>IF(SUM(#REF!)=0,"",IF(#REF!&gt;#REF!,"NEGATIVO","POSITIVO"))</f>
        <v>#REF!</v>
      </c>
    </row>
    <row r="45" spans="1:10" ht="42.75" hidden="1" customHeight="1">
      <c r="A45" s="12">
        <v>47</v>
      </c>
      <c r="B45" s="6" t="s">
        <v>9</v>
      </c>
      <c r="C45" s="5" t="s">
        <v>10</v>
      </c>
      <c r="D45" s="5" t="s">
        <v>25</v>
      </c>
      <c r="E45" s="6" t="s">
        <v>102</v>
      </c>
      <c r="F45" s="6" t="s">
        <v>20</v>
      </c>
      <c r="G45" s="6" t="s">
        <v>247</v>
      </c>
      <c r="H45" s="5" t="s">
        <v>12</v>
      </c>
      <c r="I45" s="4" t="s">
        <v>224</v>
      </c>
      <c r="J45" s="4" t="e">
        <f>IF(SUM(#REF!)=0,"",IF(#REF!&gt;#REF!,"NEGATIVO","POSITIVO"))</f>
        <v>#REF!</v>
      </c>
    </row>
    <row r="46" spans="1:10" ht="42.75" customHeight="1">
      <c r="A46" s="12">
        <v>50</v>
      </c>
      <c r="B46" s="12" t="s">
        <v>220</v>
      </c>
      <c r="C46" s="5" t="s">
        <v>10</v>
      </c>
      <c r="D46" s="5" t="s">
        <v>25</v>
      </c>
      <c r="E46" s="6" t="s">
        <v>315</v>
      </c>
      <c r="F46" s="6" t="s">
        <v>20</v>
      </c>
      <c r="G46" s="16" t="s">
        <v>308</v>
      </c>
      <c r="H46" s="5" t="s">
        <v>309</v>
      </c>
      <c r="I46" s="4" t="s">
        <v>319</v>
      </c>
      <c r="J46" s="4" t="e">
        <f>IF(SUM(#REF!)=0,"",IF(#REF!&gt;#REF!,"NEGATIVO","POSITIVO"))</f>
        <v>#REF!</v>
      </c>
    </row>
    <row r="47" spans="1:10" ht="42.75" hidden="1" customHeight="1">
      <c r="A47" s="12">
        <v>51</v>
      </c>
      <c r="B47" s="6" t="s">
        <v>9</v>
      </c>
      <c r="C47" s="5" t="s">
        <v>10</v>
      </c>
      <c r="D47" s="5" t="s">
        <v>25</v>
      </c>
      <c r="E47" s="6" t="s">
        <v>140</v>
      </c>
      <c r="F47" s="6" t="s">
        <v>23</v>
      </c>
      <c r="G47" s="6" t="s">
        <v>253</v>
      </c>
      <c r="H47" s="5" t="s">
        <v>12</v>
      </c>
      <c r="I47" s="4" t="s">
        <v>224</v>
      </c>
      <c r="J47" s="4" t="e">
        <f>IF(SUM(#REF!)=0,"",IF(#REF!&gt;#REF!,"NEGATIVO","POSITIVO"))</f>
        <v>#REF!</v>
      </c>
    </row>
    <row r="48" spans="1:10" ht="42.75" hidden="1" customHeight="1">
      <c r="A48" s="12">
        <v>52</v>
      </c>
      <c r="B48" s="6" t="s">
        <v>9</v>
      </c>
      <c r="C48" s="5" t="s">
        <v>10</v>
      </c>
      <c r="D48" s="5" t="s">
        <v>25</v>
      </c>
      <c r="E48" s="6" t="s">
        <v>140</v>
      </c>
      <c r="F48" s="6" t="s">
        <v>23</v>
      </c>
      <c r="G48" s="6" t="s">
        <v>291</v>
      </c>
      <c r="H48" s="5" t="s">
        <v>12</v>
      </c>
      <c r="I48" s="4" t="s">
        <v>224</v>
      </c>
      <c r="J48" s="4" t="e">
        <f>IF(SUM(#REF!)=0,"",IF(#REF!&gt;#REF!,"NEGATIVO","POSITIVO"))</f>
        <v>#REF!</v>
      </c>
    </row>
    <row r="49" spans="1:10" ht="42.75" hidden="1" customHeight="1">
      <c r="A49" s="12">
        <v>53</v>
      </c>
      <c r="B49" s="6" t="s">
        <v>9</v>
      </c>
      <c r="C49" s="5" t="s">
        <v>10</v>
      </c>
      <c r="D49" s="5" t="s">
        <v>25</v>
      </c>
      <c r="E49" s="6" t="s">
        <v>140</v>
      </c>
      <c r="F49" s="6" t="s">
        <v>23</v>
      </c>
      <c r="G49" s="6" t="s">
        <v>248</v>
      </c>
      <c r="H49" s="5" t="s">
        <v>15</v>
      </c>
      <c r="I49" s="4" t="s">
        <v>224</v>
      </c>
      <c r="J49" s="4" t="e">
        <f>IF(SUM(#REF!)=0,"",IF(#REF!&gt;#REF!,"NEGATIVO","POSITIVO"))</f>
        <v>#REF!</v>
      </c>
    </row>
    <row r="50" spans="1:10" s="3" customFormat="1" ht="42.75" hidden="1" customHeight="1">
      <c r="A50" s="12">
        <v>54</v>
      </c>
      <c r="B50" s="6" t="s">
        <v>6</v>
      </c>
      <c r="C50" s="5" t="s">
        <v>10</v>
      </c>
      <c r="D50" s="5" t="s">
        <v>25</v>
      </c>
      <c r="E50" s="6" t="s">
        <v>102</v>
      </c>
      <c r="F50" s="6" t="s">
        <v>23</v>
      </c>
      <c r="G50" s="6" t="s">
        <v>110</v>
      </c>
      <c r="H50" s="5" t="s">
        <v>12</v>
      </c>
      <c r="I50" s="4" t="s">
        <v>224</v>
      </c>
      <c r="J50" s="4" t="e">
        <f>IF(SUM(#REF!)=0,"",IF(#REF!&gt;#REF!,"NEGATIVO","POSITIVO"))</f>
        <v>#REF!</v>
      </c>
    </row>
    <row r="51" spans="1:10" ht="42.75" hidden="1" customHeight="1">
      <c r="A51" s="12">
        <v>55</v>
      </c>
      <c r="B51" s="6" t="s">
        <v>9</v>
      </c>
      <c r="C51" s="5" t="s">
        <v>10</v>
      </c>
      <c r="D51" s="5" t="s">
        <v>25</v>
      </c>
      <c r="E51" s="6" t="s">
        <v>102</v>
      </c>
      <c r="F51" s="6" t="s">
        <v>23</v>
      </c>
      <c r="G51" s="6" t="s">
        <v>106</v>
      </c>
      <c r="H51" s="5" t="s">
        <v>12</v>
      </c>
      <c r="I51" s="4" t="s">
        <v>224</v>
      </c>
      <c r="J51" s="4" t="e">
        <f>IF(SUM(#REF!)=0,"",IF(#REF!&gt;#REF!,"NEGATIVO","POSITIVO"))</f>
        <v>#REF!</v>
      </c>
    </row>
    <row r="52" spans="1:10" ht="42.75" hidden="1" customHeight="1">
      <c r="A52" s="12">
        <v>56</v>
      </c>
      <c r="B52" s="6" t="s">
        <v>9</v>
      </c>
      <c r="C52" s="5" t="s">
        <v>10</v>
      </c>
      <c r="D52" s="5" t="s">
        <v>25</v>
      </c>
      <c r="E52" s="6" t="s">
        <v>102</v>
      </c>
      <c r="F52" s="6" t="s">
        <v>19</v>
      </c>
      <c r="G52" s="6" t="s">
        <v>249</v>
      </c>
      <c r="H52" s="5" t="s">
        <v>12</v>
      </c>
      <c r="I52" s="4" t="s">
        <v>224</v>
      </c>
      <c r="J52" s="4" t="e">
        <f>IF(SUM(#REF!)=0,"",IF(#REF!&gt;#REF!,"NEGATIVO","POSITIVO"))</f>
        <v>#REF!</v>
      </c>
    </row>
    <row r="53" spans="1:10" ht="42.75" hidden="1" customHeight="1">
      <c r="A53" s="12">
        <v>57</v>
      </c>
      <c r="B53" s="6" t="s">
        <v>9</v>
      </c>
      <c r="C53" s="5" t="s">
        <v>10</v>
      </c>
      <c r="D53" s="5" t="s">
        <v>25</v>
      </c>
      <c r="E53" s="6" t="s">
        <v>102</v>
      </c>
      <c r="F53" s="6" t="s">
        <v>18</v>
      </c>
      <c r="G53" s="6" t="s">
        <v>250</v>
      </c>
      <c r="H53" s="5" t="s">
        <v>12</v>
      </c>
      <c r="I53" s="4" t="s">
        <v>224</v>
      </c>
      <c r="J53" s="4" t="e">
        <f>IF(SUM(#REF!)=0,"",IF(#REF!&gt;#REF!,"NEGATIVO","POSITIVO"))</f>
        <v>#REF!</v>
      </c>
    </row>
    <row r="54" spans="1:10" s="3" customFormat="1" ht="42.75" hidden="1" customHeight="1">
      <c r="A54" s="12">
        <v>58</v>
      </c>
      <c r="B54" s="6" t="s">
        <v>6</v>
      </c>
      <c r="C54" s="5" t="s">
        <v>10</v>
      </c>
      <c r="D54" s="5" t="s">
        <v>25</v>
      </c>
      <c r="E54" s="6" t="s">
        <v>102</v>
      </c>
      <c r="F54" s="6" t="s">
        <v>23</v>
      </c>
      <c r="G54" s="6" t="s">
        <v>107</v>
      </c>
      <c r="H54" s="5" t="s">
        <v>12</v>
      </c>
      <c r="I54" s="4" t="s">
        <v>224</v>
      </c>
      <c r="J54" s="4" t="e">
        <f>IF(SUM(#REF!)=0,"",IF(#REF!&gt;#REF!,"NEGATIVO","POSITIVO"))</f>
        <v>#REF!</v>
      </c>
    </row>
    <row r="55" spans="1:10" s="3" customFormat="1" ht="80.25" hidden="1" customHeight="1">
      <c r="A55" s="12">
        <v>59</v>
      </c>
      <c r="B55" s="12" t="s">
        <v>220</v>
      </c>
      <c r="C55" s="5" t="s">
        <v>10</v>
      </c>
      <c r="D55" s="5" t="s">
        <v>25</v>
      </c>
      <c r="E55" s="6" t="s">
        <v>102</v>
      </c>
      <c r="F55" s="6" t="s">
        <v>23</v>
      </c>
      <c r="G55" s="6" t="s">
        <v>108</v>
      </c>
      <c r="H55" s="5" t="s">
        <v>12</v>
      </c>
      <c r="I55" s="4" t="s">
        <v>320</v>
      </c>
      <c r="J55" s="4" t="e">
        <f>IF(SUM(#REF!)=0,"",IF(#REF!&gt;#REF!,"NEGATIVO","POSITIVO"))</f>
        <v>#REF!</v>
      </c>
    </row>
    <row r="56" spans="1:10" s="3" customFormat="1" ht="42.75" customHeight="1">
      <c r="A56" s="12">
        <v>60</v>
      </c>
      <c r="B56" s="12" t="s">
        <v>220</v>
      </c>
      <c r="C56" s="5" t="s">
        <v>10</v>
      </c>
      <c r="D56" s="5" t="s">
        <v>25</v>
      </c>
      <c r="E56" s="6" t="s">
        <v>140</v>
      </c>
      <c r="F56" s="6" t="s">
        <v>21</v>
      </c>
      <c r="G56" s="16" t="s">
        <v>298</v>
      </c>
      <c r="H56" s="5" t="s">
        <v>14</v>
      </c>
      <c r="I56" s="4" t="s">
        <v>319</v>
      </c>
      <c r="J56" s="4" t="e">
        <f>IF(SUM(#REF!)=0,"",IF(#REF!&gt;#REF!,"NEGATIVO","POSITIVO"))</f>
        <v>#REF!</v>
      </c>
    </row>
    <row r="57" spans="1:10" s="3" customFormat="1" ht="42.75" hidden="1" customHeight="1">
      <c r="A57" s="12">
        <v>62</v>
      </c>
      <c r="B57" s="6" t="s">
        <v>6</v>
      </c>
      <c r="C57" s="5" t="s">
        <v>10</v>
      </c>
      <c r="D57" s="5" t="s">
        <v>25</v>
      </c>
      <c r="E57" s="5" t="s">
        <v>102</v>
      </c>
      <c r="F57" s="5" t="s">
        <v>23</v>
      </c>
      <c r="G57" s="5" t="s">
        <v>109</v>
      </c>
      <c r="H57" s="5" t="s">
        <v>12</v>
      </c>
      <c r="I57" s="4" t="s">
        <v>222</v>
      </c>
      <c r="J57" s="4" t="e">
        <f>IF(SUM(#REF!)=0,"",IF(#REF!&gt;#REF!,"NEGATIVO","POSITIVO"))</f>
        <v>#REF!</v>
      </c>
    </row>
    <row r="58" spans="1:10" s="3" customFormat="1" ht="42.75" hidden="1" customHeight="1">
      <c r="A58" s="12">
        <v>63</v>
      </c>
      <c r="B58" s="6" t="s">
        <v>6</v>
      </c>
      <c r="C58" s="5" t="s">
        <v>10</v>
      </c>
      <c r="D58" s="5" t="s">
        <v>25</v>
      </c>
      <c r="E58" s="6" t="s">
        <v>102</v>
      </c>
      <c r="F58" s="6" t="s">
        <v>23</v>
      </c>
      <c r="G58" s="6" t="s">
        <v>215</v>
      </c>
      <c r="H58" s="5" t="s">
        <v>12</v>
      </c>
      <c r="I58" s="4" t="s">
        <v>222</v>
      </c>
      <c r="J58" s="4" t="e">
        <f>IF(SUM(#REF!)=0,"",IF(#REF!&gt;#REF!,"NEGATIVO","POSITIVO"))</f>
        <v>#REF!</v>
      </c>
    </row>
    <row r="59" spans="1:10" s="3" customFormat="1" ht="59.25" customHeight="1">
      <c r="A59" s="12">
        <v>65</v>
      </c>
      <c r="B59" s="6" t="s">
        <v>6</v>
      </c>
      <c r="C59" s="5" t="s">
        <v>10</v>
      </c>
      <c r="D59" s="5" t="s">
        <v>26</v>
      </c>
      <c r="E59" s="6" t="s">
        <v>26</v>
      </c>
      <c r="F59" s="6" t="s">
        <v>20</v>
      </c>
      <c r="G59" s="16" t="s">
        <v>160</v>
      </c>
      <c r="H59" s="5" t="s">
        <v>12</v>
      </c>
      <c r="I59" s="4" t="s">
        <v>317</v>
      </c>
      <c r="J59" s="4" t="e">
        <f>IF(SUM(#REF!)=0,"",IF(#REF!&gt;#REF!,"NEGATIVO","POSITIVO"))</f>
        <v>#REF!</v>
      </c>
    </row>
    <row r="60" spans="1:10" s="3" customFormat="1" ht="59.25" customHeight="1">
      <c r="A60" s="12">
        <v>68</v>
      </c>
      <c r="B60" s="6" t="s">
        <v>6</v>
      </c>
      <c r="C60" s="5" t="s">
        <v>10</v>
      </c>
      <c r="D60" s="5" t="s">
        <v>26</v>
      </c>
      <c r="E60" s="6" t="s">
        <v>26</v>
      </c>
      <c r="F60" s="5" t="s">
        <v>20</v>
      </c>
      <c r="G60" s="16" t="s">
        <v>164</v>
      </c>
      <c r="H60" s="5" t="s">
        <v>12</v>
      </c>
      <c r="I60" s="4" t="s">
        <v>317</v>
      </c>
      <c r="J60" s="4" t="e">
        <f>IF(SUM(#REF!)=0,"",IF(#REF!&gt;#REF!,"NEGATIVO","POSITIVO"))</f>
        <v>#REF!</v>
      </c>
    </row>
    <row r="61" spans="1:10" s="3" customFormat="1" ht="59.25" customHeight="1">
      <c r="A61" s="12">
        <v>69</v>
      </c>
      <c r="B61" s="6" t="s">
        <v>6</v>
      </c>
      <c r="C61" s="5" t="s">
        <v>10</v>
      </c>
      <c r="D61" s="5" t="s">
        <v>26</v>
      </c>
      <c r="E61" s="6" t="s">
        <v>26</v>
      </c>
      <c r="F61" s="5" t="s">
        <v>20</v>
      </c>
      <c r="G61" s="16" t="s">
        <v>165</v>
      </c>
      <c r="H61" s="5" t="s">
        <v>12</v>
      </c>
      <c r="I61" s="4" t="s">
        <v>317</v>
      </c>
      <c r="J61" s="4" t="e">
        <f>IF(SUM(#REF!)=0,"",IF(#REF!&gt;#REF!,"NEGATIVO","POSITIVO"))</f>
        <v>#REF!</v>
      </c>
    </row>
    <row r="62" spans="1:10" s="3" customFormat="1" ht="59.25" customHeight="1">
      <c r="A62" s="12">
        <v>75</v>
      </c>
      <c r="B62" s="6" t="s">
        <v>6</v>
      </c>
      <c r="C62" s="5" t="s">
        <v>10</v>
      </c>
      <c r="D62" s="5" t="s">
        <v>26</v>
      </c>
      <c r="E62" s="6" t="s">
        <v>26</v>
      </c>
      <c r="F62" s="6" t="s">
        <v>20</v>
      </c>
      <c r="G62" s="16" t="s">
        <v>161</v>
      </c>
      <c r="H62" s="5" t="s">
        <v>12</v>
      </c>
      <c r="I62" s="4" t="s">
        <v>317</v>
      </c>
      <c r="J62" s="4" t="e">
        <f>IF(SUM(#REF!)=0,"",IF(#REF!&gt;#REF!,"NEGATIVO","POSITIVO"))</f>
        <v>#REF!</v>
      </c>
    </row>
    <row r="63" spans="1:10" s="3" customFormat="1" ht="59.25" customHeight="1">
      <c r="A63" s="12">
        <v>76</v>
      </c>
      <c r="B63" s="6" t="s">
        <v>6</v>
      </c>
      <c r="C63" s="5" t="s">
        <v>10</v>
      </c>
      <c r="D63" s="5" t="s">
        <v>26</v>
      </c>
      <c r="E63" s="6" t="s">
        <v>26</v>
      </c>
      <c r="F63" s="5" t="s">
        <v>20</v>
      </c>
      <c r="G63" s="16" t="s">
        <v>162</v>
      </c>
      <c r="H63" s="5" t="s">
        <v>12</v>
      </c>
      <c r="I63" s="4" t="s">
        <v>317</v>
      </c>
      <c r="J63" s="4" t="e">
        <f>IF(SUM(#REF!)=0,"",IF(#REF!&gt;#REF!,"NEGATIVO","POSITIVO"))</f>
        <v>#REF!</v>
      </c>
    </row>
    <row r="64" spans="1:10" s="3" customFormat="1" ht="59.25" customHeight="1">
      <c r="A64" s="12">
        <v>77</v>
      </c>
      <c r="B64" s="6" t="s">
        <v>6</v>
      </c>
      <c r="C64" s="5" t="s">
        <v>10</v>
      </c>
      <c r="D64" s="5" t="s">
        <v>26</v>
      </c>
      <c r="E64" s="6" t="s">
        <v>26</v>
      </c>
      <c r="F64" s="5" t="s">
        <v>20</v>
      </c>
      <c r="G64" s="16" t="s">
        <v>163</v>
      </c>
      <c r="H64" s="5" t="s">
        <v>12</v>
      </c>
      <c r="I64" s="4" t="s">
        <v>317</v>
      </c>
      <c r="J64" s="4" t="e">
        <f>IF(SUM(#REF!)=0,"",IF(#REF!&gt;#REF!,"NEGATIVO","POSITIVO"))</f>
        <v>#REF!</v>
      </c>
    </row>
    <row r="65" spans="1:10" s="3" customFormat="1" ht="59.25" customHeight="1">
      <c r="A65" s="12">
        <v>79</v>
      </c>
      <c r="B65" s="6" t="s">
        <v>6</v>
      </c>
      <c r="C65" s="5" t="s">
        <v>10</v>
      </c>
      <c r="D65" s="5" t="s">
        <v>26</v>
      </c>
      <c r="E65" s="6" t="s">
        <v>26</v>
      </c>
      <c r="F65" s="5" t="s">
        <v>20</v>
      </c>
      <c r="G65" s="16" t="s">
        <v>174</v>
      </c>
      <c r="H65" s="5" t="s">
        <v>12</v>
      </c>
      <c r="I65" s="4" t="s">
        <v>317</v>
      </c>
      <c r="J65" s="4" t="e">
        <f>IF(SUM(#REF!)=0,"",IF(#REF!&gt;#REF!,"NEGATIVO","POSITIVO"))</f>
        <v>#REF!</v>
      </c>
    </row>
    <row r="66" spans="1:10" s="3" customFormat="1" ht="59.25" customHeight="1">
      <c r="A66" s="12">
        <v>80</v>
      </c>
      <c r="B66" s="6" t="s">
        <v>6</v>
      </c>
      <c r="C66" s="5" t="s">
        <v>10</v>
      </c>
      <c r="D66" s="5" t="s">
        <v>26</v>
      </c>
      <c r="E66" s="6" t="s">
        <v>26</v>
      </c>
      <c r="F66" s="5" t="s">
        <v>20</v>
      </c>
      <c r="G66" s="16" t="s">
        <v>175</v>
      </c>
      <c r="H66" s="5" t="s">
        <v>12</v>
      </c>
      <c r="I66" s="4" t="s">
        <v>317</v>
      </c>
      <c r="J66" s="4" t="e">
        <f>IF(SUM(#REF!)=0,"",IF(#REF!&gt;#REF!,"NEGATIVO","POSITIVO"))</f>
        <v>#REF!</v>
      </c>
    </row>
    <row r="67" spans="1:10" s="3" customFormat="1" ht="59.25" customHeight="1">
      <c r="A67" s="12">
        <v>81</v>
      </c>
      <c r="B67" s="6" t="s">
        <v>6</v>
      </c>
      <c r="C67" s="5" t="s">
        <v>10</v>
      </c>
      <c r="D67" s="5" t="s">
        <v>26</v>
      </c>
      <c r="E67" s="6" t="s">
        <v>26</v>
      </c>
      <c r="F67" s="5" t="s">
        <v>20</v>
      </c>
      <c r="G67" s="16" t="s">
        <v>176</v>
      </c>
      <c r="H67" s="5" t="s">
        <v>12</v>
      </c>
      <c r="I67" s="4" t="s">
        <v>317</v>
      </c>
      <c r="J67" s="4" t="e">
        <f>IF(SUM(#REF!)=0,"",IF(#REF!&gt;#REF!,"NEGATIVO","POSITIVO"))</f>
        <v>#REF!</v>
      </c>
    </row>
    <row r="68" spans="1:10" s="3" customFormat="1" ht="59.25" customHeight="1">
      <c r="A68" s="12">
        <v>96</v>
      </c>
      <c r="B68" s="6" t="s">
        <v>6</v>
      </c>
      <c r="C68" s="5" t="s">
        <v>10</v>
      </c>
      <c r="D68" s="5" t="s">
        <v>26</v>
      </c>
      <c r="E68" s="6" t="s">
        <v>26</v>
      </c>
      <c r="F68" s="6" t="s">
        <v>20</v>
      </c>
      <c r="G68" s="16" t="s">
        <v>166</v>
      </c>
      <c r="H68" s="5" t="s">
        <v>12</v>
      </c>
      <c r="I68" s="4" t="s">
        <v>317</v>
      </c>
      <c r="J68" s="4" t="e">
        <f>IF(SUM(#REF!)=0,"",IF(#REF!&gt;#REF!,"NEGATIVO","POSITIVO"))</f>
        <v>#REF!</v>
      </c>
    </row>
    <row r="69" spans="1:10" s="3" customFormat="1" ht="59.25" customHeight="1">
      <c r="A69" s="12">
        <v>97</v>
      </c>
      <c r="B69" s="6" t="s">
        <v>6</v>
      </c>
      <c r="C69" s="5" t="s">
        <v>10</v>
      </c>
      <c r="D69" s="5" t="s">
        <v>26</v>
      </c>
      <c r="E69" s="6" t="s">
        <v>26</v>
      </c>
      <c r="F69" s="6" t="s">
        <v>20</v>
      </c>
      <c r="G69" s="16" t="s">
        <v>167</v>
      </c>
      <c r="H69" s="5" t="s">
        <v>12</v>
      </c>
      <c r="I69" s="4" t="s">
        <v>317</v>
      </c>
      <c r="J69" s="4" t="e">
        <f>IF(SUM(#REF!)=0,"",IF(#REF!&gt;#REF!,"NEGATIVO","POSITIVO"))</f>
        <v>#REF!</v>
      </c>
    </row>
    <row r="70" spans="1:10" s="3" customFormat="1" ht="59.25" customHeight="1">
      <c r="A70" s="12">
        <v>101</v>
      </c>
      <c r="B70" s="6" t="s">
        <v>6</v>
      </c>
      <c r="C70" s="5" t="s">
        <v>10</v>
      </c>
      <c r="D70" s="5" t="s">
        <v>26</v>
      </c>
      <c r="E70" s="6" t="s">
        <v>26</v>
      </c>
      <c r="F70" s="6" t="s">
        <v>20</v>
      </c>
      <c r="G70" s="16" t="s">
        <v>168</v>
      </c>
      <c r="H70" s="5" t="s">
        <v>12</v>
      </c>
      <c r="I70" s="4" t="s">
        <v>317</v>
      </c>
      <c r="J70" s="4" t="e">
        <f>IF(SUM(#REF!)=0,"",IF(#REF!&gt;#REF!,"NEGATIVO","POSITIVO"))</f>
        <v>#REF!</v>
      </c>
    </row>
    <row r="71" spans="1:10" s="3" customFormat="1" ht="59.25" customHeight="1">
      <c r="A71" s="12">
        <v>108</v>
      </c>
      <c r="B71" s="6" t="s">
        <v>6</v>
      </c>
      <c r="C71" s="5" t="s">
        <v>10</v>
      </c>
      <c r="D71" s="5" t="s">
        <v>26</v>
      </c>
      <c r="E71" s="6" t="s">
        <v>26</v>
      </c>
      <c r="F71" s="5" t="s">
        <v>20</v>
      </c>
      <c r="G71" s="16" t="s">
        <v>125</v>
      </c>
      <c r="H71" s="5" t="s">
        <v>12</v>
      </c>
      <c r="I71" s="4" t="s">
        <v>317</v>
      </c>
      <c r="J71" s="4" t="e">
        <f>IF(SUM(#REF!)=0,"",IF(#REF!&gt;#REF!,"NEGATIVO","POSITIVO"))</f>
        <v>#REF!</v>
      </c>
    </row>
    <row r="72" spans="1:10" s="3" customFormat="1" ht="42.75" hidden="1" customHeight="1">
      <c r="A72" s="12">
        <v>110</v>
      </c>
      <c r="B72" s="6" t="s">
        <v>6</v>
      </c>
      <c r="C72" s="5" t="s">
        <v>10</v>
      </c>
      <c r="D72" s="5" t="s">
        <v>24</v>
      </c>
      <c r="E72" s="6" t="s">
        <v>48</v>
      </c>
      <c r="F72" s="6" t="s">
        <v>23</v>
      </c>
      <c r="G72" s="6" t="s">
        <v>181</v>
      </c>
      <c r="H72" s="5" t="s">
        <v>12</v>
      </c>
      <c r="I72" s="4" t="s">
        <v>222</v>
      </c>
      <c r="J72" s="4" t="e">
        <f>IF(SUM(#REF!)=0,"",IF(#REF!&gt;#REF!,"NEGATIVO","POSITIVO"))</f>
        <v>#REF!</v>
      </c>
    </row>
    <row r="73" spans="1:10" s="3" customFormat="1" ht="42.75" hidden="1" customHeight="1">
      <c r="A73" s="12">
        <v>111</v>
      </c>
      <c r="B73" s="6" t="s">
        <v>6</v>
      </c>
      <c r="C73" s="5" t="s">
        <v>10</v>
      </c>
      <c r="D73" s="5" t="s">
        <v>24</v>
      </c>
      <c r="E73" s="6" t="s">
        <v>48</v>
      </c>
      <c r="F73" s="6" t="s">
        <v>23</v>
      </c>
      <c r="G73" s="6" t="s">
        <v>182</v>
      </c>
      <c r="H73" s="5" t="s">
        <v>12</v>
      </c>
      <c r="I73" s="4" t="s">
        <v>222</v>
      </c>
      <c r="J73" s="4" t="e">
        <f>IF(SUM(#REF!)=0,"",IF(#REF!&gt;#REF!,"NEGATIVO","POSITIVO"))</f>
        <v>#REF!</v>
      </c>
    </row>
    <row r="74" spans="1:10" s="3" customFormat="1" ht="42.75" hidden="1" customHeight="1">
      <c r="A74" s="12">
        <v>112</v>
      </c>
      <c r="B74" s="6" t="s">
        <v>6</v>
      </c>
      <c r="C74" s="5" t="s">
        <v>10</v>
      </c>
      <c r="D74" s="5" t="s">
        <v>24</v>
      </c>
      <c r="E74" s="6" t="s">
        <v>48</v>
      </c>
      <c r="F74" s="6" t="s">
        <v>23</v>
      </c>
      <c r="G74" s="6" t="s">
        <v>183</v>
      </c>
      <c r="H74" s="5" t="s">
        <v>12</v>
      </c>
      <c r="I74" s="4" t="s">
        <v>222</v>
      </c>
      <c r="J74" s="4" t="e">
        <f>IF(SUM(#REF!)=0,"",IF(#REF!&gt;#REF!,"NEGATIVO","POSITIVO"))</f>
        <v>#REF!</v>
      </c>
    </row>
    <row r="75" spans="1:10" s="3" customFormat="1" ht="42.75" hidden="1" customHeight="1">
      <c r="A75" s="12">
        <v>113</v>
      </c>
      <c r="B75" s="6" t="s">
        <v>6</v>
      </c>
      <c r="C75" s="5" t="s">
        <v>10</v>
      </c>
      <c r="D75" s="5" t="s">
        <v>24</v>
      </c>
      <c r="E75" s="6" t="s">
        <v>48</v>
      </c>
      <c r="F75" s="6" t="s">
        <v>23</v>
      </c>
      <c r="G75" s="6" t="s">
        <v>184</v>
      </c>
      <c r="H75" s="5" t="s">
        <v>12</v>
      </c>
      <c r="I75" s="4" t="s">
        <v>222</v>
      </c>
      <c r="J75" s="4" t="e">
        <f>IF(SUM(#REF!)=0,"",IF(#REF!&gt;#REF!,"NEGATIVO","POSITIVO"))</f>
        <v>#REF!</v>
      </c>
    </row>
    <row r="76" spans="1:10" s="3" customFormat="1" ht="42.75" hidden="1" customHeight="1">
      <c r="A76" s="12">
        <v>114</v>
      </c>
      <c r="B76" s="6" t="s">
        <v>6</v>
      </c>
      <c r="C76" s="5" t="s">
        <v>10</v>
      </c>
      <c r="D76" s="5" t="s">
        <v>24</v>
      </c>
      <c r="E76" s="6" t="s">
        <v>48</v>
      </c>
      <c r="F76" s="6" t="s">
        <v>23</v>
      </c>
      <c r="G76" s="6" t="s">
        <v>185</v>
      </c>
      <c r="H76" s="5" t="s">
        <v>12</v>
      </c>
      <c r="I76" s="4" t="s">
        <v>222</v>
      </c>
      <c r="J76" s="4" t="e">
        <f>IF(SUM(#REF!)=0,"",IF(#REF!&gt;#REF!,"NEGATIVO","POSITIVO"))</f>
        <v>#REF!</v>
      </c>
    </row>
    <row r="77" spans="1:10" s="3" customFormat="1" ht="42.75" hidden="1" customHeight="1">
      <c r="A77" s="12">
        <v>115</v>
      </c>
      <c r="B77" s="6" t="s">
        <v>6</v>
      </c>
      <c r="C77" s="5" t="s">
        <v>10</v>
      </c>
      <c r="D77" s="5" t="s">
        <v>24</v>
      </c>
      <c r="E77" s="6" t="s">
        <v>48</v>
      </c>
      <c r="F77" s="6" t="s">
        <v>23</v>
      </c>
      <c r="G77" s="6" t="s">
        <v>186</v>
      </c>
      <c r="H77" s="5" t="s">
        <v>12</v>
      </c>
      <c r="I77" s="4" t="s">
        <v>222</v>
      </c>
      <c r="J77" s="4" t="e">
        <f>IF(SUM(#REF!)=0,"",IF(#REF!&gt;#REF!,"NEGATIVO","POSITIVO"))</f>
        <v>#REF!</v>
      </c>
    </row>
    <row r="78" spans="1:10" s="3" customFormat="1" ht="42.75" hidden="1" customHeight="1">
      <c r="A78" s="12">
        <v>116</v>
      </c>
      <c r="B78" s="6" t="s">
        <v>6</v>
      </c>
      <c r="C78" s="5" t="s">
        <v>10</v>
      </c>
      <c r="D78" s="5" t="s">
        <v>24</v>
      </c>
      <c r="E78" s="6" t="s">
        <v>48</v>
      </c>
      <c r="F78" s="6" t="s">
        <v>23</v>
      </c>
      <c r="G78" s="6" t="s">
        <v>187</v>
      </c>
      <c r="H78" s="5" t="s">
        <v>12</v>
      </c>
      <c r="I78" s="4" t="s">
        <v>222</v>
      </c>
      <c r="J78" s="4" t="e">
        <f>IF(SUM(#REF!)=0,"",IF(#REF!&gt;#REF!,"NEGATIVO","POSITIVO"))</f>
        <v>#REF!</v>
      </c>
    </row>
    <row r="79" spans="1:10" s="3" customFormat="1" ht="42.75" hidden="1" customHeight="1">
      <c r="A79" s="12">
        <v>117</v>
      </c>
      <c r="B79" s="6" t="s">
        <v>6</v>
      </c>
      <c r="C79" s="5" t="s">
        <v>10</v>
      </c>
      <c r="D79" s="5" t="s">
        <v>24</v>
      </c>
      <c r="E79" s="6" t="s">
        <v>48</v>
      </c>
      <c r="F79" s="6" t="s">
        <v>23</v>
      </c>
      <c r="G79" s="6" t="s">
        <v>188</v>
      </c>
      <c r="H79" s="5" t="s">
        <v>12</v>
      </c>
      <c r="I79" s="4" t="s">
        <v>222</v>
      </c>
      <c r="J79" s="4" t="e">
        <f>IF(SUM(#REF!)=0,"",IF(#REF!&gt;#REF!,"NEGATIVO","POSITIVO"))</f>
        <v>#REF!</v>
      </c>
    </row>
    <row r="80" spans="1:10" s="3" customFormat="1" ht="42.75" hidden="1" customHeight="1">
      <c r="A80" s="12">
        <v>118</v>
      </c>
      <c r="B80" s="6" t="s">
        <v>6</v>
      </c>
      <c r="C80" s="5" t="s">
        <v>10</v>
      </c>
      <c r="D80" s="5" t="s">
        <v>24</v>
      </c>
      <c r="E80" s="6" t="s">
        <v>48</v>
      </c>
      <c r="F80" s="6" t="s">
        <v>23</v>
      </c>
      <c r="G80" s="6" t="s">
        <v>189</v>
      </c>
      <c r="H80" s="5" t="s">
        <v>12</v>
      </c>
      <c r="I80" s="4" t="s">
        <v>222</v>
      </c>
      <c r="J80" s="4" t="e">
        <f>IF(SUM(#REF!)=0,"",IF(#REF!&gt;#REF!,"NEGATIVO","POSITIVO"))</f>
        <v>#REF!</v>
      </c>
    </row>
    <row r="81" spans="1:10" s="3" customFormat="1" ht="42.75" hidden="1" customHeight="1">
      <c r="A81" s="12">
        <v>119</v>
      </c>
      <c r="B81" s="6" t="s">
        <v>6</v>
      </c>
      <c r="C81" s="5" t="s">
        <v>10</v>
      </c>
      <c r="D81" s="5" t="s">
        <v>24</v>
      </c>
      <c r="E81" s="6" t="s">
        <v>48</v>
      </c>
      <c r="F81" s="6" t="s">
        <v>23</v>
      </c>
      <c r="G81" s="6" t="s">
        <v>190</v>
      </c>
      <c r="H81" s="5" t="s">
        <v>12</v>
      </c>
      <c r="I81" s="4" t="s">
        <v>222</v>
      </c>
      <c r="J81" s="4" t="e">
        <f>IF(SUM(#REF!)=0,"",IF(#REF!&gt;#REF!,"NEGATIVO","POSITIVO"))</f>
        <v>#REF!</v>
      </c>
    </row>
    <row r="82" spans="1:10" s="3" customFormat="1" ht="42.75" customHeight="1">
      <c r="A82" s="12">
        <v>120</v>
      </c>
      <c r="B82" s="12" t="s">
        <v>23</v>
      </c>
      <c r="C82" s="5" t="s">
        <v>10</v>
      </c>
      <c r="D82" s="5" t="s">
        <v>24</v>
      </c>
      <c r="E82" s="5" t="s">
        <v>48</v>
      </c>
      <c r="F82" s="5" t="s">
        <v>23</v>
      </c>
      <c r="G82" s="16" t="s">
        <v>296</v>
      </c>
      <c r="H82" s="5" t="s">
        <v>12</v>
      </c>
      <c r="I82" s="4" t="s">
        <v>319</v>
      </c>
      <c r="J82" s="4" t="e">
        <f>IF(SUM(#REF!)=0,"",IF(#REF!&gt;#REF!,"NEGATIVO","POSITIVO"))</f>
        <v>#REF!</v>
      </c>
    </row>
    <row r="83" spans="1:10" s="3" customFormat="1" ht="42.75" customHeight="1">
      <c r="A83" s="12">
        <v>121</v>
      </c>
      <c r="B83" s="12" t="s">
        <v>23</v>
      </c>
      <c r="C83" s="5" t="s">
        <v>10</v>
      </c>
      <c r="D83" s="5" t="s">
        <v>24</v>
      </c>
      <c r="E83" s="5" t="s">
        <v>48</v>
      </c>
      <c r="F83" s="5" t="s">
        <v>23</v>
      </c>
      <c r="G83" s="16" t="s">
        <v>321</v>
      </c>
      <c r="H83" s="5" t="s">
        <v>14</v>
      </c>
      <c r="I83" s="4" t="s">
        <v>319</v>
      </c>
      <c r="J83" s="4" t="e">
        <f>IF(SUM(#REF!)=0,"",IF(#REF!&gt;#REF!,"NEGATIVO","POSITIVO"))</f>
        <v>#REF!</v>
      </c>
    </row>
    <row r="84" spans="1:10" s="3" customFormat="1" ht="42.75" hidden="1" customHeight="1">
      <c r="A84" s="12">
        <v>122</v>
      </c>
      <c r="B84" s="6" t="s">
        <v>6</v>
      </c>
      <c r="C84" s="5" t="s">
        <v>10</v>
      </c>
      <c r="D84" s="5" t="s">
        <v>24</v>
      </c>
      <c r="E84" s="5" t="s">
        <v>48</v>
      </c>
      <c r="F84" s="5" t="s">
        <v>21</v>
      </c>
      <c r="G84" s="5" t="s">
        <v>195</v>
      </c>
      <c r="H84" s="5" t="s">
        <v>12</v>
      </c>
      <c r="I84" s="4" t="s">
        <v>222</v>
      </c>
      <c r="J84" s="4" t="e">
        <f>IF(SUM(#REF!)=0,"",IF(#REF!&gt;#REF!,"NEGATIVO","POSITIVO"))</f>
        <v>#REF!</v>
      </c>
    </row>
    <row r="85" spans="1:10" s="3" customFormat="1" ht="42.75" hidden="1" customHeight="1">
      <c r="A85" s="12">
        <v>124</v>
      </c>
      <c r="B85" s="6" t="s">
        <v>6</v>
      </c>
      <c r="C85" s="5" t="s">
        <v>10</v>
      </c>
      <c r="D85" s="5" t="s">
        <v>24</v>
      </c>
      <c r="E85" s="6" t="s">
        <v>293</v>
      </c>
      <c r="F85" s="6" t="s">
        <v>23</v>
      </c>
      <c r="G85" s="6" t="s">
        <v>322</v>
      </c>
      <c r="H85" s="5" t="s">
        <v>12</v>
      </c>
      <c r="I85" s="4" t="s">
        <v>222</v>
      </c>
      <c r="J85" s="4" t="e">
        <f>IF(SUM(#REF!)=0,"",IF(#REF!&gt;#REF!,"NEGATIVO","POSITIVO"))</f>
        <v>#REF!</v>
      </c>
    </row>
    <row r="86" spans="1:10" s="3" customFormat="1" ht="42.75" hidden="1" customHeight="1">
      <c r="A86" s="12">
        <v>125</v>
      </c>
      <c r="B86" s="6" t="s">
        <v>6</v>
      </c>
      <c r="C86" s="5" t="s">
        <v>10</v>
      </c>
      <c r="D86" s="5" t="s">
        <v>24</v>
      </c>
      <c r="E86" s="6" t="s">
        <v>293</v>
      </c>
      <c r="F86" s="6" t="s">
        <v>23</v>
      </c>
      <c r="G86" s="6" t="s">
        <v>323</v>
      </c>
      <c r="H86" s="5" t="s">
        <v>12</v>
      </c>
      <c r="I86" s="4" t="s">
        <v>222</v>
      </c>
      <c r="J86" s="4" t="e">
        <f>IF(SUM(#REF!)=0,"",IF(#REF!&gt;#REF!,"NEGATIVO","POSITIVO"))</f>
        <v>#REF!</v>
      </c>
    </row>
    <row r="87" spans="1:10" s="3" customFormat="1" ht="42.75" hidden="1" customHeight="1">
      <c r="A87" s="12">
        <v>126</v>
      </c>
      <c r="B87" s="6" t="s">
        <v>6</v>
      </c>
      <c r="C87" s="5" t="s">
        <v>10</v>
      </c>
      <c r="D87" s="5" t="s">
        <v>24</v>
      </c>
      <c r="E87" s="6" t="s">
        <v>293</v>
      </c>
      <c r="F87" s="6" t="s">
        <v>23</v>
      </c>
      <c r="G87" s="6" t="s">
        <v>324</v>
      </c>
      <c r="H87" s="5" t="s">
        <v>12</v>
      </c>
      <c r="I87" s="4" t="s">
        <v>222</v>
      </c>
      <c r="J87" s="4" t="e">
        <f>IF(SUM(#REF!)=0,"",IF(#REF!&gt;#REF!,"NEGATIVO","POSITIVO"))</f>
        <v>#REF!</v>
      </c>
    </row>
    <row r="88" spans="1:10" s="3" customFormat="1" ht="42.75" hidden="1" customHeight="1">
      <c r="A88" s="12">
        <v>127</v>
      </c>
      <c r="B88" s="6" t="s">
        <v>6</v>
      </c>
      <c r="C88" s="5" t="s">
        <v>10</v>
      </c>
      <c r="D88" s="5" t="s">
        <v>24</v>
      </c>
      <c r="E88" s="6" t="s">
        <v>293</v>
      </c>
      <c r="F88" s="6" t="s">
        <v>23</v>
      </c>
      <c r="G88" s="6" t="s">
        <v>325</v>
      </c>
      <c r="H88" s="5" t="s">
        <v>12</v>
      </c>
      <c r="I88" s="4" t="s">
        <v>222</v>
      </c>
      <c r="J88" s="4" t="e">
        <f>IF(SUM(#REF!)=0,"",IF(#REF!&gt;#REF!,"NEGATIVO","POSITIVO"))</f>
        <v>#REF!</v>
      </c>
    </row>
    <row r="89" spans="1:10" s="3" customFormat="1" ht="42.75" hidden="1" customHeight="1">
      <c r="A89" s="12">
        <v>128</v>
      </c>
      <c r="B89" s="6" t="s">
        <v>6</v>
      </c>
      <c r="C89" s="5" t="s">
        <v>10</v>
      </c>
      <c r="D89" s="5" t="s">
        <v>24</v>
      </c>
      <c r="E89" s="6" t="s">
        <v>293</v>
      </c>
      <c r="F89" s="6" t="s">
        <v>23</v>
      </c>
      <c r="G89" s="6" t="s">
        <v>326</v>
      </c>
      <c r="H89" s="5" t="s">
        <v>12</v>
      </c>
      <c r="I89" s="4" t="s">
        <v>222</v>
      </c>
      <c r="J89" s="4" t="e">
        <f>IF(SUM(#REF!)=0,"",IF(#REF!&gt;#REF!,"NEGATIVO","POSITIVO"))</f>
        <v>#REF!</v>
      </c>
    </row>
    <row r="90" spans="1:10" s="3" customFormat="1" ht="42.75" hidden="1" customHeight="1">
      <c r="A90" s="12">
        <v>129</v>
      </c>
      <c r="B90" s="6" t="s">
        <v>6</v>
      </c>
      <c r="C90" s="5" t="s">
        <v>10</v>
      </c>
      <c r="D90" s="5" t="s">
        <v>24</v>
      </c>
      <c r="E90" s="6" t="s">
        <v>293</v>
      </c>
      <c r="F90" s="6" t="s">
        <v>23</v>
      </c>
      <c r="G90" s="6" t="s">
        <v>327</v>
      </c>
      <c r="H90" s="5" t="s">
        <v>12</v>
      </c>
      <c r="I90" s="4" t="s">
        <v>222</v>
      </c>
      <c r="J90" s="4" t="e">
        <f>IF(SUM(#REF!)=0,"",IF(#REF!&gt;#REF!,"NEGATIVO","POSITIVO"))</f>
        <v>#REF!</v>
      </c>
    </row>
    <row r="91" spans="1:10" s="3" customFormat="1" ht="42.75" hidden="1" customHeight="1">
      <c r="A91" s="12">
        <v>130</v>
      </c>
      <c r="B91" s="6" t="s">
        <v>6</v>
      </c>
      <c r="C91" s="5" t="s">
        <v>10</v>
      </c>
      <c r="D91" s="5" t="s">
        <v>24</v>
      </c>
      <c r="E91" s="6" t="s">
        <v>293</v>
      </c>
      <c r="F91" s="6" t="s">
        <v>23</v>
      </c>
      <c r="G91" s="6" t="s">
        <v>328</v>
      </c>
      <c r="H91" s="5" t="s">
        <v>12</v>
      </c>
      <c r="I91" s="4" t="s">
        <v>222</v>
      </c>
      <c r="J91" s="4" t="e">
        <f>IF(SUM(#REF!)=0,"",IF(#REF!&gt;#REF!,"NEGATIVO","POSITIVO"))</f>
        <v>#REF!</v>
      </c>
    </row>
    <row r="92" spans="1:10" s="3" customFormat="1" ht="42.75" hidden="1" customHeight="1">
      <c r="A92" s="12">
        <v>131</v>
      </c>
      <c r="B92" s="6" t="s">
        <v>6</v>
      </c>
      <c r="C92" s="5" t="s">
        <v>10</v>
      </c>
      <c r="D92" s="5" t="s">
        <v>24</v>
      </c>
      <c r="E92" s="6" t="s">
        <v>293</v>
      </c>
      <c r="F92" s="6" t="s">
        <v>23</v>
      </c>
      <c r="G92" s="6" t="s">
        <v>329</v>
      </c>
      <c r="H92" s="5" t="s">
        <v>12</v>
      </c>
      <c r="I92" s="4" t="s">
        <v>222</v>
      </c>
      <c r="J92" s="4" t="e">
        <f>IF(SUM(#REF!)=0,"",IF(#REF!&gt;#REF!,"NEGATIVO","POSITIVO"))</f>
        <v>#REF!</v>
      </c>
    </row>
    <row r="93" spans="1:10" s="3" customFormat="1" ht="42.75" customHeight="1">
      <c r="A93" s="12">
        <v>132</v>
      </c>
      <c r="B93" s="12" t="s">
        <v>312</v>
      </c>
      <c r="C93" s="5" t="s">
        <v>8</v>
      </c>
      <c r="D93" s="5" t="s">
        <v>27</v>
      </c>
      <c r="E93" s="6" t="s">
        <v>139</v>
      </c>
      <c r="F93" s="6" t="s">
        <v>22</v>
      </c>
      <c r="G93" s="16" t="s">
        <v>313</v>
      </c>
      <c r="H93" s="5" t="s">
        <v>12</v>
      </c>
      <c r="I93" s="4" t="s">
        <v>319</v>
      </c>
      <c r="J93" s="4" t="e">
        <f>IF(SUM(#REF!)=0,"",IF(#REF!&gt;#REF!,"NEGATIVO","POSITIVO"))</f>
        <v>#REF!</v>
      </c>
    </row>
    <row r="94" spans="1:10" s="3" customFormat="1" ht="42.75" hidden="1" customHeight="1">
      <c r="A94" s="12">
        <v>133</v>
      </c>
      <c r="B94" s="6" t="s">
        <v>9</v>
      </c>
      <c r="C94" s="5" t="s">
        <v>8</v>
      </c>
      <c r="D94" s="5" t="s">
        <v>27</v>
      </c>
      <c r="E94" s="5" t="s">
        <v>139</v>
      </c>
      <c r="F94" s="5" t="s">
        <v>22</v>
      </c>
      <c r="G94" s="13" t="s">
        <v>331</v>
      </c>
      <c r="H94" s="5" t="s">
        <v>12</v>
      </c>
      <c r="I94" s="4" t="s">
        <v>222</v>
      </c>
      <c r="J94" s="4" t="e">
        <f>IF(SUM(#REF!)=0,"",IF(#REF!&gt;#REF!,"NEGATIVO","POSITIVO"))</f>
        <v>#REF!</v>
      </c>
    </row>
    <row r="95" spans="1:10" s="3" customFormat="1" ht="42.75" hidden="1" customHeight="1">
      <c r="A95" s="12">
        <v>150</v>
      </c>
      <c r="B95" s="6" t="s">
        <v>6</v>
      </c>
      <c r="C95" s="5" t="s">
        <v>10</v>
      </c>
      <c r="D95" s="5" t="s">
        <v>219</v>
      </c>
      <c r="E95" s="5" t="s">
        <v>299</v>
      </c>
      <c r="F95" s="5" t="s">
        <v>20</v>
      </c>
      <c r="G95" s="6" t="s">
        <v>301</v>
      </c>
      <c r="H95" s="5" t="s">
        <v>12</v>
      </c>
      <c r="I95" s="4" t="s">
        <v>222</v>
      </c>
      <c r="J95" s="4" t="e">
        <f>IF(SUM(#REF!)=0,"",IF(#REF!&gt;#REF!,"NEGATIVO","POSITIVO"))</f>
        <v>#REF!</v>
      </c>
    </row>
    <row r="96" spans="1:10" s="3" customFormat="1" ht="42.75" hidden="1" customHeight="1">
      <c r="A96" s="12">
        <v>151</v>
      </c>
      <c r="B96" s="6" t="s">
        <v>6</v>
      </c>
      <c r="C96" s="5" t="s">
        <v>10</v>
      </c>
      <c r="D96" s="5" t="s">
        <v>219</v>
      </c>
      <c r="E96" s="5" t="s">
        <v>299</v>
      </c>
      <c r="F96" s="5" t="s">
        <v>20</v>
      </c>
      <c r="G96" s="6" t="s">
        <v>200</v>
      </c>
      <c r="H96" s="5" t="s">
        <v>12</v>
      </c>
      <c r="I96" s="4" t="s">
        <v>222</v>
      </c>
      <c r="J96" s="4" t="e">
        <f>IF(SUM(#REF!)=0,"",IF(#REF!&gt;#REF!,"NEGATIVO","POSITIVO"))</f>
        <v>#REF!</v>
      </c>
    </row>
    <row r="97" spans="1:10" s="3" customFormat="1" ht="42.75" hidden="1" customHeight="1">
      <c r="A97" s="12">
        <v>152</v>
      </c>
      <c r="B97" s="6" t="s">
        <v>6</v>
      </c>
      <c r="C97" s="5" t="s">
        <v>10</v>
      </c>
      <c r="D97" s="5" t="s">
        <v>219</v>
      </c>
      <c r="E97" s="5" t="s">
        <v>299</v>
      </c>
      <c r="F97" s="5" t="s">
        <v>20</v>
      </c>
      <c r="G97" s="6" t="s">
        <v>300</v>
      </c>
      <c r="H97" s="5" t="s">
        <v>12</v>
      </c>
      <c r="I97" s="4" t="s">
        <v>222</v>
      </c>
      <c r="J97" s="4" t="e">
        <f>IF(SUM(#REF!)=0,"",IF(#REF!&gt;#REF!,"NEGATIVO","POSITIVO"))</f>
        <v>#REF!</v>
      </c>
    </row>
    <row r="98" spans="1:10" s="3" customFormat="1" ht="42.75" hidden="1" customHeight="1">
      <c r="A98" s="12">
        <v>153</v>
      </c>
      <c r="B98" s="6" t="s">
        <v>6</v>
      </c>
      <c r="C98" s="5" t="s">
        <v>10</v>
      </c>
      <c r="D98" s="5" t="s">
        <v>219</v>
      </c>
      <c r="E98" s="5" t="s">
        <v>299</v>
      </c>
      <c r="F98" s="5" t="s">
        <v>20</v>
      </c>
      <c r="G98" s="6" t="s">
        <v>318</v>
      </c>
      <c r="H98" s="5" t="s">
        <v>12</v>
      </c>
      <c r="I98" s="4" t="s">
        <v>222</v>
      </c>
      <c r="J98" s="4" t="e">
        <f>IF(SUM(#REF!)=0,"",IF(#REF!&gt;#REF!,"NEGATIVO","POSITIVO"))</f>
        <v>#REF!</v>
      </c>
    </row>
    <row r="99" spans="1:10" s="3" customFormat="1" ht="42.75" hidden="1" customHeight="1">
      <c r="A99" s="12">
        <v>156</v>
      </c>
      <c r="B99" s="6" t="s">
        <v>6</v>
      </c>
      <c r="C99" s="5" t="s">
        <v>10</v>
      </c>
      <c r="D99" s="5" t="s">
        <v>219</v>
      </c>
      <c r="E99" s="5" t="s">
        <v>299</v>
      </c>
      <c r="F99" s="5" t="s">
        <v>18</v>
      </c>
      <c r="G99" s="6" t="s">
        <v>130</v>
      </c>
      <c r="H99" s="5" t="s">
        <v>12</v>
      </c>
      <c r="I99" s="4" t="s">
        <v>222</v>
      </c>
      <c r="J99" s="4" t="e">
        <f>IF(SUM(#REF!)=0,"",IF(#REF!&gt;#REF!,"NEGATIVO","POSITIVO"))</f>
        <v>#REF!</v>
      </c>
    </row>
    <row r="100" spans="1:10" s="3" customFormat="1" ht="42.75" hidden="1" customHeight="1">
      <c r="A100" s="12">
        <v>157</v>
      </c>
      <c r="B100" s="6" t="s">
        <v>6</v>
      </c>
      <c r="C100" s="5" t="s">
        <v>10</v>
      </c>
      <c r="D100" s="5" t="s">
        <v>219</v>
      </c>
      <c r="E100" s="5" t="s">
        <v>299</v>
      </c>
      <c r="F100" s="5" t="s">
        <v>18</v>
      </c>
      <c r="G100" s="6" t="s">
        <v>131</v>
      </c>
      <c r="H100" s="5" t="s">
        <v>12</v>
      </c>
      <c r="I100" s="4" t="s">
        <v>222</v>
      </c>
      <c r="J100" s="4" t="e">
        <f>IF(SUM(#REF!)=0,"",IF(#REF!&gt;#REF!,"NEGATIVO","POSITIVO"))</f>
        <v>#REF!</v>
      </c>
    </row>
    <row r="101" spans="1:10" s="3" customFormat="1" ht="42.75" hidden="1" customHeight="1">
      <c r="A101" s="12">
        <v>158</v>
      </c>
      <c r="B101" s="6" t="s">
        <v>6</v>
      </c>
      <c r="C101" s="5" t="s">
        <v>10</v>
      </c>
      <c r="D101" s="5" t="s">
        <v>219</v>
      </c>
      <c r="E101" s="5" t="s">
        <v>299</v>
      </c>
      <c r="F101" s="5" t="s">
        <v>18</v>
      </c>
      <c r="G101" s="6" t="s">
        <v>132</v>
      </c>
      <c r="H101" s="5" t="s">
        <v>12</v>
      </c>
      <c r="I101" s="4" t="s">
        <v>222</v>
      </c>
      <c r="J101" s="4" t="e">
        <f>IF(SUM(#REF!)=0,"",IF(#REF!&gt;#REF!,"NEGATIVO","POSITIVO"))</f>
        <v>#REF!</v>
      </c>
    </row>
    <row r="102" spans="1:10" s="3" customFormat="1" ht="42.75" hidden="1" customHeight="1">
      <c r="A102" s="12">
        <v>159</v>
      </c>
      <c r="B102" s="6" t="s">
        <v>6</v>
      </c>
      <c r="C102" s="5" t="s">
        <v>10</v>
      </c>
      <c r="D102" s="5" t="s">
        <v>219</v>
      </c>
      <c r="E102" s="5" t="s">
        <v>299</v>
      </c>
      <c r="F102" s="5" t="s">
        <v>18</v>
      </c>
      <c r="G102" s="6" t="s">
        <v>133</v>
      </c>
      <c r="H102" s="5" t="s">
        <v>12</v>
      </c>
      <c r="I102" s="4" t="s">
        <v>222</v>
      </c>
      <c r="J102" s="4" t="e">
        <f>IF(SUM(#REF!)=0,"",IF(#REF!&gt;#REF!,"NEGATIVO","POSITIVO"))</f>
        <v>#REF!</v>
      </c>
    </row>
    <row r="103" spans="1:10" s="3" customFormat="1" ht="42.75" hidden="1" customHeight="1">
      <c r="A103" s="12">
        <v>160</v>
      </c>
      <c r="B103" s="6" t="s">
        <v>6</v>
      </c>
      <c r="C103" s="5" t="s">
        <v>10</v>
      </c>
      <c r="D103" s="5" t="s">
        <v>219</v>
      </c>
      <c r="E103" s="5" t="s">
        <v>299</v>
      </c>
      <c r="F103" s="5" t="s">
        <v>18</v>
      </c>
      <c r="G103" s="6" t="s">
        <v>117</v>
      </c>
      <c r="H103" s="5" t="s">
        <v>12</v>
      </c>
      <c r="I103" s="4" t="s">
        <v>222</v>
      </c>
      <c r="J103" s="4" t="e">
        <f>IF(SUM(#REF!)=0,"",IF(#REF!&gt;#REF!,"NEGATIVO","POSITIVO"))</f>
        <v>#REF!</v>
      </c>
    </row>
    <row r="104" spans="1:10" s="3" customFormat="1" ht="42.75" hidden="1" customHeight="1">
      <c r="A104" s="12">
        <v>161</v>
      </c>
      <c r="B104" s="6" t="s">
        <v>6</v>
      </c>
      <c r="C104" s="5" t="s">
        <v>10</v>
      </c>
      <c r="D104" s="5" t="s">
        <v>219</v>
      </c>
      <c r="E104" s="5" t="s">
        <v>299</v>
      </c>
      <c r="F104" s="5" t="s">
        <v>18</v>
      </c>
      <c r="G104" s="6" t="s">
        <v>201</v>
      </c>
      <c r="H104" s="5" t="s">
        <v>12</v>
      </c>
      <c r="I104" s="4" t="s">
        <v>222</v>
      </c>
      <c r="J104" s="4" t="e">
        <f>IF(SUM(#REF!)=0,"",IF(#REF!&gt;#REF!,"NEGATIVO","POSITIVO"))</f>
        <v>#REF!</v>
      </c>
    </row>
    <row r="105" spans="1:10" s="3" customFormat="1" ht="42.75" hidden="1" customHeight="1">
      <c r="A105" s="12">
        <v>162</v>
      </c>
      <c r="B105" s="6" t="s">
        <v>6</v>
      </c>
      <c r="C105" s="5" t="s">
        <v>10</v>
      </c>
      <c r="D105" s="5" t="s">
        <v>219</v>
      </c>
      <c r="E105" s="5" t="s">
        <v>299</v>
      </c>
      <c r="F105" s="5" t="s">
        <v>18</v>
      </c>
      <c r="G105" s="6" t="s">
        <v>202</v>
      </c>
      <c r="H105" s="5" t="s">
        <v>12</v>
      </c>
      <c r="I105" s="4" t="s">
        <v>222</v>
      </c>
      <c r="J105" s="4" t="e">
        <f>IF(SUM(#REF!)=0,"",IF(#REF!&gt;#REF!,"NEGATIVO","POSITIVO"))</f>
        <v>#REF!</v>
      </c>
    </row>
    <row r="106" spans="1:10" s="3" customFormat="1" ht="42.75" hidden="1" customHeight="1">
      <c r="A106" s="12">
        <v>163</v>
      </c>
      <c r="B106" s="6" t="s">
        <v>6</v>
      </c>
      <c r="C106" s="5" t="s">
        <v>10</v>
      </c>
      <c r="D106" s="5" t="s">
        <v>219</v>
      </c>
      <c r="E106" s="5" t="s">
        <v>299</v>
      </c>
      <c r="F106" s="5" t="s">
        <v>18</v>
      </c>
      <c r="G106" s="6" t="s">
        <v>203</v>
      </c>
      <c r="H106" s="5" t="s">
        <v>12</v>
      </c>
      <c r="I106" s="4" t="s">
        <v>222</v>
      </c>
      <c r="J106" s="4" t="e">
        <f>IF(SUM(#REF!)=0,"",IF(#REF!&gt;#REF!,"NEGATIVO","POSITIVO"))</f>
        <v>#REF!</v>
      </c>
    </row>
    <row r="107" spans="1:10" s="3" customFormat="1" ht="42.75" customHeight="1">
      <c r="A107" s="12">
        <v>164</v>
      </c>
      <c r="B107" s="12" t="s">
        <v>220</v>
      </c>
      <c r="C107" s="5" t="s">
        <v>10</v>
      </c>
      <c r="D107" s="5" t="s">
        <v>25</v>
      </c>
      <c r="E107" s="5" t="s">
        <v>315</v>
      </c>
      <c r="F107" s="5" t="s">
        <v>18</v>
      </c>
      <c r="G107" s="16" t="s">
        <v>310</v>
      </c>
      <c r="H107" s="5" t="s">
        <v>12</v>
      </c>
      <c r="I107" s="4" t="s">
        <v>319</v>
      </c>
      <c r="J107" s="4" t="e">
        <f>IF(SUM(#REF!)=0,"",IF(#REF!&gt;#REF!,"NEGATIVO","POSITIVO"))</f>
        <v>#REF!</v>
      </c>
    </row>
    <row r="108" spans="1:10" s="3" customFormat="1" ht="42.75" hidden="1" customHeight="1">
      <c r="A108" s="12">
        <v>169</v>
      </c>
      <c r="B108" s="6" t="s">
        <v>9</v>
      </c>
      <c r="C108" s="5" t="s">
        <v>8</v>
      </c>
      <c r="D108" s="5" t="s">
        <v>30</v>
      </c>
      <c r="E108" s="5" t="s">
        <v>134</v>
      </c>
      <c r="F108" s="5" t="s">
        <v>20</v>
      </c>
      <c r="G108" s="6" t="s">
        <v>303</v>
      </c>
      <c r="H108" s="5" t="s">
        <v>12</v>
      </c>
      <c r="I108" s="4" t="s">
        <v>222</v>
      </c>
      <c r="J108" s="4" t="e">
        <f>IF(SUM(#REF!)=0,"",IF(#REF!&gt;#REF!,"NEGATIVO","POSITIVO"))</f>
        <v>#REF!</v>
      </c>
    </row>
    <row r="109" spans="1:10" s="3" customFormat="1" ht="42.75" hidden="1" customHeight="1">
      <c r="A109" s="12">
        <v>170</v>
      </c>
      <c r="B109" s="6" t="s">
        <v>9</v>
      </c>
      <c r="C109" s="5" t="s">
        <v>8</v>
      </c>
      <c r="D109" s="5" t="s">
        <v>30</v>
      </c>
      <c r="E109" s="5" t="s">
        <v>134</v>
      </c>
      <c r="F109" s="5" t="s">
        <v>20</v>
      </c>
      <c r="G109" s="6" t="s">
        <v>302</v>
      </c>
      <c r="H109" s="5" t="s">
        <v>12</v>
      </c>
      <c r="I109" s="4" t="s">
        <v>222</v>
      </c>
      <c r="J109" s="4" t="e">
        <f>IF(SUM(#REF!)=0,"",IF(#REF!&gt;#REF!,"NEGATIVO","POSITIVO"))</f>
        <v>#REF!</v>
      </c>
    </row>
    <row r="110" spans="1:10" s="3" customFormat="1" ht="42.75" hidden="1" customHeight="1">
      <c r="A110" s="12">
        <v>171</v>
      </c>
      <c r="B110" s="6" t="s">
        <v>9</v>
      </c>
      <c r="C110" s="5" t="s">
        <v>8</v>
      </c>
      <c r="D110" s="5" t="s">
        <v>30</v>
      </c>
      <c r="E110" s="5" t="s">
        <v>134</v>
      </c>
      <c r="F110" s="5" t="s">
        <v>18</v>
      </c>
      <c r="G110" s="6" t="s">
        <v>135</v>
      </c>
      <c r="H110" s="5" t="s">
        <v>12</v>
      </c>
      <c r="I110" s="4" t="s">
        <v>222</v>
      </c>
      <c r="J110" s="4" t="e">
        <f>IF(SUM(#REF!)=0,"",IF(#REF!&gt;#REF!,"NEGATIVO","POSITIVO"))</f>
        <v>#REF!</v>
      </c>
    </row>
    <row r="111" spans="1:10" s="3" customFormat="1" ht="42.75" hidden="1" customHeight="1">
      <c r="A111" s="12">
        <v>172</v>
      </c>
      <c r="B111" s="6" t="s">
        <v>9</v>
      </c>
      <c r="C111" s="5" t="s">
        <v>8</v>
      </c>
      <c r="D111" s="5" t="s">
        <v>30</v>
      </c>
      <c r="E111" s="5" t="s">
        <v>134</v>
      </c>
      <c r="F111" s="5" t="s">
        <v>19</v>
      </c>
      <c r="G111" s="6" t="s">
        <v>330</v>
      </c>
      <c r="H111" s="5" t="s">
        <v>12</v>
      </c>
      <c r="I111" s="4" t="s">
        <v>222</v>
      </c>
      <c r="J111" s="4" t="e">
        <f>IF(SUM(#REF!)=0,"",IF(#REF!&gt;#REF!,"NEGATIVO","POSITIVO"))</f>
        <v>#REF!</v>
      </c>
    </row>
    <row r="112" spans="1:10" s="3" customFormat="1" ht="42.75" hidden="1" customHeight="1">
      <c r="A112" s="12">
        <v>173</v>
      </c>
      <c r="B112" s="6" t="s">
        <v>9</v>
      </c>
      <c r="C112" s="5" t="s">
        <v>8</v>
      </c>
      <c r="D112" s="5" t="s">
        <v>30</v>
      </c>
      <c r="E112" s="5" t="s">
        <v>134</v>
      </c>
      <c r="F112" s="5" t="s">
        <v>20</v>
      </c>
      <c r="G112" s="6" t="s">
        <v>206</v>
      </c>
      <c r="H112" s="5" t="s">
        <v>12</v>
      </c>
      <c r="I112" s="4" t="s">
        <v>222</v>
      </c>
      <c r="J112" s="4" t="e">
        <f>IF(SUM(#REF!)=0,"",IF(#REF!&gt;#REF!,"NEGATIVO","POSITIVO"))</f>
        <v>#REF!</v>
      </c>
    </row>
    <row r="113" spans="1:10" s="3" customFormat="1" ht="42.75" hidden="1" customHeight="1">
      <c r="A113" s="12">
        <v>174</v>
      </c>
      <c r="B113" s="6" t="s">
        <v>9</v>
      </c>
      <c r="C113" s="5" t="s">
        <v>8</v>
      </c>
      <c r="D113" s="5" t="s">
        <v>30</v>
      </c>
      <c r="E113" s="5" t="s">
        <v>134</v>
      </c>
      <c r="F113" s="5" t="s">
        <v>20</v>
      </c>
      <c r="G113" s="6" t="s">
        <v>207</v>
      </c>
      <c r="H113" s="5" t="s">
        <v>12</v>
      </c>
      <c r="I113" s="4" t="s">
        <v>222</v>
      </c>
      <c r="J113" s="4" t="e">
        <f>IF(SUM(#REF!)=0,"",IF(#REF!&gt;#REF!,"NEGATIVO","POSITIVO"))</f>
        <v>#REF!</v>
      </c>
    </row>
    <row r="114" spans="1:10" s="3" customFormat="1" ht="42.75" hidden="1" customHeight="1">
      <c r="A114" s="12">
        <v>175</v>
      </c>
      <c r="B114" s="6" t="s">
        <v>9</v>
      </c>
      <c r="C114" s="5" t="s">
        <v>8</v>
      </c>
      <c r="D114" s="5" t="s">
        <v>30</v>
      </c>
      <c r="E114" s="5" t="s">
        <v>134</v>
      </c>
      <c r="F114" s="5" t="s">
        <v>20</v>
      </c>
      <c r="G114" s="6" t="s">
        <v>205</v>
      </c>
      <c r="H114" s="5" t="s">
        <v>12</v>
      </c>
      <c r="I114" s="4" t="s">
        <v>222</v>
      </c>
      <c r="J114" s="4" t="e">
        <f>IF(SUM(#REF!)=0,"",IF(#REF!&gt;#REF!,"NEGATIVO","POSITIVO"))</f>
        <v>#REF!</v>
      </c>
    </row>
    <row r="115" spans="1:10" s="3" customFormat="1" ht="42.75" hidden="1" customHeight="1">
      <c r="A115" s="12">
        <v>176</v>
      </c>
      <c r="B115" s="6" t="s">
        <v>9</v>
      </c>
      <c r="C115" s="5" t="s">
        <v>8</v>
      </c>
      <c r="D115" s="5" t="s">
        <v>30</v>
      </c>
      <c r="E115" s="5" t="s">
        <v>134</v>
      </c>
      <c r="F115" s="5" t="s">
        <v>20</v>
      </c>
      <c r="G115" s="6" t="s">
        <v>304</v>
      </c>
      <c r="H115" s="5" t="s">
        <v>12</v>
      </c>
      <c r="I115" s="4" t="s">
        <v>222</v>
      </c>
      <c r="J115" s="4" t="e">
        <f>IF(SUM(#REF!)=0,"",IF(#REF!&gt;#REF!,"NEGATIVO","POSITIVO"))</f>
        <v>#REF!</v>
      </c>
    </row>
    <row r="116" spans="1:10" s="3" customFormat="1" ht="42.75" hidden="1" customHeight="1">
      <c r="A116" s="12">
        <v>177</v>
      </c>
      <c r="B116" s="6" t="s">
        <v>9</v>
      </c>
      <c r="C116" s="5" t="s">
        <v>8</v>
      </c>
      <c r="D116" s="5" t="s">
        <v>30</v>
      </c>
      <c r="E116" s="5" t="s">
        <v>134</v>
      </c>
      <c r="F116" s="5" t="s">
        <v>20</v>
      </c>
      <c r="G116" s="6" t="s">
        <v>305</v>
      </c>
      <c r="H116" s="5" t="s">
        <v>12</v>
      </c>
      <c r="I116" s="4" t="s">
        <v>222</v>
      </c>
      <c r="J116" s="4" t="e">
        <f>IF(SUM(#REF!)=0,"",IF(#REF!&gt;#REF!,"NEGATIVO","POSITIVO"))</f>
        <v>#REF!</v>
      </c>
    </row>
    <row r="117" spans="1:10" s="3" customFormat="1" ht="42.75" hidden="1" customHeight="1">
      <c r="A117" s="12">
        <v>178</v>
      </c>
      <c r="B117" s="6" t="s">
        <v>9</v>
      </c>
      <c r="C117" s="5" t="s">
        <v>8</v>
      </c>
      <c r="D117" s="5" t="s">
        <v>30</v>
      </c>
      <c r="E117" s="5" t="s">
        <v>134</v>
      </c>
      <c r="F117" s="5" t="s">
        <v>20</v>
      </c>
      <c r="G117" s="6" t="s">
        <v>204</v>
      </c>
      <c r="H117" s="5" t="s">
        <v>12</v>
      </c>
      <c r="I117" s="4" t="s">
        <v>222</v>
      </c>
      <c r="J117" s="4" t="e">
        <f>IF(SUM(#REF!)=0,"",IF(#REF!&gt;#REF!,"NEGATIVO","POSITIVO"))</f>
        <v>#REF!</v>
      </c>
    </row>
    <row r="118" spans="1:10" s="3" customFormat="1" ht="42.75" hidden="1" customHeight="1">
      <c r="A118" s="12">
        <v>180</v>
      </c>
      <c r="B118" s="6" t="s">
        <v>6</v>
      </c>
      <c r="C118" s="5" t="s">
        <v>10</v>
      </c>
      <c r="D118" s="5" t="s">
        <v>25</v>
      </c>
      <c r="E118" s="5" t="s">
        <v>142</v>
      </c>
      <c r="F118" s="5" t="s">
        <v>18</v>
      </c>
      <c r="G118" s="6" t="s">
        <v>141</v>
      </c>
      <c r="H118" s="5" t="s">
        <v>12</v>
      </c>
      <c r="I118" s="4" t="s">
        <v>222</v>
      </c>
      <c r="J118" s="4" t="e">
        <f>IF(SUM(#REF!)=0,"",IF(#REF!&gt;#REF!,"NEGATIVO","POSITIVO"))</f>
        <v>#REF!</v>
      </c>
    </row>
    <row r="119" spans="1:10" s="3" customFormat="1" ht="42.75" hidden="1" customHeight="1">
      <c r="A119" s="12">
        <v>181</v>
      </c>
      <c r="B119" s="6" t="s">
        <v>6</v>
      </c>
      <c r="C119" s="5" t="s">
        <v>10</v>
      </c>
      <c r="D119" s="5" t="s">
        <v>25</v>
      </c>
      <c r="E119" s="6" t="s">
        <v>142</v>
      </c>
      <c r="F119" s="6" t="s">
        <v>18</v>
      </c>
      <c r="G119" s="6" t="s">
        <v>143</v>
      </c>
      <c r="H119" s="5" t="s">
        <v>12</v>
      </c>
      <c r="I119" s="4" t="s">
        <v>222</v>
      </c>
      <c r="J119" s="4" t="e">
        <f>IF(SUM(#REF!)=0,"",IF(#REF!&gt;#REF!,"NEGATIVO","POSITIVO"))</f>
        <v>#REF!</v>
      </c>
    </row>
    <row r="120" spans="1:10" s="3" customFormat="1" ht="42.75" hidden="1" customHeight="1">
      <c r="A120" s="12">
        <v>182</v>
      </c>
      <c r="B120" s="6" t="s">
        <v>6</v>
      </c>
      <c r="C120" s="5" t="s">
        <v>10</v>
      </c>
      <c r="D120" s="5" t="s">
        <v>25</v>
      </c>
      <c r="E120" s="5" t="s">
        <v>142</v>
      </c>
      <c r="F120" s="5" t="s">
        <v>18</v>
      </c>
      <c r="G120" s="6" t="s">
        <v>144</v>
      </c>
      <c r="H120" s="5" t="s">
        <v>12</v>
      </c>
      <c r="I120" s="4" t="s">
        <v>222</v>
      </c>
      <c r="J120" s="4" t="e">
        <f>IF(SUM(#REF!)=0,"",IF(#REF!&gt;#REF!,"NEGATIVO","POSITIVO"))</f>
        <v>#REF!</v>
      </c>
    </row>
    <row r="121" spans="1:10" s="3" customFormat="1" ht="42.75" hidden="1" customHeight="1">
      <c r="A121" s="12">
        <v>183</v>
      </c>
      <c r="B121" s="6" t="s">
        <v>6</v>
      </c>
      <c r="C121" s="5" t="s">
        <v>10</v>
      </c>
      <c r="D121" s="5" t="s">
        <v>25</v>
      </c>
      <c r="E121" s="6" t="s">
        <v>142</v>
      </c>
      <c r="F121" s="6" t="s">
        <v>20</v>
      </c>
      <c r="G121" s="6" t="s">
        <v>145</v>
      </c>
      <c r="H121" s="5" t="s">
        <v>12</v>
      </c>
      <c r="I121" s="4" t="s">
        <v>222</v>
      </c>
      <c r="J121" s="4" t="e">
        <f>IF(SUM(#REF!)=0,"",IF(#REF!&gt;#REF!,"NEGATIVO","POSITIVO"))</f>
        <v>#REF!</v>
      </c>
    </row>
    <row r="122" spans="1:10" s="3" customFormat="1" ht="42.75" hidden="1" customHeight="1">
      <c r="A122" s="12">
        <v>184</v>
      </c>
      <c r="B122" s="6" t="s">
        <v>6</v>
      </c>
      <c r="C122" s="5" t="s">
        <v>10</v>
      </c>
      <c r="D122" s="5" t="s">
        <v>25</v>
      </c>
      <c r="E122" s="6" t="s">
        <v>142</v>
      </c>
      <c r="F122" s="6" t="s">
        <v>20</v>
      </c>
      <c r="G122" s="6" t="s">
        <v>146</v>
      </c>
      <c r="H122" s="5" t="s">
        <v>12</v>
      </c>
      <c r="I122" s="4" t="s">
        <v>222</v>
      </c>
      <c r="J122" s="4" t="e">
        <f>IF(SUM(#REF!)=0,"",IF(#REF!&gt;#REF!,"NEGATIVO","POSITIVO"))</f>
        <v>#REF!</v>
      </c>
    </row>
    <row r="123" spans="1:10" s="3" customFormat="1" ht="42.75" hidden="1" customHeight="1">
      <c r="A123" s="12">
        <v>185</v>
      </c>
      <c r="B123" s="6" t="s">
        <v>6</v>
      </c>
      <c r="C123" s="5" t="s">
        <v>10</v>
      </c>
      <c r="D123" s="5" t="s">
        <v>25</v>
      </c>
      <c r="E123" s="5" t="s">
        <v>142</v>
      </c>
      <c r="F123" s="5" t="s">
        <v>20</v>
      </c>
      <c r="G123" s="6" t="s">
        <v>147</v>
      </c>
      <c r="H123" s="5" t="s">
        <v>12</v>
      </c>
      <c r="I123" s="4" t="s">
        <v>222</v>
      </c>
      <c r="J123" s="4" t="e">
        <f>IF(SUM(#REF!)=0,"",IF(#REF!&gt;#REF!,"NEGATIVO","POSITIVO"))</f>
        <v>#REF!</v>
      </c>
    </row>
    <row r="124" spans="1:10" s="3" customFormat="1" ht="42.75" hidden="1" customHeight="1">
      <c r="A124" s="12">
        <v>186</v>
      </c>
      <c r="B124" s="6" t="s">
        <v>6</v>
      </c>
      <c r="C124" s="5" t="s">
        <v>10</v>
      </c>
      <c r="D124" s="5" t="s">
        <v>25</v>
      </c>
      <c r="E124" s="5" t="s">
        <v>142</v>
      </c>
      <c r="F124" s="5" t="s">
        <v>21</v>
      </c>
      <c r="G124" s="6" t="s">
        <v>210</v>
      </c>
      <c r="H124" s="5" t="s">
        <v>12</v>
      </c>
      <c r="I124" s="4" t="s">
        <v>222</v>
      </c>
      <c r="J124" s="4" t="e">
        <f>IF(SUM(#REF!)=0,"",IF(#REF!&gt;#REF!,"NEGATIVO","POSITIVO"))</f>
        <v>#REF!</v>
      </c>
    </row>
    <row r="125" spans="1:10" s="3" customFormat="1" ht="42.75" hidden="1" customHeight="1">
      <c r="A125" s="12">
        <v>187</v>
      </c>
      <c r="B125" s="6" t="s">
        <v>6</v>
      </c>
      <c r="C125" s="5" t="s">
        <v>10</v>
      </c>
      <c r="D125" s="5" t="s">
        <v>25</v>
      </c>
      <c r="E125" s="5" t="s">
        <v>142</v>
      </c>
      <c r="F125" s="5" t="s">
        <v>21</v>
      </c>
      <c r="G125" s="6" t="s">
        <v>211</v>
      </c>
      <c r="H125" s="5" t="s">
        <v>12</v>
      </c>
      <c r="I125" s="4" t="s">
        <v>222</v>
      </c>
      <c r="J125" s="4" t="e">
        <f>IF(SUM(#REF!)=0,"",IF(#REF!&gt;#REF!,"NEGATIVO","POSITIVO"))</f>
        <v>#REF!</v>
      </c>
    </row>
    <row r="126" spans="1:10" s="3" customFormat="1" ht="42.75" hidden="1" customHeight="1">
      <c r="A126" s="12">
        <v>188</v>
      </c>
      <c r="B126" s="6" t="s">
        <v>6</v>
      </c>
      <c r="C126" s="5" t="s">
        <v>10</v>
      </c>
      <c r="D126" s="5" t="s">
        <v>25</v>
      </c>
      <c r="E126" s="5" t="s">
        <v>142</v>
      </c>
      <c r="F126" s="5" t="s">
        <v>21</v>
      </c>
      <c r="G126" s="6" t="s">
        <v>208</v>
      </c>
      <c r="H126" s="5" t="s">
        <v>12</v>
      </c>
      <c r="I126" s="4" t="s">
        <v>222</v>
      </c>
      <c r="J126" s="4" t="e">
        <f>IF(SUM(#REF!)=0,"",IF(#REF!&gt;#REF!,"NEGATIVO","POSITIVO"))</f>
        <v>#REF!</v>
      </c>
    </row>
    <row r="127" spans="1:10" s="3" customFormat="1" ht="42.75" hidden="1" customHeight="1">
      <c r="A127" s="12">
        <v>189</v>
      </c>
      <c r="B127" s="6" t="s">
        <v>6</v>
      </c>
      <c r="C127" s="5" t="s">
        <v>10</v>
      </c>
      <c r="D127" s="5" t="s">
        <v>25</v>
      </c>
      <c r="E127" s="5" t="s">
        <v>142</v>
      </c>
      <c r="F127" s="5" t="s">
        <v>21</v>
      </c>
      <c r="G127" s="6" t="s">
        <v>209</v>
      </c>
      <c r="H127" s="5" t="s">
        <v>12</v>
      </c>
      <c r="I127" s="4" t="s">
        <v>222</v>
      </c>
      <c r="J127" s="4" t="e">
        <f>IF(SUM(#REF!)=0,"",IF(#REF!&gt;#REF!,"NEGATIVO","POSITIVO"))</f>
        <v>#REF!</v>
      </c>
    </row>
    <row r="128" spans="1:10" s="3" customFormat="1" ht="42.75" hidden="1" customHeight="1">
      <c r="A128" s="12">
        <v>190</v>
      </c>
      <c r="B128" s="6" t="s">
        <v>6</v>
      </c>
      <c r="C128" s="5" t="s">
        <v>10</v>
      </c>
      <c r="D128" s="5" t="s">
        <v>25</v>
      </c>
      <c r="E128" s="5" t="s">
        <v>142</v>
      </c>
      <c r="F128" s="5" t="s">
        <v>21</v>
      </c>
      <c r="G128" s="6" t="s">
        <v>212</v>
      </c>
      <c r="H128" s="5" t="s">
        <v>12</v>
      </c>
      <c r="I128" s="4" t="s">
        <v>222</v>
      </c>
      <c r="J128" s="4" t="e">
        <f>IF(SUM(#REF!)=0,"",IF(#REF!&gt;#REF!,"NEGATIVO","POSITIVO"))</f>
        <v>#REF!</v>
      </c>
    </row>
    <row r="129" spans="1:10" s="3" customFormat="1" ht="42.75" hidden="1" customHeight="1">
      <c r="A129" s="12">
        <v>191</v>
      </c>
      <c r="B129" s="6" t="s">
        <v>6</v>
      </c>
      <c r="C129" s="5" t="s">
        <v>10</v>
      </c>
      <c r="D129" s="5" t="s">
        <v>25</v>
      </c>
      <c r="E129" s="6" t="s">
        <v>142</v>
      </c>
      <c r="F129" s="6" t="s">
        <v>23</v>
      </c>
      <c r="G129" s="6" t="s">
        <v>239</v>
      </c>
      <c r="H129" s="5" t="s">
        <v>12</v>
      </c>
      <c r="I129" s="4" t="s">
        <v>224</v>
      </c>
      <c r="J129" s="4" t="e">
        <f>IF(SUM(#REF!)=0,"",IF(#REF!&gt;#REF!,"NEGATIVO","POSITIVO"))</f>
        <v>#REF!</v>
      </c>
    </row>
    <row r="130" spans="1:10" s="3" customFormat="1" ht="42.75" hidden="1" customHeight="1">
      <c r="A130" s="12">
        <v>192</v>
      </c>
      <c r="B130" s="6" t="s">
        <v>6</v>
      </c>
      <c r="C130" s="5" t="s">
        <v>10</v>
      </c>
      <c r="D130" s="5" t="s">
        <v>25</v>
      </c>
      <c r="E130" s="6" t="s">
        <v>142</v>
      </c>
      <c r="F130" s="6" t="s">
        <v>23</v>
      </c>
      <c r="G130" s="6" t="s">
        <v>240</v>
      </c>
      <c r="H130" s="5" t="s">
        <v>12</v>
      </c>
      <c r="I130" s="4" t="s">
        <v>224</v>
      </c>
      <c r="J130" s="4" t="e">
        <f>IF(SUM(#REF!)=0,"",IF(#REF!&gt;#REF!,"NEGATIVO","POSITIVO"))</f>
        <v>#REF!</v>
      </c>
    </row>
    <row r="131" spans="1:10" s="3" customFormat="1" ht="113.25" hidden="1" customHeight="1">
      <c r="A131" s="12">
        <v>193</v>
      </c>
      <c r="B131" s="12" t="s">
        <v>23</v>
      </c>
      <c r="C131" s="5" t="s">
        <v>10</v>
      </c>
      <c r="D131" s="5" t="s">
        <v>25</v>
      </c>
      <c r="E131" s="6" t="s">
        <v>142</v>
      </c>
      <c r="F131" s="6" t="s">
        <v>23</v>
      </c>
      <c r="G131" s="6" t="s">
        <v>297</v>
      </c>
      <c r="H131" s="5" t="s">
        <v>12</v>
      </c>
      <c r="I131" s="4" t="s">
        <v>320</v>
      </c>
      <c r="J131" s="4" t="e">
        <f>IF(SUM(#REF!)=0,"",IF(#REF!&gt;#REF!,"NEGATIVO","POSITIVO"))</f>
        <v>#REF!</v>
      </c>
    </row>
    <row r="132" spans="1:10" s="3" customFormat="1" ht="42.75" hidden="1" customHeight="1">
      <c r="A132" s="12">
        <v>194</v>
      </c>
      <c r="B132" s="6" t="s">
        <v>6</v>
      </c>
      <c r="C132" s="5" t="s">
        <v>10</v>
      </c>
      <c r="D132" s="5" t="s">
        <v>25</v>
      </c>
      <c r="E132" s="6" t="s">
        <v>142</v>
      </c>
      <c r="F132" s="6" t="s">
        <v>23</v>
      </c>
      <c r="G132" s="6" t="s">
        <v>241</v>
      </c>
      <c r="H132" s="5" t="s">
        <v>12</v>
      </c>
      <c r="I132" s="4" t="s">
        <v>224</v>
      </c>
      <c r="J132" s="4" t="e">
        <f>IF(SUM(#REF!)=0,"",IF(#REF!&gt;#REF!,"NEGATIVO","POSITIVO"))</f>
        <v>#REF!</v>
      </c>
    </row>
    <row r="133" spans="1:10" s="3" customFormat="1" ht="42.75" hidden="1" customHeight="1">
      <c r="A133" s="12">
        <v>195</v>
      </c>
      <c r="B133" s="6" t="s">
        <v>6</v>
      </c>
      <c r="C133" s="5" t="s">
        <v>10</v>
      </c>
      <c r="D133" s="5" t="s">
        <v>25</v>
      </c>
      <c r="E133" s="6" t="s">
        <v>142</v>
      </c>
      <c r="F133" s="6" t="s">
        <v>23</v>
      </c>
      <c r="G133" s="6" t="s">
        <v>242</v>
      </c>
      <c r="H133" s="5" t="s">
        <v>12</v>
      </c>
      <c r="I133" s="4" t="s">
        <v>224</v>
      </c>
      <c r="J133" s="4" t="e">
        <f>IF(SUM(#REF!)=0,"",IF(#REF!&gt;#REF!,"NEGATIVO","POSITIVO"))</f>
        <v>#REF!</v>
      </c>
    </row>
    <row r="134" spans="1:10" s="3" customFormat="1" ht="42.75" hidden="1" customHeight="1">
      <c r="A134" s="12">
        <v>196</v>
      </c>
      <c r="B134" s="6" t="s">
        <v>6</v>
      </c>
      <c r="C134" s="5" t="s">
        <v>10</v>
      </c>
      <c r="D134" s="5" t="s">
        <v>25</v>
      </c>
      <c r="E134" s="5" t="s">
        <v>142</v>
      </c>
      <c r="F134" s="5" t="s">
        <v>23</v>
      </c>
      <c r="G134" s="6" t="s">
        <v>213</v>
      </c>
      <c r="H134" s="5" t="s">
        <v>12</v>
      </c>
      <c r="I134" s="4" t="s">
        <v>222</v>
      </c>
      <c r="J134" s="4" t="e">
        <f>IF(SUM(#REF!)=0,"",IF(#REF!&gt;#REF!,"NEGATIVO","POSITIVO"))</f>
        <v>#REF!</v>
      </c>
    </row>
    <row r="135" spans="1:10" s="3" customFormat="1" ht="42.75" hidden="1" customHeight="1">
      <c r="A135" s="12">
        <v>197</v>
      </c>
      <c r="B135" s="6" t="s">
        <v>9</v>
      </c>
      <c r="C135" s="5" t="s">
        <v>10</v>
      </c>
      <c r="D135" s="5" t="s">
        <v>25</v>
      </c>
      <c r="E135" s="6" t="s">
        <v>140</v>
      </c>
      <c r="F135" s="6" t="s">
        <v>23</v>
      </c>
      <c r="G135" s="6" t="s">
        <v>38</v>
      </c>
      <c r="H135" s="5" t="s">
        <v>12</v>
      </c>
      <c r="I135" s="4" t="s">
        <v>222</v>
      </c>
      <c r="J135" s="4" t="e">
        <f>IF(SUM(#REF!)=0,"",IF(#REF!&gt;#REF!,"NEGATIVO","POSITIVO"))</f>
        <v>#REF!</v>
      </c>
    </row>
    <row r="136" spans="1:10" s="3" customFormat="1" ht="42.75" hidden="1" customHeight="1">
      <c r="A136" s="12">
        <v>198</v>
      </c>
      <c r="B136" s="6" t="s">
        <v>9</v>
      </c>
      <c r="C136" s="5" t="s">
        <v>10</v>
      </c>
      <c r="D136" s="5" t="s">
        <v>25</v>
      </c>
      <c r="E136" s="5" t="s">
        <v>140</v>
      </c>
      <c r="F136" s="5" t="s">
        <v>23</v>
      </c>
      <c r="G136" s="6" t="s">
        <v>49</v>
      </c>
      <c r="H136" s="5" t="s">
        <v>12</v>
      </c>
      <c r="I136" s="4" t="s">
        <v>222</v>
      </c>
      <c r="J136" s="4" t="e">
        <f>IF(SUM(#REF!)=0,"",IF(#REF!&gt;#REF!,"NEGATIVO","POSITIVO"))</f>
        <v>#REF!</v>
      </c>
    </row>
    <row r="137" spans="1:10" s="3" customFormat="1" ht="42.75" hidden="1" customHeight="1">
      <c r="A137" s="12">
        <v>199</v>
      </c>
      <c r="B137" s="6" t="s">
        <v>6</v>
      </c>
      <c r="C137" s="5" t="s">
        <v>10</v>
      </c>
      <c r="D137" s="5" t="s">
        <v>25</v>
      </c>
      <c r="E137" s="5" t="s">
        <v>140</v>
      </c>
      <c r="F137" s="5" t="s">
        <v>23</v>
      </c>
      <c r="G137" s="6" t="s">
        <v>149</v>
      </c>
      <c r="H137" s="5" t="s">
        <v>12</v>
      </c>
      <c r="I137" s="4" t="s">
        <v>222</v>
      </c>
      <c r="J137" s="4" t="e">
        <f>IF(SUM(#REF!)=0,"",IF(#REF!&gt;#REF!,"NEGATIVO","POSITIVO"))</f>
        <v>#REF!</v>
      </c>
    </row>
    <row r="138" spans="1:10" s="3" customFormat="1" ht="42.75" hidden="1" customHeight="1">
      <c r="A138" s="12">
        <v>201</v>
      </c>
      <c r="B138" s="6" t="s">
        <v>9</v>
      </c>
      <c r="C138" s="5" t="s">
        <v>10</v>
      </c>
      <c r="D138" s="5" t="s">
        <v>25</v>
      </c>
      <c r="E138" s="5" t="s">
        <v>140</v>
      </c>
      <c r="F138" s="5" t="s">
        <v>23</v>
      </c>
      <c r="G138" s="5" t="s">
        <v>64</v>
      </c>
      <c r="H138" s="5" t="s">
        <v>12</v>
      </c>
      <c r="I138" s="4" t="s">
        <v>222</v>
      </c>
      <c r="J138" s="4" t="e">
        <f>IF(SUM(#REF!)=0,"",IF(#REF!&gt;#REF!,"NEGATIVO","POSITIVO"))</f>
        <v>#REF!</v>
      </c>
    </row>
    <row r="139" spans="1:10" s="3" customFormat="1" ht="42.75" hidden="1" customHeight="1">
      <c r="A139" s="12">
        <v>202</v>
      </c>
      <c r="B139" s="6" t="s">
        <v>9</v>
      </c>
      <c r="C139" s="5" t="s">
        <v>10</v>
      </c>
      <c r="D139" s="5" t="s">
        <v>25</v>
      </c>
      <c r="E139" s="5" t="s">
        <v>140</v>
      </c>
      <c r="F139" s="5" t="s">
        <v>23</v>
      </c>
      <c r="G139" s="5" t="s">
        <v>69</v>
      </c>
      <c r="H139" s="5" t="s">
        <v>12</v>
      </c>
      <c r="I139" s="4" t="s">
        <v>222</v>
      </c>
      <c r="J139" s="4" t="e">
        <f>IF(SUM(#REF!)=0,"",IF(#REF!&gt;#REF!,"NEGATIVO","POSITIVO"))</f>
        <v>#REF!</v>
      </c>
    </row>
    <row r="140" spans="1:10" s="3" customFormat="1" ht="42.75" hidden="1" customHeight="1">
      <c r="A140" s="12">
        <v>203</v>
      </c>
      <c r="B140" s="6" t="s">
        <v>9</v>
      </c>
      <c r="C140" s="5" t="s">
        <v>10</v>
      </c>
      <c r="D140" s="5" t="s">
        <v>25</v>
      </c>
      <c r="E140" s="5" t="s">
        <v>140</v>
      </c>
      <c r="F140" s="5" t="s">
        <v>23</v>
      </c>
      <c r="G140" s="5" t="s">
        <v>65</v>
      </c>
      <c r="H140" s="5" t="s">
        <v>12</v>
      </c>
      <c r="I140" s="4" t="s">
        <v>222</v>
      </c>
      <c r="J140" s="4" t="e">
        <f>IF(SUM(#REF!)=0,"",IF(#REF!&gt;#REF!,"NEGATIVO","POSITIVO"))</f>
        <v>#REF!</v>
      </c>
    </row>
    <row r="141" spans="1:10" s="3" customFormat="1" ht="42.75" hidden="1" customHeight="1">
      <c r="A141" s="12">
        <v>204</v>
      </c>
      <c r="B141" s="6" t="s">
        <v>9</v>
      </c>
      <c r="C141" s="5" t="s">
        <v>10</v>
      </c>
      <c r="D141" s="5" t="s">
        <v>25</v>
      </c>
      <c r="E141" s="5" t="s">
        <v>140</v>
      </c>
      <c r="F141" s="5" t="s">
        <v>23</v>
      </c>
      <c r="G141" s="5" t="s">
        <v>66</v>
      </c>
      <c r="H141" s="5" t="s">
        <v>12</v>
      </c>
      <c r="I141" s="4" t="s">
        <v>222</v>
      </c>
      <c r="J141" s="4" t="e">
        <f>IF(SUM(#REF!)=0,"",IF(#REF!&gt;#REF!,"NEGATIVO","POSITIVO"))</f>
        <v>#REF!</v>
      </c>
    </row>
    <row r="142" spans="1:10" s="3" customFormat="1" ht="42.75" hidden="1" customHeight="1">
      <c r="A142" s="12">
        <v>205</v>
      </c>
      <c r="B142" s="6" t="s">
        <v>9</v>
      </c>
      <c r="C142" s="5" t="s">
        <v>10</v>
      </c>
      <c r="D142" s="5" t="s">
        <v>25</v>
      </c>
      <c r="E142" s="5" t="s">
        <v>140</v>
      </c>
      <c r="F142" s="5" t="s">
        <v>23</v>
      </c>
      <c r="G142" s="5" t="s">
        <v>50</v>
      </c>
      <c r="H142" s="5" t="s">
        <v>12</v>
      </c>
      <c r="I142" s="4" t="s">
        <v>222</v>
      </c>
      <c r="J142" s="4" t="e">
        <f>IF(SUM(#REF!)=0,"",IF(#REF!&gt;#REF!,"NEGATIVO","POSITIVO"))</f>
        <v>#REF!</v>
      </c>
    </row>
    <row r="143" spans="1:10" s="3" customFormat="1" ht="42.75" hidden="1" customHeight="1">
      <c r="A143" s="12">
        <v>206</v>
      </c>
      <c r="B143" s="6" t="s">
        <v>9</v>
      </c>
      <c r="C143" s="5" t="s">
        <v>10</v>
      </c>
      <c r="D143" s="5" t="s">
        <v>25</v>
      </c>
      <c r="E143" s="5" t="s">
        <v>140</v>
      </c>
      <c r="F143" s="5" t="s">
        <v>23</v>
      </c>
      <c r="G143" s="5" t="s">
        <v>67</v>
      </c>
      <c r="H143" s="5" t="s">
        <v>12</v>
      </c>
      <c r="I143" s="4" t="s">
        <v>222</v>
      </c>
      <c r="J143" s="4" t="e">
        <f>IF(SUM(#REF!)=0,"",IF(#REF!&gt;#REF!,"NEGATIVO","POSITIVO"))</f>
        <v>#REF!</v>
      </c>
    </row>
    <row r="144" spans="1:10" s="3" customFormat="1" ht="42.75" hidden="1" customHeight="1">
      <c r="A144" s="12">
        <v>208</v>
      </c>
      <c r="B144" s="6" t="s">
        <v>9</v>
      </c>
      <c r="C144" s="5" t="s">
        <v>10</v>
      </c>
      <c r="D144" s="5" t="s">
        <v>25</v>
      </c>
      <c r="E144" s="5" t="s">
        <v>140</v>
      </c>
      <c r="F144" s="5" t="s">
        <v>23</v>
      </c>
      <c r="G144" s="5" t="s">
        <v>68</v>
      </c>
      <c r="H144" s="5" t="s">
        <v>12</v>
      </c>
      <c r="I144" s="4" t="s">
        <v>222</v>
      </c>
      <c r="J144" s="4" t="e">
        <f>IF(SUM(#REF!)=0,"",IF(#REF!&gt;#REF!,"NEGATIVO","POSITIVO"))</f>
        <v>#REF!</v>
      </c>
    </row>
    <row r="145" spans="1:10" s="3" customFormat="1" ht="42.75" hidden="1" customHeight="1">
      <c r="A145" s="12">
        <v>209</v>
      </c>
      <c r="B145" s="6" t="s">
        <v>9</v>
      </c>
      <c r="C145" s="5" t="s">
        <v>10</v>
      </c>
      <c r="D145" s="5" t="s">
        <v>25</v>
      </c>
      <c r="E145" s="5" t="s">
        <v>140</v>
      </c>
      <c r="F145" s="5" t="s">
        <v>23</v>
      </c>
      <c r="G145" s="5" t="s">
        <v>169</v>
      </c>
      <c r="H145" s="5" t="s">
        <v>12</v>
      </c>
      <c r="I145" s="4" t="s">
        <v>222</v>
      </c>
      <c r="J145" s="4" t="e">
        <f>IF(SUM(#REF!)=0,"",IF(#REF!&gt;#REF!,"NEGATIVO","POSITIVO"))</f>
        <v>#REF!</v>
      </c>
    </row>
    <row r="146" spans="1:10" s="3" customFormat="1" ht="42.75" hidden="1" customHeight="1">
      <c r="A146" s="12">
        <v>211</v>
      </c>
      <c r="B146" s="6" t="s">
        <v>9</v>
      </c>
      <c r="C146" s="5" t="s">
        <v>10</v>
      </c>
      <c r="D146" s="5" t="s">
        <v>25</v>
      </c>
      <c r="E146" s="5" t="s">
        <v>140</v>
      </c>
      <c r="F146" s="5" t="s">
        <v>23</v>
      </c>
      <c r="G146" s="5" t="s">
        <v>170</v>
      </c>
      <c r="H146" s="5" t="s">
        <v>12</v>
      </c>
      <c r="I146" s="4" t="s">
        <v>222</v>
      </c>
      <c r="J146" s="4" t="e">
        <f>IF(SUM(#REF!)=0,"",IF(#REF!&gt;#REF!,"NEGATIVO","POSITIVO"))</f>
        <v>#REF!</v>
      </c>
    </row>
    <row r="147" spans="1:10" s="3" customFormat="1" ht="42.75" hidden="1" customHeight="1">
      <c r="A147" s="12">
        <v>212</v>
      </c>
      <c r="B147" s="6" t="s">
        <v>9</v>
      </c>
      <c r="C147" s="5" t="s">
        <v>10</v>
      </c>
      <c r="D147" s="5" t="s">
        <v>25</v>
      </c>
      <c r="E147" s="5" t="s">
        <v>140</v>
      </c>
      <c r="F147" s="5" t="s">
        <v>23</v>
      </c>
      <c r="G147" s="5" t="s">
        <v>171</v>
      </c>
      <c r="H147" s="5" t="s">
        <v>12</v>
      </c>
      <c r="I147" s="4" t="s">
        <v>222</v>
      </c>
      <c r="J147" s="4" t="e">
        <f>IF(SUM(#REF!)=0,"",IF(#REF!&gt;#REF!,"NEGATIVO","POSITIVO"))</f>
        <v>#REF!</v>
      </c>
    </row>
    <row r="148" spans="1:10" s="3" customFormat="1" ht="42.75" hidden="1" customHeight="1">
      <c r="A148" s="12">
        <v>213</v>
      </c>
      <c r="B148" s="6" t="s">
        <v>9</v>
      </c>
      <c r="C148" s="5" t="s">
        <v>10</v>
      </c>
      <c r="D148" s="5" t="s">
        <v>25</v>
      </c>
      <c r="E148" s="5" t="s">
        <v>140</v>
      </c>
      <c r="F148" s="5" t="s">
        <v>23</v>
      </c>
      <c r="G148" s="5" t="s">
        <v>152</v>
      </c>
      <c r="H148" s="5" t="s">
        <v>12</v>
      </c>
      <c r="I148" s="4" t="s">
        <v>222</v>
      </c>
      <c r="J148" s="4" t="e">
        <f>IF(SUM(#REF!)=0,"",IF(#REF!&gt;#REF!,"NEGATIVO","POSITIVO"))</f>
        <v>#REF!</v>
      </c>
    </row>
    <row r="149" spans="1:10" s="3" customFormat="1" ht="42.75" hidden="1" customHeight="1">
      <c r="A149" s="12">
        <v>214</v>
      </c>
      <c r="B149" s="6" t="s">
        <v>9</v>
      </c>
      <c r="C149" s="5" t="s">
        <v>10</v>
      </c>
      <c r="D149" s="5" t="s">
        <v>25</v>
      </c>
      <c r="E149" s="5" t="s">
        <v>140</v>
      </c>
      <c r="F149" s="5" t="s">
        <v>23</v>
      </c>
      <c r="G149" s="5" t="s">
        <v>150</v>
      </c>
      <c r="H149" s="5" t="s">
        <v>12</v>
      </c>
      <c r="I149" s="4" t="s">
        <v>222</v>
      </c>
      <c r="J149" s="4" t="e">
        <f>IF(SUM(#REF!)=0,"",IF(#REF!&gt;#REF!,"NEGATIVO","POSITIVO"))</f>
        <v>#REF!</v>
      </c>
    </row>
    <row r="150" spans="1:10" s="3" customFormat="1" ht="42.75" hidden="1" customHeight="1">
      <c r="A150" s="12">
        <v>215</v>
      </c>
      <c r="B150" s="6" t="s">
        <v>9</v>
      </c>
      <c r="C150" s="5" t="s">
        <v>10</v>
      </c>
      <c r="D150" s="5" t="s">
        <v>25</v>
      </c>
      <c r="E150" s="5" t="s">
        <v>140</v>
      </c>
      <c r="F150" s="5" t="s">
        <v>23</v>
      </c>
      <c r="G150" s="5" t="s">
        <v>151</v>
      </c>
      <c r="H150" s="5" t="s">
        <v>12</v>
      </c>
      <c r="I150" s="4" t="s">
        <v>222</v>
      </c>
      <c r="J150" s="4" t="e">
        <f>IF(SUM(#REF!)=0,"",IF(#REF!&gt;#REF!,"NEGATIVO","POSITIVO"))</f>
        <v>#REF!</v>
      </c>
    </row>
    <row r="151" spans="1:10" s="3" customFormat="1" ht="42.75" hidden="1" customHeight="1">
      <c r="A151" s="12">
        <v>216</v>
      </c>
      <c r="B151" s="6" t="s">
        <v>9</v>
      </c>
      <c r="C151" s="5" t="s">
        <v>10</v>
      </c>
      <c r="D151" s="5" t="s">
        <v>25</v>
      </c>
      <c r="E151" s="5" t="s">
        <v>140</v>
      </c>
      <c r="F151" s="5" t="s">
        <v>23</v>
      </c>
      <c r="G151" s="5" t="s">
        <v>51</v>
      </c>
      <c r="H151" s="5" t="s">
        <v>12</v>
      </c>
      <c r="I151" s="4" t="s">
        <v>222</v>
      </c>
      <c r="J151" s="4" t="e">
        <f>IF(SUM(#REF!)=0,"",IF(#REF!&gt;#REF!,"NEGATIVO","POSITIVO"))</f>
        <v>#REF!</v>
      </c>
    </row>
    <row r="152" spans="1:10" s="3" customFormat="1" ht="42.75" hidden="1" customHeight="1">
      <c r="A152" s="12">
        <v>217</v>
      </c>
      <c r="B152" s="6" t="s">
        <v>9</v>
      </c>
      <c r="C152" s="5" t="s">
        <v>10</v>
      </c>
      <c r="D152" s="5" t="s">
        <v>25</v>
      </c>
      <c r="E152" s="5" t="s">
        <v>140</v>
      </c>
      <c r="F152" s="5" t="s">
        <v>23</v>
      </c>
      <c r="G152" s="5" t="s">
        <v>52</v>
      </c>
      <c r="H152" s="5" t="s">
        <v>12</v>
      </c>
      <c r="I152" s="4" t="s">
        <v>222</v>
      </c>
      <c r="J152" s="4" t="e">
        <f>IF(SUM(#REF!)=0,"",IF(#REF!&gt;#REF!,"NEGATIVO","POSITIVO"))</f>
        <v>#REF!</v>
      </c>
    </row>
    <row r="153" spans="1:10" s="3" customFormat="1" ht="42.75" hidden="1" customHeight="1">
      <c r="A153" s="12">
        <v>218</v>
      </c>
      <c r="B153" s="6" t="s">
        <v>9</v>
      </c>
      <c r="C153" s="5" t="s">
        <v>10</v>
      </c>
      <c r="D153" s="5" t="s">
        <v>25</v>
      </c>
      <c r="E153" s="5" t="s">
        <v>140</v>
      </c>
      <c r="F153" s="5" t="s">
        <v>23</v>
      </c>
      <c r="G153" s="5" t="s">
        <v>53</v>
      </c>
      <c r="H153" s="5" t="s">
        <v>12</v>
      </c>
      <c r="I153" s="4" t="s">
        <v>222</v>
      </c>
      <c r="J153" s="4" t="e">
        <f>IF(SUM(#REF!)=0,"",IF(#REF!&gt;#REF!,"NEGATIVO","POSITIVO"))</f>
        <v>#REF!</v>
      </c>
    </row>
    <row r="154" spans="1:10" ht="42.75" hidden="1" customHeight="1">
      <c r="A154" s="12">
        <v>219</v>
      </c>
      <c r="B154" s="6" t="s">
        <v>6</v>
      </c>
      <c r="C154" s="5" t="s">
        <v>10</v>
      </c>
      <c r="D154" s="5" t="s">
        <v>25</v>
      </c>
      <c r="E154" s="5" t="s">
        <v>140</v>
      </c>
      <c r="F154" s="5" t="s">
        <v>23</v>
      </c>
      <c r="G154" s="5" t="s">
        <v>56</v>
      </c>
      <c r="H154" s="5" t="s">
        <v>12</v>
      </c>
      <c r="I154" s="4" t="s">
        <v>222</v>
      </c>
      <c r="J154" s="4" t="e">
        <f>IF(SUM(#REF!)=0,"",IF(#REF!&gt;#REF!,"NEGATIVO","POSITIVO"))</f>
        <v>#REF!</v>
      </c>
    </row>
    <row r="155" spans="1:10" ht="42.75" hidden="1" customHeight="1">
      <c r="A155" s="12">
        <v>220</v>
      </c>
      <c r="B155" s="6" t="s">
        <v>9</v>
      </c>
      <c r="C155" s="5" t="s">
        <v>10</v>
      </c>
      <c r="D155" s="5" t="s">
        <v>25</v>
      </c>
      <c r="E155" s="5" t="s">
        <v>140</v>
      </c>
      <c r="F155" s="5" t="s">
        <v>23</v>
      </c>
      <c r="G155" s="5" t="s">
        <v>57</v>
      </c>
      <c r="H155" s="5" t="s">
        <v>12</v>
      </c>
      <c r="I155" s="4" t="s">
        <v>222</v>
      </c>
      <c r="J155" s="4" t="e">
        <f>IF(SUM(#REF!)=0,"",IF(#REF!&gt;#REF!,"NEGATIVO","POSITIVO"))</f>
        <v>#REF!</v>
      </c>
    </row>
    <row r="156" spans="1:10" ht="42.75" hidden="1" customHeight="1">
      <c r="A156" s="12">
        <v>221</v>
      </c>
      <c r="B156" s="6" t="s">
        <v>9</v>
      </c>
      <c r="C156" s="5" t="s">
        <v>10</v>
      </c>
      <c r="D156" s="5" t="s">
        <v>25</v>
      </c>
      <c r="E156" s="5" t="s">
        <v>140</v>
      </c>
      <c r="F156" s="5" t="s">
        <v>23</v>
      </c>
      <c r="G156" s="5" t="s">
        <v>154</v>
      </c>
      <c r="H156" s="5" t="s">
        <v>12</v>
      </c>
      <c r="I156" s="4" t="s">
        <v>222</v>
      </c>
      <c r="J156" s="4" t="e">
        <f>IF(SUM(#REF!)=0,"",IF(#REF!&gt;#REF!,"NEGATIVO","POSITIVO"))</f>
        <v>#REF!</v>
      </c>
    </row>
    <row r="157" spans="1:10" ht="42.75" hidden="1" customHeight="1">
      <c r="A157" s="12">
        <v>222</v>
      </c>
      <c r="B157" s="6" t="s">
        <v>9</v>
      </c>
      <c r="C157" s="5" t="s">
        <v>10</v>
      </c>
      <c r="D157" s="5" t="s">
        <v>25</v>
      </c>
      <c r="E157" s="5" t="s">
        <v>140</v>
      </c>
      <c r="F157" s="5" t="s">
        <v>23</v>
      </c>
      <c r="G157" s="5" t="s">
        <v>153</v>
      </c>
      <c r="H157" s="5" t="s">
        <v>12</v>
      </c>
      <c r="I157" s="4" t="s">
        <v>222</v>
      </c>
      <c r="J157" s="4" t="e">
        <f>IF(SUM(#REF!)=0,"",IF(#REF!&gt;#REF!,"NEGATIVO","POSITIVO"))</f>
        <v>#REF!</v>
      </c>
    </row>
    <row r="158" spans="1:10" ht="42.75" hidden="1" customHeight="1">
      <c r="A158" s="12">
        <v>223</v>
      </c>
      <c r="B158" s="6" t="s">
        <v>9</v>
      </c>
      <c r="C158" s="5" t="s">
        <v>10</v>
      </c>
      <c r="D158" s="5" t="s">
        <v>25</v>
      </c>
      <c r="E158" s="5" t="s">
        <v>140</v>
      </c>
      <c r="F158" s="5" t="s">
        <v>23</v>
      </c>
      <c r="G158" s="5" t="s">
        <v>172</v>
      </c>
      <c r="H158" s="5" t="s">
        <v>12</v>
      </c>
      <c r="I158" s="4" t="s">
        <v>222</v>
      </c>
      <c r="J158" s="4" t="e">
        <f>IF(SUM(#REF!)=0,"",IF(#REF!&gt;#REF!,"NEGATIVO","POSITIVO"))</f>
        <v>#REF!</v>
      </c>
    </row>
    <row r="159" spans="1:10" ht="42.75" hidden="1" customHeight="1">
      <c r="A159" s="12">
        <v>224</v>
      </c>
      <c r="B159" s="6" t="s">
        <v>9</v>
      </c>
      <c r="C159" s="5" t="s">
        <v>10</v>
      </c>
      <c r="D159" s="5" t="s">
        <v>25</v>
      </c>
      <c r="E159" s="5" t="s">
        <v>140</v>
      </c>
      <c r="F159" s="5" t="s">
        <v>23</v>
      </c>
      <c r="G159" s="5" t="s">
        <v>155</v>
      </c>
      <c r="H159" s="5" t="s">
        <v>12</v>
      </c>
      <c r="I159" s="4" t="s">
        <v>222</v>
      </c>
      <c r="J159" s="4" t="e">
        <f>IF(SUM(#REF!)=0,"",IF(#REF!&gt;#REF!,"NEGATIVO","POSITIVO"))</f>
        <v>#REF!</v>
      </c>
    </row>
    <row r="160" spans="1:10" ht="42.75" hidden="1" customHeight="1">
      <c r="A160" s="12">
        <v>225</v>
      </c>
      <c r="B160" s="6" t="s">
        <v>9</v>
      </c>
      <c r="C160" s="5" t="s">
        <v>8</v>
      </c>
      <c r="D160" s="5" t="s">
        <v>25</v>
      </c>
      <c r="E160" s="6" t="s">
        <v>102</v>
      </c>
      <c r="F160" s="6" t="s">
        <v>23</v>
      </c>
      <c r="G160" s="6" t="s">
        <v>251</v>
      </c>
      <c r="H160" s="5" t="s">
        <v>12</v>
      </c>
      <c r="I160" s="4" t="s">
        <v>224</v>
      </c>
      <c r="J160" s="4" t="e">
        <f>IF(SUM(#REF!)=0,"",IF(#REF!&gt;#REF!,"NEGATIVO","POSITIVO"))</f>
        <v>#REF!</v>
      </c>
    </row>
    <row r="161" spans="1:10" ht="42.75" hidden="1" customHeight="1">
      <c r="A161" s="12">
        <v>226</v>
      </c>
      <c r="B161" s="6" t="s">
        <v>9</v>
      </c>
      <c r="C161" s="5" t="s">
        <v>8</v>
      </c>
      <c r="D161" s="5" t="s">
        <v>25</v>
      </c>
      <c r="E161" s="6" t="s">
        <v>102</v>
      </c>
      <c r="F161" s="6" t="s">
        <v>23</v>
      </c>
      <c r="G161" s="6" t="s">
        <v>252</v>
      </c>
      <c r="H161" s="5" t="s">
        <v>12</v>
      </c>
      <c r="I161" s="4" t="s">
        <v>224</v>
      </c>
      <c r="J161" s="4" t="e">
        <f>IF(SUM(#REF!)=0,"",IF(#REF!&gt;#REF!,"NEGATIVO","POSITIVO"))</f>
        <v>#REF!</v>
      </c>
    </row>
    <row r="162" spans="1:10" ht="42.75" hidden="1" customHeight="1">
      <c r="A162" s="12">
        <v>227</v>
      </c>
      <c r="B162" s="6" t="s">
        <v>9</v>
      </c>
      <c r="C162" s="5" t="s">
        <v>10</v>
      </c>
      <c r="D162" s="5" t="s">
        <v>24</v>
      </c>
      <c r="E162" s="6" t="s">
        <v>306</v>
      </c>
      <c r="F162" s="6" t="s">
        <v>23</v>
      </c>
      <c r="G162" s="6" t="s">
        <v>254</v>
      </c>
      <c r="H162" s="5" t="s">
        <v>12</v>
      </c>
      <c r="I162" s="4" t="s">
        <v>224</v>
      </c>
      <c r="J162" s="4" t="e">
        <f>IF(SUM(#REF!)=0,"",IF(#REF!&gt;#REF!,"NEGATIVO","POSITIVO"))</f>
        <v>#REF!</v>
      </c>
    </row>
    <row r="163" spans="1:10" ht="42.75" hidden="1" customHeight="1">
      <c r="A163" s="12">
        <v>228</v>
      </c>
      <c r="B163" s="6" t="s">
        <v>9</v>
      </c>
      <c r="C163" s="5" t="s">
        <v>10</v>
      </c>
      <c r="D163" s="5" t="s">
        <v>24</v>
      </c>
      <c r="E163" s="6" t="s">
        <v>306</v>
      </c>
      <c r="F163" s="6" t="s">
        <v>23</v>
      </c>
      <c r="G163" s="6" t="s">
        <v>255</v>
      </c>
      <c r="H163" s="5" t="s">
        <v>12</v>
      </c>
      <c r="I163" s="4" t="s">
        <v>224</v>
      </c>
      <c r="J163" s="4" t="e">
        <f>IF(SUM(#REF!)=0,"",IF(#REF!&gt;#REF!,"NEGATIVO","POSITIVO"))</f>
        <v>#REF!</v>
      </c>
    </row>
    <row r="164" spans="1:10" ht="42.75" hidden="1" customHeight="1">
      <c r="A164" s="12">
        <v>229</v>
      </c>
      <c r="B164" s="6" t="s">
        <v>9</v>
      </c>
      <c r="C164" s="5" t="s">
        <v>10</v>
      </c>
      <c r="D164" s="5" t="s">
        <v>24</v>
      </c>
      <c r="E164" s="6" t="s">
        <v>306</v>
      </c>
      <c r="F164" s="6" t="s">
        <v>23</v>
      </c>
      <c r="G164" s="6" t="s">
        <v>47</v>
      </c>
      <c r="H164" s="5" t="s">
        <v>12</v>
      </c>
      <c r="I164" s="4" t="s">
        <v>224</v>
      </c>
      <c r="J164" s="4" t="e">
        <f>IF(SUM(#REF!)=0,"",IF(#REF!&gt;#REF!,"NEGATIVO","POSITIVO"))</f>
        <v>#REF!</v>
      </c>
    </row>
    <row r="165" spans="1:10" ht="42.75" hidden="1" customHeight="1">
      <c r="A165" s="12">
        <v>230</v>
      </c>
      <c r="B165" s="6" t="s">
        <v>6</v>
      </c>
      <c r="C165" s="5" t="s">
        <v>10</v>
      </c>
      <c r="D165" s="5" t="s">
        <v>24</v>
      </c>
      <c r="E165" s="6" t="s">
        <v>306</v>
      </c>
      <c r="F165" s="6" t="s">
        <v>23</v>
      </c>
      <c r="G165" s="6" t="s">
        <v>256</v>
      </c>
      <c r="H165" s="5" t="s">
        <v>12</v>
      </c>
      <c r="I165" s="4" t="s">
        <v>224</v>
      </c>
      <c r="J165" s="4" t="e">
        <f>IF(SUM(#REF!)=0,"",IF(#REF!&gt;#REF!,"NEGATIVO","POSITIVO"))</f>
        <v>#REF!</v>
      </c>
    </row>
    <row r="166" spans="1:10" ht="42.75" hidden="1" customHeight="1">
      <c r="A166" s="12">
        <v>231</v>
      </c>
      <c r="B166" s="6" t="s">
        <v>6</v>
      </c>
      <c r="C166" s="5" t="s">
        <v>10</v>
      </c>
      <c r="D166" s="5" t="s">
        <v>24</v>
      </c>
      <c r="E166" s="6" t="s">
        <v>306</v>
      </c>
      <c r="F166" s="6" t="s">
        <v>23</v>
      </c>
      <c r="G166" s="6" t="s">
        <v>257</v>
      </c>
      <c r="H166" s="5" t="s">
        <v>12</v>
      </c>
      <c r="I166" s="4" t="s">
        <v>224</v>
      </c>
      <c r="J166" s="4" t="e">
        <f>IF(SUM(#REF!)=0,"",IF(#REF!&gt;#REF!,"NEGATIVO","POSITIVO"))</f>
        <v>#REF!</v>
      </c>
    </row>
    <row r="167" spans="1:10" ht="42.75" hidden="1" customHeight="1">
      <c r="A167" s="12">
        <v>232</v>
      </c>
      <c r="B167" s="6" t="s">
        <v>6</v>
      </c>
      <c r="C167" s="5" t="s">
        <v>10</v>
      </c>
      <c r="D167" s="5" t="s">
        <v>24</v>
      </c>
      <c r="E167" s="6" t="s">
        <v>306</v>
      </c>
      <c r="F167" s="6" t="s">
        <v>23</v>
      </c>
      <c r="G167" s="6" t="s">
        <v>81</v>
      </c>
      <c r="H167" s="5" t="s">
        <v>12</v>
      </c>
      <c r="I167" s="4" t="s">
        <v>224</v>
      </c>
      <c r="J167" s="4" t="e">
        <f>IF(SUM(#REF!)=0,"",IF(#REF!&gt;#REF!,"NEGATIVO","POSITIVO"))</f>
        <v>#REF!</v>
      </c>
    </row>
    <row r="168" spans="1:10" ht="42.75" hidden="1" customHeight="1">
      <c r="A168" s="12">
        <v>233</v>
      </c>
      <c r="B168" s="6" t="s">
        <v>6</v>
      </c>
      <c r="C168" s="5" t="s">
        <v>10</v>
      </c>
      <c r="D168" s="5" t="s">
        <v>24</v>
      </c>
      <c r="E168" s="6" t="s">
        <v>306</v>
      </c>
      <c r="F168" s="6" t="s">
        <v>23</v>
      </c>
      <c r="G168" s="6" t="s">
        <v>82</v>
      </c>
      <c r="H168" s="5" t="s">
        <v>12</v>
      </c>
      <c r="I168" s="4" t="s">
        <v>224</v>
      </c>
      <c r="J168" s="4" t="e">
        <f>IF(SUM(#REF!)=0,"",IF(#REF!&gt;#REF!,"NEGATIVO","POSITIVO"))</f>
        <v>#REF!</v>
      </c>
    </row>
    <row r="169" spans="1:10" ht="42.75" hidden="1" customHeight="1">
      <c r="A169" s="12">
        <v>234</v>
      </c>
      <c r="B169" s="6" t="s">
        <v>6</v>
      </c>
      <c r="C169" s="5" t="s">
        <v>10</v>
      </c>
      <c r="D169" s="5" t="s">
        <v>24</v>
      </c>
      <c r="E169" s="6" t="s">
        <v>306</v>
      </c>
      <c r="F169" s="6" t="s">
        <v>23</v>
      </c>
      <c r="G169" s="6" t="s">
        <v>83</v>
      </c>
      <c r="H169" s="5" t="s">
        <v>12</v>
      </c>
      <c r="I169" s="4" t="s">
        <v>224</v>
      </c>
      <c r="J169" s="4" t="e">
        <f>IF(SUM(#REF!)=0,"",IF(#REF!&gt;#REF!,"NEGATIVO","POSITIVO"))</f>
        <v>#REF!</v>
      </c>
    </row>
    <row r="170" spans="1:10" ht="42.75" hidden="1" customHeight="1">
      <c r="A170" s="12">
        <v>235</v>
      </c>
      <c r="B170" s="6" t="s">
        <v>6</v>
      </c>
      <c r="C170" s="5" t="s">
        <v>10</v>
      </c>
      <c r="D170" s="5" t="s">
        <v>24</v>
      </c>
      <c r="E170" s="6" t="s">
        <v>306</v>
      </c>
      <c r="F170" s="6" t="s">
        <v>23</v>
      </c>
      <c r="G170" s="6" t="s">
        <v>84</v>
      </c>
      <c r="H170" s="5" t="s">
        <v>12</v>
      </c>
      <c r="I170" s="4" t="s">
        <v>224</v>
      </c>
      <c r="J170" s="4" t="e">
        <f>IF(SUM(#REF!)=0,"",IF(#REF!&gt;#REF!,"NEGATIVO","POSITIVO"))</f>
        <v>#REF!</v>
      </c>
    </row>
    <row r="171" spans="1:10" ht="42.75" hidden="1" customHeight="1">
      <c r="A171" s="12">
        <v>236</v>
      </c>
      <c r="B171" s="6" t="s">
        <v>6</v>
      </c>
      <c r="C171" s="5" t="s">
        <v>10</v>
      </c>
      <c r="D171" s="5" t="s">
        <v>24</v>
      </c>
      <c r="E171" s="6" t="s">
        <v>306</v>
      </c>
      <c r="F171" s="6" t="s">
        <v>23</v>
      </c>
      <c r="G171" s="6" t="s">
        <v>76</v>
      </c>
      <c r="H171" s="5" t="s">
        <v>12</v>
      </c>
      <c r="I171" s="4" t="s">
        <v>224</v>
      </c>
      <c r="J171" s="4" t="e">
        <f>IF(SUM(#REF!)=0,"",IF(#REF!&gt;#REF!,"NEGATIVO","POSITIVO"))</f>
        <v>#REF!</v>
      </c>
    </row>
    <row r="172" spans="1:10" ht="42.75" hidden="1" customHeight="1">
      <c r="A172" s="12">
        <v>237</v>
      </c>
      <c r="B172" s="6" t="s">
        <v>6</v>
      </c>
      <c r="C172" s="5" t="s">
        <v>10</v>
      </c>
      <c r="D172" s="5" t="s">
        <v>24</v>
      </c>
      <c r="E172" s="6" t="s">
        <v>306</v>
      </c>
      <c r="F172" s="6" t="s">
        <v>23</v>
      </c>
      <c r="G172" s="6" t="s">
        <v>77</v>
      </c>
      <c r="H172" s="5" t="s">
        <v>12</v>
      </c>
      <c r="I172" s="4" t="s">
        <v>224</v>
      </c>
      <c r="J172" s="4" t="e">
        <f>IF(SUM(#REF!)=0,"",IF(#REF!&gt;#REF!,"NEGATIVO","POSITIVO"))</f>
        <v>#REF!</v>
      </c>
    </row>
    <row r="173" spans="1:10" ht="42.75" hidden="1" customHeight="1">
      <c r="A173" s="12">
        <v>238</v>
      </c>
      <c r="B173" s="6" t="s">
        <v>6</v>
      </c>
      <c r="C173" s="5" t="s">
        <v>10</v>
      </c>
      <c r="D173" s="5" t="s">
        <v>24</v>
      </c>
      <c r="E173" s="6" t="s">
        <v>306</v>
      </c>
      <c r="F173" s="6" t="s">
        <v>23</v>
      </c>
      <c r="G173" s="6" t="s">
        <v>78</v>
      </c>
      <c r="H173" s="5" t="s">
        <v>12</v>
      </c>
      <c r="I173" s="4" t="s">
        <v>224</v>
      </c>
      <c r="J173" s="4" t="e">
        <f>IF(SUM(#REF!)=0,"",IF(#REF!&gt;#REF!,"NEGATIVO","POSITIVO"))</f>
        <v>#REF!</v>
      </c>
    </row>
    <row r="174" spans="1:10" ht="42.75" hidden="1" customHeight="1">
      <c r="A174" s="12">
        <v>239</v>
      </c>
      <c r="B174" s="6" t="s">
        <v>6</v>
      </c>
      <c r="C174" s="5" t="s">
        <v>10</v>
      </c>
      <c r="D174" s="5" t="s">
        <v>24</v>
      </c>
      <c r="E174" s="6" t="s">
        <v>306</v>
      </c>
      <c r="F174" s="6" t="s">
        <v>23</v>
      </c>
      <c r="G174" s="6" t="s">
        <v>79</v>
      </c>
      <c r="H174" s="5" t="s">
        <v>12</v>
      </c>
      <c r="I174" s="4" t="s">
        <v>224</v>
      </c>
      <c r="J174" s="4" t="e">
        <f>IF(SUM(#REF!)=0,"",IF(#REF!&gt;#REF!,"NEGATIVO","POSITIVO"))</f>
        <v>#REF!</v>
      </c>
    </row>
    <row r="175" spans="1:10" ht="42.75" hidden="1" customHeight="1">
      <c r="A175" s="12">
        <v>240</v>
      </c>
      <c r="B175" s="6" t="s">
        <v>6</v>
      </c>
      <c r="C175" s="5" t="s">
        <v>10</v>
      </c>
      <c r="D175" s="5" t="s">
        <v>24</v>
      </c>
      <c r="E175" s="6" t="s">
        <v>306</v>
      </c>
      <c r="F175" s="6" t="s">
        <v>23</v>
      </c>
      <c r="G175" s="6" t="s">
        <v>80</v>
      </c>
      <c r="H175" s="5" t="s">
        <v>12</v>
      </c>
      <c r="I175" s="4" t="s">
        <v>224</v>
      </c>
      <c r="J175" s="4" t="e">
        <f>IF(SUM(#REF!)=0,"",IF(#REF!&gt;#REF!,"NEGATIVO","POSITIVO"))</f>
        <v>#REF!</v>
      </c>
    </row>
    <row r="176" spans="1:10" ht="42.75" hidden="1" customHeight="1">
      <c r="A176" s="12">
        <v>241</v>
      </c>
      <c r="B176" s="6" t="s">
        <v>9</v>
      </c>
      <c r="C176" s="5" t="s">
        <v>10</v>
      </c>
      <c r="D176" s="5" t="s">
        <v>24</v>
      </c>
      <c r="E176" s="6" t="s">
        <v>306</v>
      </c>
      <c r="F176" s="6" t="s">
        <v>23</v>
      </c>
      <c r="G176" s="6" t="s">
        <v>73</v>
      </c>
      <c r="H176" s="5" t="s">
        <v>12</v>
      </c>
      <c r="I176" s="4" t="s">
        <v>224</v>
      </c>
      <c r="J176" s="4" t="e">
        <f>IF(SUM(#REF!)=0,"",IF(#REF!&gt;#REF!,"NEGATIVO","POSITIVO"))</f>
        <v>#REF!</v>
      </c>
    </row>
    <row r="177" spans="1:10" ht="42.75" hidden="1" customHeight="1">
      <c r="A177" s="12">
        <v>242</v>
      </c>
      <c r="B177" s="6" t="s">
        <v>9</v>
      </c>
      <c r="C177" s="5" t="s">
        <v>10</v>
      </c>
      <c r="D177" s="5" t="s">
        <v>24</v>
      </c>
      <c r="E177" s="6" t="s">
        <v>306</v>
      </c>
      <c r="F177" s="6" t="s">
        <v>23</v>
      </c>
      <c r="G177" s="6" t="s">
        <v>74</v>
      </c>
      <c r="H177" s="5" t="s">
        <v>12</v>
      </c>
      <c r="I177" s="4" t="s">
        <v>224</v>
      </c>
      <c r="J177" s="4" t="e">
        <f>IF(SUM(#REF!)=0,"",IF(#REF!&gt;#REF!,"NEGATIVO","POSITIVO"))</f>
        <v>#REF!</v>
      </c>
    </row>
    <row r="178" spans="1:10" ht="42.75" hidden="1" customHeight="1">
      <c r="A178" s="12">
        <v>247</v>
      </c>
      <c r="B178" s="6" t="s">
        <v>9</v>
      </c>
      <c r="C178" s="5" t="s">
        <v>10</v>
      </c>
      <c r="D178" s="5" t="s">
        <v>24</v>
      </c>
      <c r="E178" s="6" t="s">
        <v>306</v>
      </c>
      <c r="F178" s="6" t="s">
        <v>23</v>
      </c>
      <c r="G178" s="6" t="s">
        <v>75</v>
      </c>
      <c r="H178" s="5" t="s">
        <v>12</v>
      </c>
      <c r="I178" s="4" t="s">
        <v>224</v>
      </c>
      <c r="J178" s="4" t="e">
        <f>IF(SUM(#REF!)=0,"",IF(#REF!&gt;#REF!,"NEGATIVO","POSITIVO"))</f>
        <v>#REF!</v>
      </c>
    </row>
    <row r="179" spans="1:10" ht="42.75" hidden="1" customHeight="1">
      <c r="A179" s="12">
        <v>248</v>
      </c>
      <c r="B179" s="6" t="s">
        <v>6</v>
      </c>
      <c r="C179" s="5" t="s">
        <v>10</v>
      </c>
      <c r="D179" s="5" t="s">
        <v>25</v>
      </c>
      <c r="E179" s="5" t="s">
        <v>223</v>
      </c>
      <c r="F179" s="5" t="s">
        <v>18</v>
      </c>
      <c r="G179" s="5" t="s">
        <v>93</v>
      </c>
      <c r="H179" s="5" t="s">
        <v>12</v>
      </c>
      <c r="I179" s="4" t="s">
        <v>222</v>
      </c>
      <c r="J179" s="4" t="e">
        <f>IF(SUM(#REF!)=0,"",IF(#REF!&gt;#REF!,"NEGATIVO","POSITIVO"))</f>
        <v>#REF!</v>
      </c>
    </row>
    <row r="180" spans="1:10" ht="42.75" hidden="1" customHeight="1">
      <c r="A180" s="12">
        <v>249</v>
      </c>
      <c r="B180" s="6" t="s">
        <v>6</v>
      </c>
      <c r="C180" s="5" t="s">
        <v>10</v>
      </c>
      <c r="D180" s="5" t="s">
        <v>25</v>
      </c>
      <c r="E180" s="5" t="s">
        <v>223</v>
      </c>
      <c r="F180" s="5" t="s">
        <v>18</v>
      </c>
      <c r="G180" s="5" t="s">
        <v>94</v>
      </c>
      <c r="H180" s="5" t="s">
        <v>12</v>
      </c>
      <c r="I180" s="4" t="s">
        <v>222</v>
      </c>
      <c r="J180" s="4" t="e">
        <f>IF(SUM(#REF!)=0,"",IF(#REF!&gt;#REF!,"NEGATIVO","POSITIVO"))</f>
        <v>#REF!</v>
      </c>
    </row>
    <row r="181" spans="1:10" ht="42.75" hidden="1" customHeight="1">
      <c r="A181" s="12">
        <v>250</v>
      </c>
      <c r="B181" s="6" t="s">
        <v>6</v>
      </c>
      <c r="C181" s="5" t="s">
        <v>10</v>
      </c>
      <c r="D181" s="5" t="s">
        <v>25</v>
      </c>
      <c r="E181" s="5" t="s">
        <v>223</v>
      </c>
      <c r="F181" s="5" t="s">
        <v>18</v>
      </c>
      <c r="G181" s="5" t="s">
        <v>95</v>
      </c>
      <c r="H181" s="5" t="s">
        <v>12</v>
      </c>
      <c r="I181" s="4" t="s">
        <v>222</v>
      </c>
      <c r="J181" s="4" t="e">
        <f>IF(SUM(#REF!)=0,"",IF(#REF!&gt;#REF!,"NEGATIVO","POSITIVO"))</f>
        <v>#REF!</v>
      </c>
    </row>
    <row r="182" spans="1:10" ht="42.75" hidden="1" customHeight="1">
      <c r="A182" s="12">
        <v>251</v>
      </c>
      <c r="B182" s="6" t="s">
        <v>6</v>
      </c>
      <c r="C182" s="5" t="s">
        <v>10</v>
      </c>
      <c r="D182" s="5" t="s">
        <v>25</v>
      </c>
      <c r="E182" s="5" t="s">
        <v>223</v>
      </c>
      <c r="F182" s="5" t="s">
        <v>18</v>
      </c>
      <c r="G182" s="5" t="s">
        <v>96</v>
      </c>
      <c r="H182" s="5" t="s">
        <v>12</v>
      </c>
      <c r="I182" s="4" t="s">
        <v>222</v>
      </c>
      <c r="J182" s="4" t="e">
        <f>IF(SUM(#REF!)=0,"",IF(#REF!&gt;#REF!,"NEGATIVO","POSITIVO"))</f>
        <v>#REF!</v>
      </c>
    </row>
    <row r="183" spans="1:10" ht="57" hidden="1" customHeight="1">
      <c r="A183" s="12">
        <v>252</v>
      </c>
      <c r="B183" s="6" t="s">
        <v>6</v>
      </c>
      <c r="C183" s="5" t="s">
        <v>10</v>
      </c>
      <c r="D183" s="5" t="s">
        <v>25</v>
      </c>
      <c r="E183" s="5" t="s">
        <v>223</v>
      </c>
      <c r="F183" s="5" t="s">
        <v>18</v>
      </c>
      <c r="G183" s="5" t="s">
        <v>97</v>
      </c>
      <c r="H183" s="5" t="s">
        <v>12</v>
      </c>
      <c r="I183" s="4" t="s">
        <v>333</v>
      </c>
      <c r="J183" s="4" t="e">
        <f>IF(SUM(#REF!)=0,"",IF(#REF!&gt;#REF!,"NEGATIVO","POSITIVO"))</f>
        <v>#REF!</v>
      </c>
    </row>
    <row r="184" spans="1:10" ht="42.75" hidden="1" customHeight="1">
      <c r="A184" s="12">
        <v>253</v>
      </c>
      <c r="B184" s="6" t="s">
        <v>6</v>
      </c>
      <c r="C184" s="5" t="s">
        <v>10</v>
      </c>
      <c r="D184" s="5" t="s">
        <v>25</v>
      </c>
      <c r="E184" s="5" t="s">
        <v>223</v>
      </c>
      <c r="F184" s="5" t="s">
        <v>21</v>
      </c>
      <c r="G184" s="5" t="s">
        <v>98</v>
      </c>
      <c r="H184" s="5" t="s">
        <v>12</v>
      </c>
      <c r="I184" s="4" t="s">
        <v>222</v>
      </c>
      <c r="J184" s="4" t="e">
        <f>IF(SUM(#REF!)=0,"",IF(#REF!&gt;#REF!,"NEGATIVO","POSITIVO"))</f>
        <v>#REF!</v>
      </c>
    </row>
    <row r="185" spans="1:10" ht="42.75" hidden="1" customHeight="1">
      <c r="A185" s="12">
        <v>254</v>
      </c>
      <c r="B185" s="6" t="s">
        <v>6</v>
      </c>
      <c r="C185" s="5" t="s">
        <v>10</v>
      </c>
      <c r="D185" s="5" t="s">
        <v>25</v>
      </c>
      <c r="E185" s="5" t="s">
        <v>223</v>
      </c>
      <c r="F185" s="5" t="s">
        <v>21</v>
      </c>
      <c r="G185" s="5" t="s">
        <v>85</v>
      </c>
      <c r="H185" s="5" t="s">
        <v>12</v>
      </c>
      <c r="I185" s="4" t="s">
        <v>222</v>
      </c>
      <c r="J185" s="4" t="e">
        <f>IF(SUM(#REF!)=0,"",IF(#REF!&gt;#REF!,"NEGATIVO","POSITIVO"))</f>
        <v>#REF!</v>
      </c>
    </row>
    <row r="186" spans="1:10" s="3" customFormat="1" ht="42.75" hidden="1" customHeight="1">
      <c r="A186" s="12">
        <v>255</v>
      </c>
      <c r="B186" s="6" t="s">
        <v>6</v>
      </c>
      <c r="C186" s="5" t="s">
        <v>10</v>
      </c>
      <c r="D186" s="5" t="s">
        <v>25</v>
      </c>
      <c r="E186" s="5" t="s">
        <v>223</v>
      </c>
      <c r="F186" s="5" t="s">
        <v>18</v>
      </c>
      <c r="G186" s="5" t="s">
        <v>99</v>
      </c>
      <c r="H186" s="5" t="s">
        <v>12</v>
      </c>
      <c r="I186" s="4" t="s">
        <v>222</v>
      </c>
      <c r="J186" s="4" t="e">
        <f>IF(SUM(#REF!)=0,"",IF(#REF!&gt;#REF!,"NEGATIVO","POSITIVO"))</f>
        <v>#REF!</v>
      </c>
    </row>
    <row r="187" spans="1:10" s="3" customFormat="1" ht="42.75" hidden="1" customHeight="1">
      <c r="A187" s="12">
        <v>256</v>
      </c>
      <c r="B187" s="6" t="s">
        <v>6</v>
      </c>
      <c r="C187" s="5" t="s">
        <v>10</v>
      </c>
      <c r="D187" s="5" t="s">
        <v>25</v>
      </c>
      <c r="E187" s="5" t="s">
        <v>223</v>
      </c>
      <c r="F187" s="5" t="s">
        <v>21</v>
      </c>
      <c r="G187" s="5" t="s">
        <v>86</v>
      </c>
      <c r="H187" s="5" t="s">
        <v>12</v>
      </c>
      <c r="I187" s="4" t="s">
        <v>222</v>
      </c>
      <c r="J187" s="4" t="e">
        <f>IF(SUM(#REF!)=0,"",IF(#REF!&gt;#REF!,"NEGATIVO","POSITIVO"))</f>
        <v>#REF!</v>
      </c>
    </row>
    <row r="188" spans="1:10" s="3" customFormat="1" ht="42.75" hidden="1" customHeight="1">
      <c r="A188" s="12">
        <v>257</v>
      </c>
      <c r="B188" s="6" t="s">
        <v>6</v>
      </c>
      <c r="C188" s="5" t="s">
        <v>10</v>
      </c>
      <c r="D188" s="5" t="s">
        <v>25</v>
      </c>
      <c r="E188" s="5" t="s">
        <v>223</v>
      </c>
      <c r="F188" s="5" t="s">
        <v>23</v>
      </c>
      <c r="G188" s="5" t="s">
        <v>137</v>
      </c>
      <c r="H188" s="5" t="s">
        <v>12</v>
      </c>
      <c r="I188" s="4" t="s">
        <v>222</v>
      </c>
      <c r="J188" s="4" t="e">
        <f>IF(SUM(#REF!)=0,"",IF(#REF!&gt;#REF!,"NEGATIVO","POSITIVO"))</f>
        <v>#REF!</v>
      </c>
    </row>
    <row r="189" spans="1:10" s="3" customFormat="1" ht="42.75" hidden="1" customHeight="1">
      <c r="A189" s="12">
        <v>258</v>
      </c>
      <c r="B189" s="6" t="s">
        <v>6</v>
      </c>
      <c r="C189" s="5" t="s">
        <v>10</v>
      </c>
      <c r="D189" s="5" t="s">
        <v>25</v>
      </c>
      <c r="E189" s="5" t="s">
        <v>223</v>
      </c>
      <c r="F189" s="5" t="s">
        <v>23</v>
      </c>
      <c r="G189" s="5" t="s">
        <v>100</v>
      </c>
      <c r="H189" s="5" t="s">
        <v>12</v>
      </c>
      <c r="I189" s="4" t="s">
        <v>222</v>
      </c>
      <c r="J189" s="4" t="e">
        <f>IF(SUM(#REF!)=0,"",IF(#REF!&gt;#REF!,"NEGATIVO","POSITIVO"))</f>
        <v>#REF!</v>
      </c>
    </row>
    <row r="190" spans="1:10" s="3" customFormat="1" ht="42.75" hidden="1" customHeight="1">
      <c r="A190" s="12">
        <v>259</v>
      </c>
      <c r="B190" s="6" t="s">
        <v>6</v>
      </c>
      <c r="C190" s="5" t="s">
        <v>10</v>
      </c>
      <c r="D190" s="5" t="s">
        <v>25</v>
      </c>
      <c r="E190" s="5" t="s">
        <v>223</v>
      </c>
      <c r="F190" s="5" t="s">
        <v>23</v>
      </c>
      <c r="G190" s="5" t="s">
        <v>101</v>
      </c>
      <c r="H190" s="5" t="s">
        <v>12</v>
      </c>
      <c r="I190" s="4" t="s">
        <v>222</v>
      </c>
      <c r="J190" s="4" t="e">
        <f>IF(SUM(#REF!)=0,"",IF(#REF!&gt;#REF!,"NEGATIVO","POSITIVO"))</f>
        <v>#REF!</v>
      </c>
    </row>
    <row r="191" spans="1:10" s="3" customFormat="1" ht="42.75" hidden="1" customHeight="1">
      <c r="A191" s="12">
        <v>260</v>
      </c>
      <c r="B191" s="6" t="s">
        <v>6</v>
      </c>
      <c r="C191" s="5" t="s">
        <v>10</v>
      </c>
      <c r="D191" s="5" t="s">
        <v>25</v>
      </c>
      <c r="E191" s="5" t="s">
        <v>223</v>
      </c>
      <c r="F191" s="5" t="s">
        <v>23</v>
      </c>
      <c r="G191" s="5" t="s">
        <v>136</v>
      </c>
      <c r="H191" s="5" t="s">
        <v>12</v>
      </c>
      <c r="I191" s="4" t="s">
        <v>222</v>
      </c>
      <c r="J191" s="4" t="e">
        <f>IF(SUM(#REF!)=0,"",IF(#REF!&gt;#REF!,"NEGATIVO","POSITIVO"))</f>
        <v>#REF!</v>
      </c>
    </row>
    <row r="192" spans="1:10" s="3" customFormat="1" ht="42.75" hidden="1" customHeight="1">
      <c r="A192" s="12">
        <v>261</v>
      </c>
      <c r="B192" s="6" t="s">
        <v>6</v>
      </c>
      <c r="C192" s="5" t="s">
        <v>10</v>
      </c>
      <c r="D192" s="5" t="s">
        <v>25</v>
      </c>
      <c r="E192" s="5" t="s">
        <v>223</v>
      </c>
      <c r="F192" s="5" t="s">
        <v>23</v>
      </c>
      <c r="G192" s="5" t="s">
        <v>87</v>
      </c>
      <c r="H192" s="5" t="s">
        <v>12</v>
      </c>
      <c r="I192" s="4" t="s">
        <v>222</v>
      </c>
      <c r="J192" s="4" t="e">
        <f>IF(SUM(#REF!)=0,"",IF(#REF!&gt;#REF!,"NEGATIVO","POSITIVO"))</f>
        <v>#REF!</v>
      </c>
    </row>
    <row r="193" spans="1:10" s="3" customFormat="1" ht="57" hidden="1" customHeight="1">
      <c r="A193" s="12">
        <v>263</v>
      </c>
      <c r="B193" s="6" t="s">
        <v>6</v>
      </c>
      <c r="C193" s="5" t="s">
        <v>10</v>
      </c>
      <c r="D193" s="5" t="s">
        <v>25</v>
      </c>
      <c r="E193" s="5" t="s">
        <v>223</v>
      </c>
      <c r="F193" s="5" t="s">
        <v>18</v>
      </c>
      <c r="G193" s="5" t="s">
        <v>88</v>
      </c>
      <c r="H193" s="5" t="s">
        <v>12</v>
      </c>
      <c r="I193" s="4" t="s">
        <v>333</v>
      </c>
      <c r="J193" s="4" t="e">
        <f>IF(SUM(#REF!)=0,"",IF(#REF!&gt;#REF!,"NEGATIVO","POSITIVO"))</f>
        <v>#REF!</v>
      </c>
    </row>
    <row r="194" spans="1:10" s="3" customFormat="1" ht="87.75" hidden="1" customHeight="1">
      <c r="A194" s="12">
        <v>264</v>
      </c>
      <c r="B194" s="6" t="s">
        <v>6</v>
      </c>
      <c r="C194" s="5" t="s">
        <v>10</v>
      </c>
      <c r="D194" s="5" t="s">
        <v>25</v>
      </c>
      <c r="E194" s="5" t="s">
        <v>223</v>
      </c>
      <c r="F194" s="5" t="s">
        <v>21</v>
      </c>
      <c r="G194" s="5" t="s">
        <v>89</v>
      </c>
      <c r="H194" s="5" t="s">
        <v>12</v>
      </c>
      <c r="I194" s="4" t="s">
        <v>333</v>
      </c>
      <c r="J194" s="4" t="e">
        <f>IF(SUM(#REF!)=0,"",IF(#REF!&gt;#REF!,"NEGATIVO","POSITIVO"))</f>
        <v>#REF!</v>
      </c>
    </row>
    <row r="195" spans="1:10" s="3" customFormat="1" ht="42.75" hidden="1" customHeight="1">
      <c r="A195" s="12">
        <v>265</v>
      </c>
      <c r="B195" s="6" t="s">
        <v>6</v>
      </c>
      <c r="C195" s="5" t="s">
        <v>10</v>
      </c>
      <c r="D195" s="5" t="s">
        <v>25</v>
      </c>
      <c r="E195" s="5" t="s">
        <v>223</v>
      </c>
      <c r="F195" s="5" t="s">
        <v>23</v>
      </c>
      <c r="G195" s="5" t="s">
        <v>91</v>
      </c>
      <c r="H195" s="5" t="s">
        <v>12</v>
      </c>
      <c r="I195" s="4" t="s">
        <v>222</v>
      </c>
      <c r="J195" s="4" t="e">
        <f>IF(SUM(#REF!)=0,"",IF(#REF!&gt;#REF!,"NEGATIVO","POSITIVO"))</f>
        <v>#REF!</v>
      </c>
    </row>
    <row r="196" spans="1:10" s="3" customFormat="1" ht="42.75" hidden="1" customHeight="1">
      <c r="A196" s="12">
        <v>266</v>
      </c>
      <c r="B196" s="6" t="s">
        <v>6</v>
      </c>
      <c r="C196" s="5" t="s">
        <v>10</v>
      </c>
      <c r="D196" s="5" t="s">
        <v>25</v>
      </c>
      <c r="E196" s="5" t="s">
        <v>223</v>
      </c>
      <c r="F196" s="5" t="s">
        <v>23</v>
      </c>
      <c r="G196" s="5" t="s">
        <v>90</v>
      </c>
      <c r="H196" s="5" t="s">
        <v>12</v>
      </c>
      <c r="I196" s="4" t="s">
        <v>222</v>
      </c>
      <c r="J196" s="4" t="e">
        <f>IF(SUM(#REF!)=0,"",IF(#REF!&gt;#REF!,"NEGATIVO","POSITIVO"))</f>
        <v>#REF!</v>
      </c>
    </row>
    <row r="197" spans="1:10" s="3" customFormat="1" ht="42.75" hidden="1" customHeight="1">
      <c r="A197" s="12">
        <v>267</v>
      </c>
      <c r="B197" s="6" t="s">
        <v>6</v>
      </c>
      <c r="C197" s="5" t="s">
        <v>10</v>
      </c>
      <c r="D197" s="5" t="s">
        <v>25</v>
      </c>
      <c r="E197" s="5" t="s">
        <v>223</v>
      </c>
      <c r="F197" s="5" t="s">
        <v>23</v>
      </c>
      <c r="G197" s="5" t="s">
        <v>92</v>
      </c>
      <c r="H197" s="5" t="s">
        <v>12</v>
      </c>
      <c r="I197" s="4" t="s">
        <v>222</v>
      </c>
      <c r="J197" s="4" t="e">
        <f>IF(SUM(#REF!)=0,"",IF(#REF!&gt;#REF!,"NEGATIVO","POSITIVO"))</f>
        <v>#REF!</v>
      </c>
    </row>
    <row r="198" spans="1:10" s="3" customFormat="1" ht="57" hidden="1" customHeight="1">
      <c r="A198" s="12">
        <v>269</v>
      </c>
      <c r="B198" s="6" t="s">
        <v>6</v>
      </c>
      <c r="C198" s="5" t="s">
        <v>10</v>
      </c>
      <c r="D198" s="5" t="s">
        <v>25</v>
      </c>
      <c r="E198" s="5" t="s">
        <v>223</v>
      </c>
      <c r="F198" s="5" t="s">
        <v>18</v>
      </c>
      <c r="G198" s="5" t="s">
        <v>115</v>
      </c>
      <c r="H198" s="5" t="s">
        <v>12</v>
      </c>
      <c r="I198" s="4" t="s">
        <v>333</v>
      </c>
      <c r="J198" s="4" t="e">
        <f>IF(SUM(#REF!)=0,"",IF(#REF!&gt;#REF!,"NEGATIVO","POSITIVO"))</f>
        <v>#REF!</v>
      </c>
    </row>
    <row r="199" spans="1:10" s="3" customFormat="1" ht="42.75" hidden="1" customHeight="1">
      <c r="A199" s="12">
        <v>270</v>
      </c>
      <c r="B199" s="6" t="s">
        <v>6</v>
      </c>
      <c r="C199" s="5" t="s">
        <v>10</v>
      </c>
      <c r="D199" s="5" t="s">
        <v>25</v>
      </c>
      <c r="E199" s="5" t="s">
        <v>223</v>
      </c>
      <c r="F199" s="5" t="s">
        <v>21</v>
      </c>
      <c r="G199" s="5" t="s">
        <v>116</v>
      </c>
      <c r="H199" s="5" t="s">
        <v>12</v>
      </c>
      <c r="I199" s="4" t="s">
        <v>222</v>
      </c>
      <c r="J199" s="4" t="e">
        <f>IF(SUM(#REF!)=0,"",IF(#REF!&gt;#REF!,"NEGATIVO","POSITIVO"))</f>
        <v>#REF!</v>
      </c>
    </row>
    <row r="200" spans="1:10" s="3" customFormat="1" ht="42.75" hidden="1" customHeight="1">
      <c r="A200" s="12">
        <v>271</v>
      </c>
      <c r="B200" s="6" t="s">
        <v>6</v>
      </c>
      <c r="C200" s="5" t="s">
        <v>10</v>
      </c>
      <c r="D200" s="5" t="s">
        <v>25</v>
      </c>
      <c r="E200" s="5" t="s">
        <v>223</v>
      </c>
      <c r="F200" s="5" t="s">
        <v>18</v>
      </c>
      <c r="G200" s="5" t="s">
        <v>124</v>
      </c>
      <c r="H200" s="5" t="s">
        <v>12</v>
      </c>
      <c r="I200" s="4" t="s">
        <v>222</v>
      </c>
      <c r="J200" s="4" t="e">
        <f>IF(SUM(#REF!)=0,"",IF(#REF!&gt;#REF!,"NEGATIVO","POSITIVO"))</f>
        <v>#REF!</v>
      </c>
    </row>
    <row r="201" spans="1:10" s="3" customFormat="1" ht="42.75" hidden="1" customHeight="1">
      <c r="A201" s="12">
        <v>272</v>
      </c>
      <c r="B201" s="6" t="s">
        <v>6</v>
      </c>
      <c r="C201" s="5" t="s">
        <v>10</v>
      </c>
      <c r="D201" s="5" t="s">
        <v>25</v>
      </c>
      <c r="E201" s="5" t="s">
        <v>223</v>
      </c>
      <c r="F201" s="5" t="s">
        <v>23</v>
      </c>
      <c r="G201" s="5" t="s">
        <v>117</v>
      </c>
      <c r="H201" s="5" t="s">
        <v>12</v>
      </c>
      <c r="I201" s="4" t="s">
        <v>222</v>
      </c>
      <c r="J201" s="4" t="e">
        <f>IF(SUM(#REF!)=0,"",IF(#REF!&gt;#REF!,"NEGATIVO","POSITIVO"))</f>
        <v>#REF!</v>
      </c>
    </row>
    <row r="202" spans="1:10" s="3" customFormat="1" ht="42.75" hidden="1" customHeight="1">
      <c r="A202" s="12">
        <v>273</v>
      </c>
      <c r="B202" s="6" t="s">
        <v>6</v>
      </c>
      <c r="C202" s="5" t="s">
        <v>10</v>
      </c>
      <c r="D202" s="5" t="s">
        <v>25</v>
      </c>
      <c r="E202" s="5" t="s">
        <v>223</v>
      </c>
      <c r="F202" s="5" t="s">
        <v>23</v>
      </c>
      <c r="G202" s="5" t="s">
        <v>119</v>
      </c>
      <c r="H202" s="5" t="s">
        <v>12</v>
      </c>
      <c r="I202" s="4" t="s">
        <v>222</v>
      </c>
      <c r="J202" s="4" t="e">
        <f>IF(SUM(#REF!)=0,"",IF(#REF!&gt;#REF!,"NEGATIVO","POSITIVO"))</f>
        <v>#REF!</v>
      </c>
    </row>
    <row r="203" spans="1:10" s="3" customFormat="1" ht="42.75" hidden="1" customHeight="1">
      <c r="A203" s="12">
        <v>274</v>
      </c>
      <c r="B203" s="6" t="s">
        <v>6</v>
      </c>
      <c r="C203" s="5" t="s">
        <v>10</v>
      </c>
      <c r="D203" s="5" t="s">
        <v>25</v>
      </c>
      <c r="E203" s="5" t="s">
        <v>223</v>
      </c>
      <c r="F203" s="5" t="s">
        <v>23</v>
      </c>
      <c r="G203" s="5" t="s">
        <v>118</v>
      </c>
      <c r="H203" s="5" t="s">
        <v>12</v>
      </c>
      <c r="I203" s="4" t="s">
        <v>222</v>
      </c>
      <c r="J203" s="4" t="e">
        <f>IF(SUM(#REF!)=0,"",IF(#REF!&gt;#REF!,"NEGATIVO","POSITIVO"))</f>
        <v>#REF!</v>
      </c>
    </row>
    <row r="204" spans="1:10" s="3" customFormat="1" ht="42.75" hidden="1" customHeight="1">
      <c r="A204" s="12">
        <v>275</v>
      </c>
      <c r="B204" s="6" t="s">
        <v>6</v>
      </c>
      <c r="C204" s="5" t="s">
        <v>10</v>
      </c>
      <c r="D204" s="5" t="s">
        <v>25</v>
      </c>
      <c r="E204" s="5" t="s">
        <v>223</v>
      </c>
      <c r="F204" s="5" t="s">
        <v>23</v>
      </c>
      <c r="G204" s="5" t="s">
        <v>120</v>
      </c>
      <c r="H204" s="5" t="s">
        <v>12</v>
      </c>
      <c r="I204" s="4" t="s">
        <v>222</v>
      </c>
      <c r="J204" s="4" t="e">
        <f>IF(SUM(#REF!)=0,"",IF(#REF!&gt;#REF!,"NEGATIVO","POSITIVO"))</f>
        <v>#REF!</v>
      </c>
    </row>
    <row r="205" spans="1:10" s="3" customFormat="1" ht="42.75" hidden="1" customHeight="1">
      <c r="A205" s="12">
        <v>276</v>
      </c>
      <c r="B205" s="6" t="s">
        <v>6</v>
      </c>
      <c r="C205" s="5" t="s">
        <v>10</v>
      </c>
      <c r="D205" s="5" t="s">
        <v>25</v>
      </c>
      <c r="E205" s="5" t="s">
        <v>223</v>
      </c>
      <c r="F205" s="5" t="s">
        <v>21</v>
      </c>
      <c r="G205" s="5" t="s">
        <v>121</v>
      </c>
      <c r="H205" s="5" t="s">
        <v>12</v>
      </c>
      <c r="I205" s="4" t="s">
        <v>222</v>
      </c>
      <c r="J205" s="4" t="e">
        <f>IF(SUM(#REF!)=0,"",IF(#REF!&gt;#REF!,"NEGATIVO","POSITIVO"))</f>
        <v>#REF!</v>
      </c>
    </row>
    <row r="206" spans="1:10" s="3" customFormat="1" ht="42.75" hidden="1" customHeight="1">
      <c r="A206" s="12">
        <v>277</v>
      </c>
      <c r="B206" s="6" t="s">
        <v>6</v>
      </c>
      <c r="C206" s="5" t="s">
        <v>10</v>
      </c>
      <c r="D206" s="5" t="s">
        <v>25</v>
      </c>
      <c r="E206" s="5" t="s">
        <v>223</v>
      </c>
      <c r="F206" s="5" t="s">
        <v>23</v>
      </c>
      <c r="G206" s="5" t="s">
        <v>122</v>
      </c>
      <c r="H206" s="5" t="s">
        <v>12</v>
      </c>
      <c r="I206" s="4" t="s">
        <v>222</v>
      </c>
      <c r="J206" s="4" t="e">
        <f>IF(SUM(#REF!)=0,"",IF(#REF!&gt;#REF!,"NEGATIVO","POSITIVO"))</f>
        <v>#REF!</v>
      </c>
    </row>
    <row r="207" spans="1:10" s="3" customFormat="1" ht="42.75" hidden="1" customHeight="1">
      <c r="A207" s="12">
        <v>278</v>
      </c>
      <c r="B207" s="6" t="s">
        <v>6</v>
      </c>
      <c r="C207" s="5" t="s">
        <v>10</v>
      </c>
      <c r="D207" s="5" t="s">
        <v>25</v>
      </c>
      <c r="E207" s="5" t="s">
        <v>223</v>
      </c>
      <c r="F207" s="5" t="s">
        <v>23</v>
      </c>
      <c r="G207" s="5" t="s">
        <v>123</v>
      </c>
      <c r="H207" s="5" t="s">
        <v>12</v>
      </c>
      <c r="I207" s="4" t="s">
        <v>222</v>
      </c>
      <c r="J207" s="4" t="e">
        <f>IF(SUM(#REF!)=0,"",IF(#REF!&gt;#REF!,"NEGATIVO","POSITIVO"))</f>
        <v>#REF!</v>
      </c>
    </row>
    <row r="208" spans="1:10" s="3" customFormat="1" ht="42.75" hidden="1" customHeight="1">
      <c r="A208" s="12">
        <v>279</v>
      </c>
      <c r="B208" s="6" t="s">
        <v>6</v>
      </c>
      <c r="C208" s="5" t="s">
        <v>10</v>
      </c>
      <c r="D208" s="5" t="s">
        <v>25</v>
      </c>
      <c r="E208" s="6" t="s">
        <v>148</v>
      </c>
      <c r="F208" s="5" t="s">
        <v>23</v>
      </c>
      <c r="G208" s="5" t="s">
        <v>216</v>
      </c>
      <c r="H208" s="5" t="s">
        <v>12</v>
      </c>
      <c r="I208" s="4" t="s">
        <v>222</v>
      </c>
      <c r="J208" s="4" t="e">
        <f>IF(SUM(#REF!)=0,"",IF(#REF!&gt;#REF!,"NEGATIVO","POSITIVO"))</f>
        <v>#REF!</v>
      </c>
    </row>
    <row r="209" spans="1:10" s="3" customFormat="1" ht="42.75" hidden="1" customHeight="1">
      <c r="A209" s="12">
        <v>280</v>
      </c>
      <c r="B209" s="6" t="s">
        <v>6</v>
      </c>
      <c r="C209" s="5" t="s">
        <v>10</v>
      </c>
      <c r="D209" s="5" t="s">
        <v>25</v>
      </c>
      <c r="E209" s="6" t="s">
        <v>148</v>
      </c>
      <c r="F209" s="5" t="s">
        <v>23</v>
      </c>
      <c r="G209" s="13" t="s">
        <v>217</v>
      </c>
      <c r="H209" s="5" t="s">
        <v>12</v>
      </c>
      <c r="I209" s="4" t="s">
        <v>224</v>
      </c>
      <c r="J209" s="4" t="e">
        <f>IF(SUM(#REF!)=0,"",IF(#REF!&gt;#REF!,"NEGATIVO","POSITIVO"))</f>
        <v>#REF!</v>
      </c>
    </row>
    <row r="210" spans="1:10" s="3" customFormat="1" ht="42.75" hidden="1" customHeight="1">
      <c r="A210" s="12">
        <v>281</v>
      </c>
      <c r="B210" s="6" t="s">
        <v>6</v>
      </c>
      <c r="C210" s="5" t="s">
        <v>10</v>
      </c>
      <c r="D210" s="5" t="s">
        <v>25</v>
      </c>
      <c r="E210" s="6" t="s">
        <v>148</v>
      </c>
      <c r="F210" s="5" t="s">
        <v>23</v>
      </c>
      <c r="G210" s="13" t="s">
        <v>218</v>
      </c>
      <c r="H210" s="5" t="s">
        <v>12</v>
      </c>
      <c r="I210" s="4" t="s">
        <v>222</v>
      </c>
      <c r="J210" s="4" t="e">
        <f>IF(SUM(#REF!)=0,"",IF(#REF!&gt;#REF!,"NEGATIVO","POSITIVO"))</f>
        <v>#REF!</v>
      </c>
    </row>
    <row r="211" spans="1:10" s="3" customFormat="1" ht="42.75" hidden="1" customHeight="1">
      <c r="A211" s="12">
        <v>282</v>
      </c>
      <c r="B211" s="6" t="s">
        <v>6</v>
      </c>
      <c r="C211" s="5" t="s">
        <v>10</v>
      </c>
      <c r="D211" s="5" t="s">
        <v>25</v>
      </c>
      <c r="E211" s="5" t="s">
        <v>159</v>
      </c>
      <c r="F211" s="5" t="s">
        <v>18</v>
      </c>
      <c r="G211" s="5" t="s">
        <v>111</v>
      </c>
      <c r="H211" s="5" t="s">
        <v>12</v>
      </c>
      <c r="I211" s="4" t="s">
        <v>222</v>
      </c>
      <c r="J211" s="4" t="e">
        <f>IF(SUM(#REF!)=0,"",IF(#REF!&gt;#REF!,"NEGATIVO","POSITIVO"))</f>
        <v>#REF!</v>
      </c>
    </row>
    <row r="212" spans="1:10" s="3" customFormat="1" ht="42.75" hidden="1" customHeight="1">
      <c r="A212" s="12">
        <v>283</v>
      </c>
      <c r="B212" s="6" t="s">
        <v>6</v>
      </c>
      <c r="C212" s="5" t="s">
        <v>10</v>
      </c>
      <c r="D212" s="5" t="s">
        <v>25</v>
      </c>
      <c r="E212" s="5" t="s">
        <v>159</v>
      </c>
      <c r="F212" s="5" t="s">
        <v>20</v>
      </c>
      <c r="G212" s="5" t="s">
        <v>112</v>
      </c>
      <c r="H212" s="5" t="s">
        <v>12</v>
      </c>
      <c r="I212" s="4" t="s">
        <v>222</v>
      </c>
      <c r="J212" s="4" t="e">
        <f>IF(SUM(#REF!)=0,"",IF(#REF!&gt;#REF!,"NEGATIVO","POSITIVO"))</f>
        <v>#REF!</v>
      </c>
    </row>
    <row r="213" spans="1:10" s="3" customFormat="1" ht="42.75" hidden="1" customHeight="1">
      <c r="A213" s="12">
        <v>284</v>
      </c>
      <c r="B213" s="6" t="s">
        <v>6</v>
      </c>
      <c r="C213" s="5" t="s">
        <v>10</v>
      </c>
      <c r="D213" s="5" t="s">
        <v>25</v>
      </c>
      <c r="E213" s="5" t="s">
        <v>159</v>
      </c>
      <c r="F213" s="5" t="s">
        <v>23</v>
      </c>
      <c r="G213" s="5" t="s">
        <v>113</v>
      </c>
      <c r="H213" s="5" t="s">
        <v>12</v>
      </c>
      <c r="I213" s="4" t="s">
        <v>222</v>
      </c>
      <c r="J213" s="4" t="e">
        <f>IF(SUM(#REF!)=0,"",IF(#REF!&gt;#REF!,"NEGATIVO","POSITIVO"))</f>
        <v>#REF!</v>
      </c>
    </row>
    <row r="214" spans="1:10" s="3" customFormat="1" ht="42.75" hidden="1" customHeight="1">
      <c r="A214" s="12">
        <v>285</v>
      </c>
      <c r="B214" s="6" t="s">
        <v>6</v>
      </c>
      <c r="C214" s="5" t="s">
        <v>10</v>
      </c>
      <c r="D214" s="5" t="s">
        <v>25</v>
      </c>
      <c r="E214" s="5" t="s">
        <v>159</v>
      </c>
      <c r="F214" s="5" t="s">
        <v>19</v>
      </c>
      <c r="G214" s="5" t="s">
        <v>114</v>
      </c>
      <c r="H214" s="5" t="s">
        <v>12</v>
      </c>
      <c r="I214" s="4" t="s">
        <v>222</v>
      </c>
      <c r="J214" s="4" t="e">
        <f>IF(SUM(#REF!)=0,"",IF(#REF!&gt;#REF!,"NEGATIVO","POSITIVO"))</f>
        <v>#REF!</v>
      </c>
    </row>
    <row r="215" spans="1:10" s="3" customFormat="1" ht="42.75" hidden="1" customHeight="1">
      <c r="A215" s="12">
        <v>286</v>
      </c>
      <c r="B215" s="6" t="s">
        <v>6</v>
      </c>
      <c r="C215" s="5" t="s">
        <v>10</v>
      </c>
      <c r="D215" s="5" t="s">
        <v>24</v>
      </c>
      <c r="E215" s="4" t="s">
        <v>316</v>
      </c>
      <c r="F215" s="5" t="s">
        <v>18</v>
      </c>
      <c r="G215" s="5" t="s">
        <v>127</v>
      </c>
      <c r="H215" s="5" t="s">
        <v>12</v>
      </c>
      <c r="I215" s="4" t="s">
        <v>222</v>
      </c>
      <c r="J215" s="4" t="e">
        <f>IF(SUM(#REF!)=0,"",IF(#REF!&gt;#REF!,"NEGATIVO","POSITIVO"))</f>
        <v>#REF!</v>
      </c>
    </row>
    <row r="216" spans="1:10" s="3" customFormat="1" ht="42.75" hidden="1" customHeight="1">
      <c r="A216" s="12">
        <v>287</v>
      </c>
      <c r="B216" s="6" t="s">
        <v>6</v>
      </c>
      <c r="C216" s="5" t="s">
        <v>10</v>
      </c>
      <c r="D216" s="5" t="s">
        <v>24</v>
      </c>
      <c r="E216" s="4" t="s">
        <v>316</v>
      </c>
      <c r="F216" s="5" t="s">
        <v>20</v>
      </c>
      <c r="G216" s="5" t="s">
        <v>128</v>
      </c>
      <c r="H216" s="5" t="s">
        <v>12</v>
      </c>
      <c r="I216" s="4" t="s">
        <v>222</v>
      </c>
      <c r="J216" s="4" t="e">
        <f>IF(SUM(#REF!)=0,"",IF(#REF!&gt;#REF!,"NEGATIVO","POSITIVO"))</f>
        <v>#REF!</v>
      </c>
    </row>
    <row r="217" spans="1:10" s="3" customFormat="1" ht="42.75" hidden="1" customHeight="1">
      <c r="A217" s="12">
        <v>288</v>
      </c>
      <c r="B217" s="6" t="s">
        <v>6</v>
      </c>
      <c r="C217" s="5" t="s">
        <v>10</v>
      </c>
      <c r="D217" s="5" t="s">
        <v>24</v>
      </c>
      <c r="E217" s="4" t="s">
        <v>316</v>
      </c>
      <c r="F217" s="5" t="s">
        <v>20</v>
      </c>
      <c r="G217" s="5" t="s">
        <v>129</v>
      </c>
      <c r="H217" s="5" t="s">
        <v>12</v>
      </c>
      <c r="I217" s="4" t="s">
        <v>222</v>
      </c>
      <c r="J217" s="4" t="e">
        <f>IF(SUM(#REF!)=0,"",IF(#REF!&gt;#REF!,"NEGATIVO","POSITIVO"))</f>
        <v>#REF!</v>
      </c>
    </row>
    <row r="218" spans="1:10" s="3" customFormat="1" ht="42.75" hidden="1" customHeight="1">
      <c r="A218" s="12">
        <v>289</v>
      </c>
      <c r="B218" s="6" t="s">
        <v>6</v>
      </c>
      <c r="C218" s="5" t="s">
        <v>10</v>
      </c>
      <c r="D218" s="5" t="s">
        <v>24</v>
      </c>
      <c r="E218" s="4" t="s">
        <v>316</v>
      </c>
      <c r="F218" s="5" t="s">
        <v>18</v>
      </c>
      <c r="G218" s="5" t="s">
        <v>126</v>
      </c>
      <c r="H218" s="5" t="s">
        <v>12</v>
      </c>
      <c r="I218" s="4" t="s">
        <v>222</v>
      </c>
      <c r="J218" s="4" t="e">
        <f>IF(SUM(#REF!)=0,"",IF(#REF!&gt;#REF!,"NEGATIVO","POSITIVO"))</f>
        <v>#REF!</v>
      </c>
    </row>
    <row r="219" spans="1:10" s="3" customFormat="1" ht="42.75" hidden="1" customHeight="1">
      <c r="A219" s="12">
        <v>290</v>
      </c>
      <c r="B219" s="6" t="s">
        <v>6</v>
      </c>
      <c r="C219" s="5" t="s">
        <v>10</v>
      </c>
      <c r="D219" s="5" t="s">
        <v>25</v>
      </c>
      <c r="E219" s="6" t="s">
        <v>148</v>
      </c>
      <c r="F219" s="5" t="s">
        <v>23</v>
      </c>
      <c r="G219" s="5" t="s">
        <v>178</v>
      </c>
      <c r="H219" s="5" t="s">
        <v>12</v>
      </c>
      <c r="I219" s="4" t="s">
        <v>222</v>
      </c>
      <c r="J219" s="4" t="e">
        <f>IF(SUM(#REF!)=0,"",IF(#REF!&gt;#REF!,"NEGATIVO","POSITIVO"))</f>
        <v>#REF!</v>
      </c>
    </row>
    <row r="220" spans="1:10" s="3" customFormat="1" ht="42.75" hidden="1" customHeight="1">
      <c r="A220" s="12">
        <v>291</v>
      </c>
      <c r="B220" s="6" t="s">
        <v>6</v>
      </c>
      <c r="C220" s="5" t="s">
        <v>10</v>
      </c>
      <c r="D220" s="5" t="s">
        <v>25</v>
      </c>
      <c r="E220" s="6" t="s">
        <v>148</v>
      </c>
      <c r="F220" s="5" t="s">
        <v>19</v>
      </c>
      <c r="G220" s="13" t="s">
        <v>196</v>
      </c>
      <c r="H220" s="5" t="s">
        <v>12</v>
      </c>
      <c r="I220" s="4" t="s">
        <v>222</v>
      </c>
      <c r="J220" s="4" t="e">
        <f>IF(SUM(#REF!)=0,"",IF(#REF!&gt;#REF!,"NEGATIVO","POSITIVO"))</f>
        <v>#REF!</v>
      </c>
    </row>
    <row r="221" spans="1:10" s="3" customFormat="1" ht="42.75" hidden="1" customHeight="1">
      <c r="A221" s="12">
        <v>292</v>
      </c>
      <c r="B221" s="6" t="s">
        <v>6</v>
      </c>
      <c r="C221" s="5" t="s">
        <v>10</v>
      </c>
      <c r="D221" s="5" t="s">
        <v>25</v>
      </c>
      <c r="E221" s="6" t="s">
        <v>148</v>
      </c>
      <c r="F221" s="5" t="s">
        <v>19</v>
      </c>
      <c r="G221" s="5" t="s">
        <v>197</v>
      </c>
      <c r="H221" s="5" t="s">
        <v>12</v>
      </c>
      <c r="I221" s="4" t="s">
        <v>222</v>
      </c>
      <c r="J221" s="4" t="e">
        <f>IF(SUM(#REF!)=0,"",IF(#REF!&gt;#REF!,"NEGATIVO","POSITIVO"))</f>
        <v>#REF!</v>
      </c>
    </row>
    <row r="222" spans="1:10" ht="42.75" hidden="1" customHeight="1">
      <c r="A222" s="12">
        <v>294</v>
      </c>
      <c r="B222" s="6" t="s">
        <v>9</v>
      </c>
      <c r="C222" s="5" t="s">
        <v>10</v>
      </c>
      <c r="D222" s="5" t="s">
        <v>25</v>
      </c>
      <c r="E222" s="6" t="s">
        <v>140</v>
      </c>
      <c r="F222" s="6" t="s">
        <v>20</v>
      </c>
      <c r="G222" s="6" t="s">
        <v>225</v>
      </c>
      <c r="H222" s="5" t="s">
        <v>12</v>
      </c>
      <c r="I222" s="4" t="s">
        <v>314</v>
      </c>
      <c r="J222" s="4" t="e">
        <f>IF(SUM(#REF!)=0,"",IF(#REF!&gt;#REF!,"NEGATIVO","POSITIVO"))</f>
        <v>#REF!</v>
      </c>
    </row>
    <row r="223" spans="1:10" ht="42.75" hidden="1" customHeight="1">
      <c r="A223" s="12">
        <v>295</v>
      </c>
      <c r="B223" s="6" t="s">
        <v>9</v>
      </c>
      <c r="C223" s="5" t="s">
        <v>10</v>
      </c>
      <c r="D223" s="5" t="s">
        <v>25</v>
      </c>
      <c r="E223" s="6" t="s">
        <v>140</v>
      </c>
      <c r="F223" s="6" t="s">
        <v>23</v>
      </c>
      <c r="G223" s="6" t="s">
        <v>49</v>
      </c>
      <c r="H223" s="5" t="s">
        <v>12</v>
      </c>
      <c r="I223" s="4" t="s">
        <v>314</v>
      </c>
      <c r="J223" s="4" t="e">
        <f>IF(SUM(#REF!)=0,"",IF(#REF!&gt;#REF!,"NEGATIVO","POSITIVO"))</f>
        <v>#REF!</v>
      </c>
    </row>
    <row r="224" spans="1:10" ht="42.75" hidden="1" customHeight="1">
      <c r="A224" s="12">
        <v>296</v>
      </c>
      <c r="B224" s="6" t="s">
        <v>9</v>
      </c>
      <c r="C224" s="5" t="s">
        <v>10</v>
      </c>
      <c r="D224" s="5" t="s">
        <v>25</v>
      </c>
      <c r="E224" s="6" t="s">
        <v>140</v>
      </c>
      <c r="F224" s="6" t="s">
        <v>23</v>
      </c>
      <c r="G224" s="6" t="s">
        <v>226</v>
      </c>
      <c r="H224" s="5" t="s">
        <v>12</v>
      </c>
      <c r="I224" s="4" t="s">
        <v>314</v>
      </c>
      <c r="J224" s="4" t="e">
        <f>IF(SUM(#REF!)=0,"",IF(#REF!&gt;#REF!,"NEGATIVO","POSITIVO"))</f>
        <v>#REF!</v>
      </c>
    </row>
    <row r="225" spans="1:10" ht="42.75" hidden="1" customHeight="1">
      <c r="A225" s="12">
        <v>297</v>
      </c>
      <c r="B225" s="6" t="s">
        <v>9</v>
      </c>
      <c r="C225" s="5" t="s">
        <v>10</v>
      </c>
      <c r="D225" s="5" t="s">
        <v>25</v>
      </c>
      <c r="E225" s="6" t="s">
        <v>140</v>
      </c>
      <c r="F225" s="6" t="s">
        <v>23</v>
      </c>
      <c r="G225" s="6" t="s">
        <v>227</v>
      </c>
      <c r="H225" s="5" t="s">
        <v>12</v>
      </c>
      <c r="I225" s="4" t="s">
        <v>314</v>
      </c>
      <c r="J225" s="4" t="e">
        <f>IF(SUM(#REF!)=0,"",IF(#REF!&gt;#REF!,"NEGATIVO","POSITIVO"))</f>
        <v>#REF!</v>
      </c>
    </row>
    <row r="226" spans="1:10" ht="42.75" hidden="1" customHeight="1">
      <c r="A226" s="12">
        <v>298</v>
      </c>
      <c r="B226" s="6" t="s">
        <v>9</v>
      </c>
      <c r="C226" s="5" t="s">
        <v>10</v>
      </c>
      <c r="D226" s="5" t="s">
        <v>25</v>
      </c>
      <c r="E226" s="6" t="s">
        <v>140</v>
      </c>
      <c r="F226" s="6" t="s">
        <v>23</v>
      </c>
      <c r="G226" s="6" t="s">
        <v>228</v>
      </c>
      <c r="H226" s="5" t="s">
        <v>12</v>
      </c>
      <c r="I226" s="4" t="s">
        <v>314</v>
      </c>
      <c r="J226" s="4" t="e">
        <f>IF(SUM(#REF!)=0,"",IF(#REF!&gt;#REF!,"NEGATIVO","POSITIVO"))</f>
        <v>#REF!</v>
      </c>
    </row>
    <row r="227" spans="1:10" ht="42.75" hidden="1" customHeight="1">
      <c r="A227" s="12">
        <v>299</v>
      </c>
      <c r="B227" s="6" t="s">
        <v>9</v>
      </c>
      <c r="C227" s="5" t="s">
        <v>10</v>
      </c>
      <c r="D227" s="5" t="s">
        <v>25</v>
      </c>
      <c r="E227" s="6" t="s">
        <v>140</v>
      </c>
      <c r="F227" s="6" t="s">
        <v>23</v>
      </c>
      <c r="G227" s="6" t="s">
        <v>229</v>
      </c>
      <c r="H227" s="5" t="s">
        <v>12</v>
      </c>
      <c r="I227" s="4" t="s">
        <v>314</v>
      </c>
      <c r="J227" s="4" t="e">
        <f>IF(SUM(#REF!)=0,"",IF(#REF!&gt;#REF!,"NEGATIVO","POSITIVO"))</f>
        <v>#REF!</v>
      </c>
    </row>
    <row r="228" spans="1:10" ht="42.75" hidden="1" customHeight="1">
      <c r="A228" s="12">
        <v>300</v>
      </c>
      <c r="B228" s="6" t="s">
        <v>9</v>
      </c>
      <c r="C228" s="5" t="s">
        <v>10</v>
      </c>
      <c r="D228" s="5" t="s">
        <v>25</v>
      </c>
      <c r="E228" s="6" t="s">
        <v>140</v>
      </c>
      <c r="F228" s="6" t="s">
        <v>23</v>
      </c>
      <c r="G228" s="6" t="s">
        <v>230</v>
      </c>
      <c r="H228" s="5" t="s">
        <v>12</v>
      </c>
      <c r="I228" s="4" t="s">
        <v>314</v>
      </c>
      <c r="J228" s="4" t="e">
        <f>IF(SUM(#REF!)=0,"",IF(#REF!&gt;#REF!,"NEGATIVO","POSITIVO"))</f>
        <v>#REF!</v>
      </c>
    </row>
    <row r="229" spans="1:10" ht="42.75" hidden="1" customHeight="1">
      <c r="A229" s="12">
        <v>301</v>
      </c>
      <c r="B229" s="6" t="s">
        <v>9</v>
      </c>
      <c r="C229" s="5" t="s">
        <v>10</v>
      </c>
      <c r="D229" s="5" t="s">
        <v>25</v>
      </c>
      <c r="E229" s="6" t="s">
        <v>140</v>
      </c>
      <c r="F229" s="6" t="s">
        <v>23</v>
      </c>
      <c r="G229" s="6" t="s">
        <v>231</v>
      </c>
      <c r="H229" s="5" t="s">
        <v>12</v>
      </c>
      <c r="I229" s="4" t="s">
        <v>314</v>
      </c>
      <c r="J229" s="4" t="e">
        <f>IF(SUM(#REF!)=0,"",IF(#REF!&gt;#REF!,"NEGATIVO","POSITIVO"))</f>
        <v>#REF!</v>
      </c>
    </row>
    <row r="230" spans="1:10" ht="42.75" hidden="1" customHeight="1">
      <c r="A230" s="12">
        <v>302</v>
      </c>
      <c r="B230" s="6" t="s">
        <v>9</v>
      </c>
      <c r="C230" s="5" t="s">
        <v>10</v>
      </c>
      <c r="D230" s="5" t="s">
        <v>25</v>
      </c>
      <c r="E230" s="6" t="s">
        <v>140</v>
      </c>
      <c r="F230" s="6" t="s">
        <v>23</v>
      </c>
      <c r="G230" s="6" t="s">
        <v>232</v>
      </c>
      <c r="H230" s="5" t="s">
        <v>12</v>
      </c>
      <c r="I230" s="4" t="s">
        <v>314</v>
      </c>
      <c r="J230" s="4" t="e">
        <f>IF(SUM(#REF!)=0,"",IF(#REF!&gt;#REF!,"NEGATIVO","POSITIVO"))</f>
        <v>#REF!</v>
      </c>
    </row>
    <row r="231" spans="1:10" ht="42.75" hidden="1" customHeight="1">
      <c r="A231" s="12">
        <v>303</v>
      </c>
      <c r="B231" s="6" t="s">
        <v>9</v>
      </c>
      <c r="C231" s="5" t="s">
        <v>10</v>
      </c>
      <c r="D231" s="5" t="s">
        <v>25</v>
      </c>
      <c r="E231" s="6" t="s">
        <v>140</v>
      </c>
      <c r="F231" s="6" t="s">
        <v>23</v>
      </c>
      <c r="G231" s="6" t="s">
        <v>233</v>
      </c>
      <c r="H231" s="5" t="s">
        <v>12</v>
      </c>
      <c r="I231" s="4" t="s">
        <v>314</v>
      </c>
      <c r="J231" s="4" t="e">
        <f>IF(SUM(#REF!)=0,"",IF(#REF!&gt;#REF!,"NEGATIVO","POSITIVO"))</f>
        <v>#REF!</v>
      </c>
    </row>
    <row r="232" spans="1:10" ht="42.75" hidden="1" customHeight="1">
      <c r="A232" s="12">
        <v>304</v>
      </c>
      <c r="B232" s="6" t="s">
        <v>8</v>
      </c>
      <c r="C232" s="6" t="s">
        <v>8</v>
      </c>
      <c r="D232" s="6" t="s">
        <v>24</v>
      </c>
      <c r="E232" s="6" t="s">
        <v>48</v>
      </c>
      <c r="F232" s="6" t="s">
        <v>23</v>
      </c>
      <c r="G232" s="6" t="s">
        <v>234</v>
      </c>
      <c r="H232" s="5" t="s">
        <v>12</v>
      </c>
      <c r="I232" s="4" t="s">
        <v>224</v>
      </c>
      <c r="J232" s="4" t="e">
        <f>IF(SUM(#REF!)=0,"",IF(#REF!&gt;#REF!,"NEGATIVO","POSITIVO"))</f>
        <v>#REF!</v>
      </c>
    </row>
    <row r="233" spans="1:10" ht="42.75" hidden="1" customHeight="1">
      <c r="A233" s="12">
        <v>305</v>
      </c>
      <c r="B233" s="6" t="s">
        <v>8</v>
      </c>
      <c r="C233" s="5" t="s">
        <v>8</v>
      </c>
      <c r="D233" s="5" t="s">
        <v>24</v>
      </c>
      <c r="E233" s="6" t="s">
        <v>48</v>
      </c>
      <c r="F233" s="6" t="s">
        <v>23</v>
      </c>
      <c r="G233" s="6" t="s">
        <v>235</v>
      </c>
      <c r="H233" s="5" t="s">
        <v>12</v>
      </c>
      <c r="I233" s="4" t="s">
        <v>224</v>
      </c>
      <c r="J233" s="4" t="e">
        <f>IF(SUM(#REF!)=0,"",IF(#REF!&gt;#REF!,"NEGATIVO","POSITIVO"))</f>
        <v>#REF!</v>
      </c>
    </row>
    <row r="234" spans="1:10" ht="42.75" hidden="1" customHeight="1">
      <c r="A234" s="12">
        <v>306</v>
      </c>
      <c r="B234" s="6" t="s">
        <v>8</v>
      </c>
      <c r="C234" s="5" t="s">
        <v>8</v>
      </c>
      <c r="D234" s="5" t="s">
        <v>24</v>
      </c>
      <c r="E234" s="6" t="s">
        <v>48</v>
      </c>
      <c r="F234" s="6" t="s">
        <v>23</v>
      </c>
      <c r="G234" s="6" t="s">
        <v>236</v>
      </c>
      <c r="H234" s="5" t="s">
        <v>12</v>
      </c>
      <c r="I234" s="4" t="s">
        <v>224</v>
      </c>
      <c r="J234" s="4" t="e">
        <f>IF(SUM(#REF!)=0,"",IF(#REF!&gt;#REF!,"NEGATIVO","POSITIVO"))</f>
        <v>#REF!</v>
      </c>
    </row>
    <row r="235" spans="1:10" ht="42.75" hidden="1" customHeight="1">
      <c r="A235" s="12">
        <v>307</v>
      </c>
      <c r="B235" s="6" t="s">
        <v>8</v>
      </c>
      <c r="C235" s="5" t="s">
        <v>8</v>
      </c>
      <c r="D235" s="5" t="s">
        <v>24</v>
      </c>
      <c r="E235" s="6" t="s">
        <v>48</v>
      </c>
      <c r="F235" s="6" t="s">
        <v>23</v>
      </c>
      <c r="G235" s="6" t="s">
        <v>237</v>
      </c>
      <c r="H235" s="5" t="s">
        <v>12</v>
      </c>
      <c r="I235" s="4" t="s">
        <v>224</v>
      </c>
      <c r="J235" s="4" t="e">
        <f>IF(SUM(#REF!)=0,"",IF(#REF!&gt;#REF!,"NEGATIVO","POSITIVO"))</f>
        <v>#REF!</v>
      </c>
    </row>
    <row r="236" spans="1:10" ht="42.75" hidden="1" customHeight="1">
      <c r="A236" s="12">
        <v>308</v>
      </c>
      <c r="B236" s="6" t="s">
        <v>8</v>
      </c>
      <c r="C236" s="5" t="s">
        <v>8</v>
      </c>
      <c r="D236" s="5" t="s">
        <v>25</v>
      </c>
      <c r="E236" s="6" t="s">
        <v>148</v>
      </c>
      <c r="F236" s="6" t="s">
        <v>23</v>
      </c>
      <c r="G236" s="13" t="s">
        <v>238</v>
      </c>
      <c r="H236" s="5" t="s">
        <v>12</v>
      </c>
      <c r="I236" s="4" t="s">
        <v>224</v>
      </c>
      <c r="J236" s="4" t="e">
        <f>IF(SUM(#REF!)=0,"",IF(#REF!&gt;#REF!,"NEGATIVO","POSITIVO"))</f>
        <v>#REF!</v>
      </c>
    </row>
    <row r="237" spans="1:10" ht="42.75" hidden="1" customHeight="1">
      <c r="A237" s="12">
        <v>309</v>
      </c>
      <c r="B237" s="12" t="s">
        <v>220</v>
      </c>
      <c r="C237" s="5" t="s">
        <v>10</v>
      </c>
      <c r="D237" s="5" t="s">
        <v>25</v>
      </c>
      <c r="E237" s="6" t="s">
        <v>148</v>
      </c>
      <c r="F237" s="6" t="s">
        <v>23</v>
      </c>
      <c r="G237" s="6" t="s">
        <v>295</v>
      </c>
      <c r="H237" s="5" t="s">
        <v>14</v>
      </c>
      <c r="I237" s="4" t="s">
        <v>320</v>
      </c>
      <c r="J237" s="4" t="e">
        <f>IF(SUM(#REF!)=0,"",IF(#REF!&gt;#REF!,"NEGATIVO","POSITIVO"))</f>
        <v>#REF!</v>
      </c>
    </row>
    <row r="238" spans="1:10" ht="42.75" hidden="1" customHeight="1">
      <c r="A238" s="12">
        <v>313</v>
      </c>
      <c r="B238" s="6" t="s">
        <v>8</v>
      </c>
      <c r="C238" s="5" t="s">
        <v>8</v>
      </c>
      <c r="D238" s="5" t="s">
        <v>25</v>
      </c>
      <c r="E238" s="6" t="s">
        <v>148</v>
      </c>
      <c r="F238" s="6" t="s">
        <v>23</v>
      </c>
      <c r="G238" s="13" t="s">
        <v>243</v>
      </c>
      <c r="H238" s="5" t="s">
        <v>12</v>
      </c>
      <c r="I238" s="4" t="s">
        <v>224</v>
      </c>
      <c r="J238" s="4" t="e">
        <f>IF(SUM(#REF!)=0,"",IF(#REF!&gt;#REF!,"NEGATIVO","POSITIVO"))</f>
        <v>#REF!</v>
      </c>
    </row>
    <row r="239" spans="1:10" ht="42.75" hidden="1" customHeight="1">
      <c r="A239" s="12">
        <v>314</v>
      </c>
      <c r="B239" s="6" t="s">
        <v>9</v>
      </c>
      <c r="C239" s="5" t="s">
        <v>8</v>
      </c>
      <c r="D239" s="5" t="s">
        <v>25</v>
      </c>
      <c r="E239" s="6" t="s">
        <v>148</v>
      </c>
      <c r="F239" s="6" t="s">
        <v>23</v>
      </c>
      <c r="G239" s="13" t="s">
        <v>244</v>
      </c>
      <c r="H239" s="5" t="s">
        <v>12</v>
      </c>
      <c r="I239" s="4" t="s">
        <v>224</v>
      </c>
      <c r="J239" s="4" t="e">
        <f>IF(SUM(#REF!)=0,"",IF(#REF!&gt;#REF!,"NEGATIVO","POSITIVO"))</f>
        <v>#REF!</v>
      </c>
    </row>
    <row r="240" spans="1:10" ht="42.75" hidden="1" customHeight="1">
      <c r="A240" s="12">
        <v>315</v>
      </c>
      <c r="B240" s="6" t="s">
        <v>9</v>
      </c>
      <c r="C240" s="5" t="s">
        <v>8</v>
      </c>
      <c r="D240" s="5" t="s">
        <v>25</v>
      </c>
      <c r="E240" s="6" t="s">
        <v>148</v>
      </c>
      <c r="F240" s="6" t="s">
        <v>23</v>
      </c>
      <c r="G240" s="13" t="s">
        <v>245</v>
      </c>
      <c r="H240" s="5" t="s">
        <v>12</v>
      </c>
      <c r="I240" s="4" t="s">
        <v>224</v>
      </c>
      <c r="J240" s="4" t="e">
        <f>IF(SUM(#REF!)=0,"",IF(#REF!&gt;#REF!,"NEGATIVO","POSITIVO"))</f>
        <v>#REF!</v>
      </c>
    </row>
    <row r="241" spans="1:10" ht="42.75" hidden="1" customHeight="1">
      <c r="A241" s="12">
        <v>316</v>
      </c>
      <c r="B241" s="6" t="s">
        <v>9</v>
      </c>
      <c r="C241" s="5" t="s">
        <v>8</v>
      </c>
      <c r="D241" s="5" t="s">
        <v>25</v>
      </c>
      <c r="E241" s="6" t="s">
        <v>148</v>
      </c>
      <c r="F241" s="5" t="s">
        <v>23</v>
      </c>
      <c r="G241" s="13" t="s">
        <v>246</v>
      </c>
      <c r="H241" s="5" t="s">
        <v>12</v>
      </c>
      <c r="I241" s="4" t="s">
        <v>224</v>
      </c>
      <c r="J241" s="4" t="e">
        <f>IF(SUM(#REF!)=0,"",IF(#REF!&gt;#REF!,"NEGATIVO","POSITIVO"))</f>
        <v>#REF!</v>
      </c>
    </row>
    <row r="242" spans="1:10" ht="42.75" hidden="1" customHeight="1">
      <c r="A242" s="12">
        <v>317</v>
      </c>
      <c r="B242" s="6" t="s">
        <v>9</v>
      </c>
      <c r="C242" s="5" t="s">
        <v>8</v>
      </c>
      <c r="D242" s="5" t="s">
        <v>25</v>
      </c>
      <c r="E242" s="6" t="s">
        <v>148</v>
      </c>
      <c r="F242" s="5" t="s">
        <v>23</v>
      </c>
      <c r="G242" s="13" t="s">
        <v>36</v>
      </c>
      <c r="H242" s="5" t="s">
        <v>12</v>
      </c>
      <c r="I242" s="4" t="s">
        <v>224</v>
      </c>
      <c r="J242" s="4" t="e">
        <f>IF(SUM(#REF!)=0,"",IF(#REF!&gt;#REF!,"NEGATIVO","POSITIVO"))</f>
        <v>#REF!</v>
      </c>
    </row>
    <row r="243" spans="1:10" ht="56" hidden="1">
      <c r="A243" s="12">
        <v>324</v>
      </c>
      <c r="B243" s="4" t="s">
        <v>6</v>
      </c>
      <c r="C243" s="4" t="s">
        <v>10</v>
      </c>
      <c r="D243" s="4" t="s">
        <v>24</v>
      </c>
      <c r="E243" s="4" t="s">
        <v>259</v>
      </c>
      <c r="F243" s="5" t="s">
        <v>23</v>
      </c>
      <c r="G243" s="4" t="s">
        <v>238</v>
      </c>
      <c r="H243" s="4" t="s">
        <v>12</v>
      </c>
      <c r="I243" s="4" t="s">
        <v>258</v>
      </c>
      <c r="J243" s="4" t="e">
        <f>IF(SUM(#REF!)=0,"",IF(#REF!&gt;#REF!,"NEGATIVO","POSITIVO"))</f>
        <v>#REF!</v>
      </c>
    </row>
    <row r="244" spans="1:10" ht="56" hidden="1">
      <c r="A244" s="12">
        <v>325</v>
      </c>
      <c r="B244" s="4" t="s">
        <v>6</v>
      </c>
      <c r="C244" s="4" t="s">
        <v>10</v>
      </c>
      <c r="D244" s="4" t="s">
        <v>24</v>
      </c>
      <c r="E244" s="4" t="s">
        <v>259</v>
      </c>
      <c r="F244" s="5" t="s">
        <v>23</v>
      </c>
      <c r="G244" s="4" t="s">
        <v>260</v>
      </c>
      <c r="H244" s="4" t="s">
        <v>12</v>
      </c>
      <c r="I244" s="4" t="s">
        <v>258</v>
      </c>
      <c r="J244" s="4" t="e">
        <f>IF(SUM(#REF!)=0,"",IF(#REF!&gt;#REF!,"NEGATIVO","POSITIVO"))</f>
        <v>#REF!</v>
      </c>
    </row>
    <row r="245" spans="1:10" ht="75" hidden="1" customHeight="1">
      <c r="A245" s="12">
        <v>326</v>
      </c>
      <c r="B245" s="4" t="s">
        <v>6</v>
      </c>
      <c r="C245" s="4" t="s">
        <v>10</v>
      </c>
      <c r="D245" s="4" t="s">
        <v>24</v>
      </c>
      <c r="E245" s="4" t="s">
        <v>259</v>
      </c>
      <c r="F245" s="5" t="s">
        <v>23</v>
      </c>
      <c r="G245" s="4" t="s">
        <v>261</v>
      </c>
      <c r="H245" s="4" t="s">
        <v>12</v>
      </c>
      <c r="I245" s="4" t="s">
        <v>258</v>
      </c>
      <c r="J245" s="4" t="e">
        <f>IF(SUM(#REF!)=0,"",IF(#REF!&gt;#REF!,"NEGATIVO","POSITIVO"))</f>
        <v>#REF!</v>
      </c>
    </row>
    <row r="246" spans="1:10" ht="56.25" hidden="1" customHeight="1">
      <c r="A246" s="12">
        <v>327</v>
      </c>
      <c r="B246" s="4" t="s">
        <v>6</v>
      </c>
      <c r="C246" s="4" t="s">
        <v>10</v>
      </c>
      <c r="D246" s="4" t="s">
        <v>24</v>
      </c>
      <c r="E246" s="4" t="s">
        <v>259</v>
      </c>
      <c r="F246" s="5" t="s">
        <v>23</v>
      </c>
      <c r="G246" s="4" t="s">
        <v>262</v>
      </c>
      <c r="H246" s="4" t="s">
        <v>12</v>
      </c>
      <c r="I246" s="4" t="s">
        <v>258</v>
      </c>
      <c r="J246" s="4" t="e">
        <f>IF(SUM(#REF!)=0,"",IF(#REF!&gt;#REF!,"NEGATIVO","POSITIVO"))</f>
        <v>#REF!</v>
      </c>
    </row>
    <row r="247" spans="1:10" ht="56" hidden="1">
      <c r="A247" s="12">
        <v>328</v>
      </c>
      <c r="B247" s="4" t="s">
        <v>6</v>
      </c>
      <c r="C247" s="4" t="s">
        <v>10</v>
      </c>
      <c r="D247" s="4" t="s">
        <v>24</v>
      </c>
      <c r="E247" s="4" t="s">
        <v>259</v>
      </c>
      <c r="F247" s="5" t="s">
        <v>23</v>
      </c>
      <c r="G247" s="4" t="s">
        <v>263</v>
      </c>
      <c r="H247" s="4" t="s">
        <v>13</v>
      </c>
      <c r="I247" s="4" t="s">
        <v>258</v>
      </c>
      <c r="J247" s="4" t="e">
        <f>IF(SUM(#REF!)=0,"",IF(#REF!&gt;#REF!,"NEGATIVO","POSITIVO"))</f>
        <v>#REF!</v>
      </c>
    </row>
    <row r="248" spans="1:10" ht="56" hidden="1">
      <c r="A248" s="12">
        <v>329</v>
      </c>
      <c r="B248" s="4" t="s">
        <v>6</v>
      </c>
      <c r="C248" s="4" t="s">
        <v>10</v>
      </c>
      <c r="D248" s="4" t="s">
        <v>24</v>
      </c>
      <c r="E248" s="4" t="s">
        <v>259</v>
      </c>
      <c r="F248" s="5" t="s">
        <v>23</v>
      </c>
      <c r="G248" s="4" t="s">
        <v>264</v>
      </c>
      <c r="H248" s="4" t="s">
        <v>12</v>
      </c>
      <c r="I248" s="4" t="s">
        <v>258</v>
      </c>
      <c r="J248" s="4" t="e">
        <f>IF(SUM(#REF!)=0,"",IF(#REF!&gt;#REF!,"NEGATIVO","POSITIVO"))</f>
        <v>#REF!</v>
      </c>
    </row>
    <row r="249" spans="1:10" ht="28">
      <c r="A249" s="12">
        <v>334</v>
      </c>
      <c r="B249" s="12" t="s">
        <v>23</v>
      </c>
      <c r="C249" s="4" t="s">
        <v>10</v>
      </c>
      <c r="D249" s="4" t="s">
        <v>25</v>
      </c>
      <c r="E249" s="5" t="s">
        <v>138</v>
      </c>
      <c r="F249" s="4" t="s">
        <v>23</v>
      </c>
      <c r="G249" s="16" t="s">
        <v>311</v>
      </c>
      <c r="H249" s="4" t="s">
        <v>14</v>
      </c>
      <c r="I249" s="4" t="s">
        <v>319</v>
      </c>
      <c r="J249" s="4" t="e">
        <f>IF(SUM(#REF!)=0,"",IF(#REF!&gt;#REF!,"NEGATIVO","POSITIVO"))</f>
        <v>#REF!</v>
      </c>
    </row>
    <row r="250" spans="1:10" ht="28" hidden="1">
      <c r="A250" s="12">
        <v>351</v>
      </c>
      <c r="B250" s="6" t="s">
        <v>9</v>
      </c>
      <c r="C250" s="5" t="s">
        <v>8</v>
      </c>
      <c r="D250" s="5" t="s">
        <v>27</v>
      </c>
      <c r="E250" s="6" t="s">
        <v>139</v>
      </c>
      <c r="F250" s="6" t="s">
        <v>22</v>
      </c>
      <c r="G250" s="13" t="s">
        <v>332</v>
      </c>
      <c r="H250" s="5" t="s">
        <v>12</v>
      </c>
      <c r="I250" s="4" t="s">
        <v>222</v>
      </c>
      <c r="J250" s="4" t="e">
        <f>IF(SUM(#REF!)=0,"",IF(#REF!&gt;#REF!,"NEGATIVO","POSITIVO"))</f>
        <v>#REF!</v>
      </c>
    </row>
    <row r="251" spans="1:10" ht="28" hidden="1">
      <c r="A251" s="12">
        <v>354</v>
      </c>
      <c r="B251" s="6" t="s">
        <v>9</v>
      </c>
      <c r="C251" s="5" t="s">
        <v>8</v>
      </c>
      <c r="D251" s="5" t="s">
        <v>27</v>
      </c>
      <c r="E251" s="6" t="s">
        <v>139</v>
      </c>
      <c r="F251" s="6" t="s">
        <v>22</v>
      </c>
      <c r="G251" s="6" t="s">
        <v>292</v>
      </c>
      <c r="H251" s="5" t="s">
        <v>12</v>
      </c>
      <c r="I251" s="4" t="s">
        <v>222</v>
      </c>
      <c r="J251" s="4" t="e">
        <f>IF(SUM(#REF!)=0,"",IF(#REF!&gt;#REF!,"NEGATIVO","POSITIVO"))</f>
        <v>#REF!</v>
      </c>
    </row>
    <row r="252" spans="1:10" ht="28" hidden="1">
      <c r="A252" s="12">
        <v>393</v>
      </c>
      <c r="B252" s="4" t="s">
        <v>6</v>
      </c>
      <c r="C252" s="4" t="s">
        <v>11</v>
      </c>
      <c r="D252" s="4" t="s">
        <v>265</v>
      </c>
      <c r="E252" s="4" t="s">
        <v>266</v>
      </c>
      <c r="F252" s="4" t="s">
        <v>18</v>
      </c>
      <c r="G252" s="8" t="s">
        <v>268</v>
      </c>
      <c r="H252" s="4" t="s">
        <v>12</v>
      </c>
      <c r="I252" s="4" t="s">
        <v>267</v>
      </c>
      <c r="J252" s="4" t="e">
        <f>IF(SUM(#REF!)=0,"",IF(#REF!&gt;#REF!,"NEGATIVO","POSITIVO"))</f>
        <v>#REF!</v>
      </c>
    </row>
    <row r="253" spans="1:10" ht="28" hidden="1">
      <c r="A253" s="12">
        <v>394</v>
      </c>
      <c r="B253" s="4" t="s">
        <v>6</v>
      </c>
      <c r="C253" s="4" t="s">
        <v>11</v>
      </c>
      <c r="D253" s="4" t="s">
        <v>265</v>
      </c>
      <c r="E253" s="4" t="s">
        <v>266</v>
      </c>
      <c r="F253" s="4" t="s">
        <v>18</v>
      </c>
      <c r="G253" s="8" t="s">
        <v>269</v>
      </c>
      <c r="H253" s="4" t="s">
        <v>12</v>
      </c>
      <c r="I253" s="4" t="s">
        <v>267</v>
      </c>
      <c r="J253" s="4" t="e">
        <f>IF(SUM(#REF!)=0,"",IF(#REF!&gt;#REF!,"NEGATIVO","POSITIVO"))</f>
        <v>#REF!</v>
      </c>
    </row>
    <row r="254" spans="1:10" ht="28" hidden="1">
      <c r="A254" s="12">
        <v>395</v>
      </c>
      <c r="B254" s="4" t="s">
        <v>6</v>
      </c>
      <c r="C254" s="4" t="s">
        <v>11</v>
      </c>
      <c r="D254" s="4" t="s">
        <v>265</v>
      </c>
      <c r="E254" s="4" t="s">
        <v>266</v>
      </c>
      <c r="F254" s="4" t="s">
        <v>18</v>
      </c>
      <c r="G254" s="8" t="s">
        <v>270</v>
      </c>
      <c r="H254" s="4" t="s">
        <v>12</v>
      </c>
      <c r="I254" s="4" t="s">
        <v>267</v>
      </c>
      <c r="J254" s="4" t="e">
        <f>IF(SUM(#REF!)=0,"",IF(#REF!&gt;#REF!,"NEGATIVO","POSITIVO"))</f>
        <v>#REF!</v>
      </c>
    </row>
    <row r="255" spans="1:10" ht="28" hidden="1">
      <c r="A255" s="12">
        <v>396</v>
      </c>
      <c r="B255" s="4" t="s">
        <v>6</v>
      </c>
      <c r="C255" s="4" t="s">
        <v>11</v>
      </c>
      <c r="D255" s="4" t="s">
        <v>265</v>
      </c>
      <c r="E255" s="4" t="s">
        <v>266</v>
      </c>
      <c r="F255" s="4" t="s">
        <v>18</v>
      </c>
      <c r="G255" s="9" t="s">
        <v>271</v>
      </c>
      <c r="H255" s="4" t="s">
        <v>12</v>
      </c>
      <c r="I255" s="4" t="s">
        <v>267</v>
      </c>
      <c r="J255" s="4" t="e">
        <f>IF(SUM(#REF!)=0,"",IF(#REF!&gt;#REF!,"NEGATIVO","POSITIVO"))</f>
        <v>#REF!</v>
      </c>
    </row>
    <row r="256" spans="1:10" ht="28" hidden="1">
      <c r="A256" s="12">
        <v>397</v>
      </c>
      <c r="B256" s="4" t="s">
        <v>6</v>
      </c>
      <c r="C256" s="4" t="s">
        <v>11</v>
      </c>
      <c r="D256" s="4" t="s">
        <v>265</v>
      </c>
      <c r="E256" s="4" t="s">
        <v>266</v>
      </c>
      <c r="F256" s="4" t="s">
        <v>18</v>
      </c>
      <c r="G256" s="8" t="s">
        <v>272</v>
      </c>
      <c r="H256" s="4" t="s">
        <v>12</v>
      </c>
      <c r="I256" s="4" t="s">
        <v>267</v>
      </c>
      <c r="J256" s="4" t="e">
        <f>IF(SUM(#REF!)=0,"",IF(#REF!&gt;#REF!,"NEGATIVO","POSITIVO"))</f>
        <v>#REF!</v>
      </c>
    </row>
    <row r="257" spans="1:10" ht="28" hidden="1">
      <c r="A257" s="12">
        <v>398</v>
      </c>
      <c r="B257" s="4" t="s">
        <v>6</v>
      </c>
      <c r="C257" s="4" t="s">
        <v>11</v>
      </c>
      <c r="D257" s="4" t="s">
        <v>265</v>
      </c>
      <c r="E257" s="4" t="s">
        <v>266</v>
      </c>
      <c r="F257" s="4" t="s">
        <v>18</v>
      </c>
      <c r="G257" s="8" t="s">
        <v>272</v>
      </c>
      <c r="H257" s="4" t="s">
        <v>12</v>
      </c>
      <c r="I257" s="4" t="s">
        <v>267</v>
      </c>
      <c r="J257" s="4" t="e">
        <f>IF(SUM(#REF!)=0,"",IF(#REF!&gt;#REF!,"NEGATIVO","POSITIVO"))</f>
        <v>#REF!</v>
      </c>
    </row>
    <row r="258" spans="1:10" ht="28" hidden="1">
      <c r="A258" s="12">
        <v>399</v>
      </c>
      <c r="B258" s="4" t="s">
        <v>6</v>
      </c>
      <c r="C258" s="4" t="s">
        <v>11</v>
      </c>
      <c r="D258" s="4" t="s">
        <v>265</v>
      </c>
      <c r="E258" s="4" t="s">
        <v>266</v>
      </c>
      <c r="F258" s="4" t="s">
        <v>18</v>
      </c>
      <c r="G258" s="8" t="s">
        <v>273</v>
      </c>
      <c r="H258" s="4" t="s">
        <v>12</v>
      </c>
      <c r="I258" s="4" t="s">
        <v>267</v>
      </c>
      <c r="J258" s="4" t="e">
        <f>IF(SUM(#REF!)=0,"",IF(#REF!&gt;#REF!,"NEGATIVO","POSITIVO"))</f>
        <v>#REF!</v>
      </c>
    </row>
    <row r="259" spans="1:10" ht="28" hidden="1">
      <c r="A259" s="12">
        <v>400</v>
      </c>
      <c r="B259" s="4" t="s">
        <v>6</v>
      </c>
      <c r="C259" s="4" t="s">
        <v>11</v>
      </c>
      <c r="D259" s="4" t="s">
        <v>265</v>
      </c>
      <c r="E259" s="4" t="s">
        <v>266</v>
      </c>
      <c r="F259" s="4" t="s">
        <v>18</v>
      </c>
      <c r="G259" s="8" t="s">
        <v>274</v>
      </c>
      <c r="H259" s="4" t="s">
        <v>12</v>
      </c>
      <c r="I259" s="4" t="s">
        <v>267</v>
      </c>
      <c r="J259" s="4" t="e">
        <f>IF(SUM(#REF!)=0,"",IF(#REF!&gt;#REF!,"NEGATIVO","POSITIVO"))</f>
        <v>#REF!</v>
      </c>
    </row>
    <row r="260" spans="1:10" ht="28" hidden="1">
      <c r="A260" s="12">
        <v>401</v>
      </c>
      <c r="B260" s="4" t="s">
        <v>6</v>
      </c>
      <c r="C260" s="4" t="s">
        <v>11</v>
      </c>
      <c r="D260" s="4" t="s">
        <v>265</v>
      </c>
      <c r="E260" s="4" t="s">
        <v>266</v>
      </c>
      <c r="F260" s="4" t="s">
        <v>21</v>
      </c>
      <c r="G260" s="10" t="s">
        <v>275</v>
      </c>
      <c r="H260" s="4" t="s">
        <v>15</v>
      </c>
      <c r="I260" s="4" t="s">
        <v>267</v>
      </c>
      <c r="J260" s="4" t="e">
        <f>IF(SUM(#REF!)=0,"",IF(#REF!&gt;#REF!,"NEGATIVO","POSITIVO"))</f>
        <v>#REF!</v>
      </c>
    </row>
    <row r="261" spans="1:10" ht="28" hidden="1">
      <c r="A261" s="12">
        <v>402</v>
      </c>
      <c r="B261" s="4" t="s">
        <v>6</v>
      </c>
      <c r="C261" s="4" t="s">
        <v>11</v>
      </c>
      <c r="D261" s="4" t="s">
        <v>265</v>
      </c>
      <c r="E261" s="4" t="s">
        <v>266</v>
      </c>
      <c r="F261" s="4" t="s">
        <v>21</v>
      </c>
      <c r="G261" s="10" t="s">
        <v>276</v>
      </c>
      <c r="H261" s="4" t="s">
        <v>15</v>
      </c>
      <c r="I261" s="4" t="s">
        <v>267</v>
      </c>
      <c r="J261" s="4" t="e">
        <f>IF(SUM(#REF!)=0,"",IF(#REF!&gt;#REF!,"NEGATIVO","POSITIVO"))</f>
        <v>#REF!</v>
      </c>
    </row>
    <row r="262" spans="1:10" ht="28" hidden="1">
      <c r="A262" s="12">
        <v>403</v>
      </c>
      <c r="B262" s="4" t="s">
        <v>6</v>
      </c>
      <c r="C262" s="4" t="s">
        <v>11</v>
      </c>
      <c r="D262" s="4" t="s">
        <v>265</v>
      </c>
      <c r="E262" s="4" t="s">
        <v>266</v>
      </c>
      <c r="F262" s="4" t="s">
        <v>21</v>
      </c>
      <c r="G262" s="10" t="s">
        <v>277</v>
      </c>
      <c r="H262" s="4" t="s">
        <v>15</v>
      </c>
      <c r="I262" s="4" t="s">
        <v>267</v>
      </c>
      <c r="J262" s="4" t="e">
        <f>IF(SUM(#REF!)=0,"",IF(#REF!&gt;#REF!,"NEGATIVO","POSITIVO"))</f>
        <v>#REF!</v>
      </c>
    </row>
    <row r="263" spans="1:10" ht="28" hidden="1">
      <c r="A263" s="12">
        <v>404</v>
      </c>
      <c r="B263" s="4" t="s">
        <v>6</v>
      </c>
      <c r="C263" s="4" t="s">
        <v>11</v>
      </c>
      <c r="D263" s="4" t="s">
        <v>265</v>
      </c>
      <c r="E263" s="4" t="s">
        <v>266</v>
      </c>
      <c r="F263" s="4" t="s">
        <v>21</v>
      </c>
      <c r="G263" s="10" t="s">
        <v>278</v>
      </c>
      <c r="H263" s="4" t="s">
        <v>15</v>
      </c>
      <c r="I263" s="4" t="s">
        <v>267</v>
      </c>
      <c r="J263" s="4" t="e">
        <f>IF(SUM(#REF!)=0,"",IF(#REF!&gt;#REF!,"NEGATIVO","POSITIVO"))</f>
        <v>#REF!</v>
      </c>
    </row>
    <row r="264" spans="1:10" ht="28" hidden="1">
      <c r="A264" s="12">
        <v>405</v>
      </c>
      <c r="B264" s="4" t="s">
        <v>6</v>
      </c>
      <c r="C264" s="4" t="s">
        <v>11</v>
      </c>
      <c r="D264" s="4" t="s">
        <v>265</v>
      </c>
      <c r="E264" s="4" t="s">
        <v>266</v>
      </c>
      <c r="F264" s="4" t="s">
        <v>21</v>
      </c>
      <c r="G264" s="10" t="s">
        <v>279</v>
      </c>
      <c r="H264" s="4" t="s">
        <v>15</v>
      </c>
      <c r="I264" s="4" t="s">
        <v>267</v>
      </c>
      <c r="J264" s="4" t="e">
        <f>IF(SUM(#REF!)=0,"",IF(#REF!&gt;#REF!,"NEGATIVO","POSITIVO"))</f>
        <v>#REF!</v>
      </c>
    </row>
    <row r="265" spans="1:10" ht="28" hidden="1">
      <c r="A265" s="12">
        <v>406</v>
      </c>
      <c r="B265" s="4" t="s">
        <v>6</v>
      </c>
      <c r="C265" s="4" t="s">
        <v>11</v>
      </c>
      <c r="D265" s="4" t="s">
        <v>265</v>
      </c>
      <c r="E265" s="4" t="s">
        <v>266</v>
      </c>
      <c r="F265" s="4" t="s">
        <v>21</v>
      </c>
      <c r="G265" s="10" t="s">
        <v>280</v>
      </c>
      <c r="H265" s="4" t="s">
        <v>15</v>
      </c>
      <c r="I265" s="4" t="s">
        <v>267</v>
      </c>
      <c r="J265" s="4" t="e">
        <f>IF(SUM(#REF!)=0,"",IF(#REF!&gt;#REF!,"NEGATIVO","POSITIVO"))</f>
        <v>#REF!</v>
      </c>
    </row>
    <row r="266" spans="1:10" ht="28" hidden="1">
      <c r="A266" s="12">
        <v>407</v>
      </c>
      <c r="B266" s="4" t="s">
        <v>6</v>
      </c>
      <c r="C266" s="4" t="s">
        <v>11</v>
      </c>
      <c r="D266" s="4" t="s">
        <v>265</v>
      </c>
      <c r="E266" s="4" t="s">
        <v>266</v>
      </c>
      <c r="F266" s="4" t="s">
        <v>21</v>
      </c>
      <c r="G266" s="10" t="s">
        <v>281</v>
      </c>
      <c r="H266" s="4" t="s">
        <v>15</v>
      </c>
      <c r="I266" s="4" t="s">
        <v>267</v>
      </c>
      <c r="J266" s="4" t="e">
        <f>IF(SUM(#REF!)=0,"",IF(#REF!&gt;#REF!,"NEGATIVO","POSITIVO"))</f>
        <v>#REF!</v>
      </c>
    </row>
    <row r="267" spans="1:10" ht="28" hidden="1">
      <c r="A267" s="12">
        <v>408</v>
      </c>
      <c r="B267" s="4" t="s">
        <v>6</v>
      </c>
      <c r="C267" s="4" t="s">
        <v>11</v>
      </c>
      <c r="D267" s="4" t="s">
        <v>265</v>
      </c>
      <c r="E267" s="4" t="s">
        <v>266</v>
      </c>
      <c r="F267" s="4" t="s">
        <v>21</v>
      </c>
      <c r="G267" s="10" t="s">
        <v>282</v>
      </c>
      <c r="H267" s="4" t="s">
        <v>15</v>
      </c>
      <c r="I267" s="4" t="s">
        <v>267</v>
      </c>
      <c r="J267" s="4" t="e">
        <f>IF(SUM(#REF!)=0,"",IF(#REF!&gt;#REF!,"NEGATIVO","POSITIVO"))</f>
        <v>#REF!</v>
      </c>
    </row>
    <row r="268" spans="1:10" ht="28" hidden="1">
      <c r="A268" s="12">
        <v>409</v>
      </c>
      <c r="B268" s="4" t="s">
        <v>6</v>
      </c>
      <c r="C268" s="4" t="s">
        <v>11</v>
      </c>
      <c r="D268" s="4" t="s">
        <v>265</v>
      </c>
      <c r="E268" s="4" t="s">
        <v>266</v>
      </c>
      <c r="F268" s="4" t="s">
        <v>21</v>
      </c>
      <c r="G268" s="10" t="s">
        <v>283</v>
      </c>
      <c r="H268" s="4" t="s">
        <v>15</v>
      </c>
      <c r="I268" s="4" t="s">
        <v>267</v>
      </c>
      <c r="J268" s="4" t="e">
        <f>IF(SUM(#REF!)=0,"",IF(#REF!&gt;#REF!,"NEGATIVO","POSITIVO"))</f>
        <v>#REF!</v>
      </c>
    </row>
    <row r="269" spans="1:10" ht="28" hidden="1">
      <c r="A269" s="12">
        <v>410</v>
      </c>
      <c r="B269" s="4" t="s">
        <v>6</v>
      </c>
      <c r="C269" s="4" t="s">
        <v>11</v>
      </c>
      <c r="D269" s="4" t="s">
        <v>265</v>
      </c>
      <c r="E269" s="4" t="s">
        <v>266</v>
      </c>
      <c r="F269" s="4" t="s">
        <v>21</v>
      </c>
      <c r="G269" s="10" t="s">
        <v>284</v>
      </c>
      <c r="H269" s="4" t="s">
        <v>15</v>
      </c>
      <c r="I269" s="4" t="s">
        <v>267</v>
      </c>
      <c r="J269" s="4" t="e">
        <f>IF(SUM(#REF!)=0,"",IF(#REF!&gt;#REF!,"NEGATIVO","POSITIVO"))</f>
        <v>#REF!</v>
      </c>
    </row>
    <row r="270" spans="1:10" ht="28" hidden="1">
      <c r="A270" s="12">
        <v>412</v>
      </c>
      <c r="B270" s="4" t="s">
        <v>6</v>
      </c>
      <c r="C270" s="4" t="s">
        <v>11</v>
      </c>
      <c r="D270" s="4" t="s">
        <v>265</v>
      </c>
      <c r="E270" s="4" t="s">
        <v>266</v>
      </c>
      <c r="F270" s="4" t="s">
        <v>20</v>
      </c>
      <c r="G270" s="11" t="s">
        <v>285</v>
      </c>
      <c r="H270" s="4" t="s">
        <v>14</v>
      </c>
      <c r="I270" s="4" t="s">
        <v>267</v>
      </c>
      <c r="J270" s="4" t="e">
        <f>IF(SUM(#REF!)=0,"",IF(#REF!&gt;#REF!,"NEGATIVO","POSITIVO"))</f>
        <v>#REF!</v>
      </c>
    </row>
    <row r="271" spans="1:10" ht="28" hidden="1">
      <c r="A271" s="12">
        <v>413</v>
      </c>
      <c r="B271" s="4" t="s">
        <v>6</v>
      </c>
      <c r="C271" s="4" t="s">
        <v>11</v>
      </c>
      <c r="D271" s="4" t="s">
        <v>265</v>
      </c>
      <c r="E271" s="4" t="s">
        <v>266</v>
      </c>
      <c r="F271" s="4" t="s">
        <v>20</v>
      </c>
      <c r="G271" s="11" t="s">
        <v>286</v>
      </c>
      <c r="H271" s="4" t="s">
        <v>14</v>
      </c>
      <c r="I271" s="4" t="s">
        <v>267</v>
      </c>
      <c r="J271" s="4" t="e">
        <f>IF(SUM(#REF!)=0,"",IF(#REF!&gt;#REF!,"NEGATIVO","POSITIVO"))</f>
        <v>#REF!</v>
      </c>
    </row>
    <row r="272" spans="1:10" ht="28" hidden="1">
      <c r="A272" s="12">
        <v>414</v>
      </c>
      <c r="B272" s="4" t="s">
        <v>6</v>
      </c>
      <c r="C272" s="4" t="s">
        <v>11</v>
      </c>
      <c r="D272" s="4" t="s">
        <v>265</v>
      </c>
      <c r="E272" s="4" t="s">
        <v>266</v>
      </c>
      <c r="F272" s="4" t="s">
        <v>20</v>
      </c>
      <c r="G272" s="11" t="s">
        <v>287</v>
      </c>
      <c r="H272" s="4" t="s">
        <v>14</v>
      </c>
      <c r="I272" s="4" t="s">
        <v>267</v>
      </c>
      <c r="J272" s="4" t="e">
        <f>IF(SUM(#REF!)=0,"",IF(#REF!&gt;#REF!,"NEGATIVO","POSITIVO"))</f>
        <v>#REF!</v>
      </c>
    </row>
    <row r="273" spans="1:10" ht="28" hidden="1">
      <c r="A273" s="12">
        <v>415</v>
      </c>
      <c r="B273" s="4" t="s">
        <v>6</v>
      </c>
      <c r="C273" s="4" t="s">
        <v>11</v>
      </c>
      <c r="D273" s="4" t="s">
        <v>265</v>
      </c>
      <c r="E273" s="4" t="s">
        <v>266</v>
      </c>
      <c r="F273" s="4" t="s">
        <v>20</v>
      </c>
      <c r="G273" s="11" t="s">
        <v>288</v>
      </c>
      <c r="H273" s="4" t="s">
        <v>14</v>
      </c>
      <c r="I273" s="4" t="s">
        <v>267</v>
      </c>
      <c r="J273" s="4" t="e">
        <f>IF(SUM(#REF!)=0,"",IF(#REF!&gt;#REF!,"NEGATIVO","POSITIVO"))</f>
        <v>#REF!</v>
      </c>
    </row>
    <row r="274" spans="1:10" ht="28" hidden="1">
      <c r="A274" s="12">
        <v>416</v>
      </c>
      <c r="B274" s="4" t="s">
        <v>6</v>
      </c>
      <c r="C274" s="4" t="s">
        <v>11</v>
      </c>
      <c r="D274" s="4" t="s">
        <v>265</v>
      </c>
      <c r="E274" s="4" t="s">
        <v>266</v>
      </c>
      <c r="F274" s="4" t="s">
        <v>20</v>
      </c>
      <c r="G274" s="11" t="s">
        <v>289</v>
      </c>
      <c r="H274" s="4" t="s">
        <v>14</v>
      </c>
      <c r="I274" s="4" t="s">
        <v>267</v>
      </c>
      <c r="J274" s="4" t="e">
        <f>IF(SUM(#REF!)=0,"",IF(#REF!&gt;#REF!,"NEGATIVO","POSITIVO"))</f>
        <v>#REF!</v>
      </c>
    </row>
    <row r="285" spans="1:10">
      <c r="G285" s="14"/>
    </row>
  </sheetData>
  <autoFilter ref="A3:J274" xr:uid="{00000000-0009-0000-0000-000000000000}">
    <filterColumn colId="8">
      <filters>
        <filter val="Resolucion 1552"/>
        <filter val="Resolucion 256"/>
      </filters>
    </filterColumn>
  </autoFilter>
  <sortState xmlns:xlrd2="http://schemas.microsoft.com/office/spreadsheetml/2017/richdata2" ref="G206:G218">
    <sortCondition ref="G206"/>
  </sortState>
  <dataValidations count="2">
    <dataValidation type="list" allowBlank="1" showInputMessage="1" showErrorMessage="1" sqref="F4:F175 F190:F251" xr:uid="{00000000-0002-0000-0000-000000000000}">
      <formula1>#REF!</formula1>
    </dataValidation>
    <dataValidation type="list" allowBlank="1" showInputMessage="1" showErrorMessage="1" sqref="H4:H45 H47:H251 C4:D251 B47:B54 B44:B45 B4:B41 B108:B130 B94:B106 B84:B92 B250:B251 B132:B236 B238:B248 B57:B81" xr:uid="{00000000-0002-0000-0000-000001000000}">
      <formula1>#REF!</formula1>
    </dataValidation>
  </dataValidations>
  <pageMargins left="0.39370078740157483" right="0.39370078740157483" top="0.39370078740157483" bottom="0.39370078740157483" header="0" footer="0"/>
  <pageSetup paperSize="9"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7"/>
  <sheetViews>
    <sheetView showGridLines="0" view="pageBreakPreview" zoomScale="50" zoomScaleNormal="50" zoomScaleSheetLayoutView="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baseColWidth="10" defaultColWidth="10.81640625" defaultRowHeight="14.5"/>
  <cols>
    <col min="1" max="1" width="52.81640625" style="53" customWidth="1"/>
    <col min="2" max="2" width="19.26953125" style="53" customWidth="1"/>
    <col min="3" max="3" width="23" style="53" customWidth="1"/>
    <col min="4" max="4" width="20.26953125" style="53" customWidth="1"/>
    <col min="5" max="5" width="18.7265625" style="53" customWidth="1"/>
    <col min="6" max="6" width="26.26953125" style="53" customWidth="1"/>
    <col min="7" max="8" width="18.54296875" style="53" customWidth="1"/>
    <col min="9" max="9" width="20.1796875" style="53" customWidth="1"/>
    <col min="10" max="10" width="45" style="53" customWidth="1"/>
    <col min="11" max="16384" width="10.81640625" style="53"/>
  </cols>
  <sheetData>
    <row r="1" spans="1:10" ht="42" customHeight="1" thickBot="1">
      <c r="A1" s="200" t="s">
        <v>1</v>
      </c>
      <c r="B1" s="201" t="s">
        <v>493</v>
      </c>
      <c r="C1" s="201" t="s">
        <v>564</v>
      </c>
      <c r="D1" s="202" t="s">
        <v>554</v>
      </c>
      <c r="E1" s="202" t="s">
        <v>556</v>
      </c>
      <c r="F1" s="202" t="s">
        <v>557</v>
      </c>
      <c r="G1" s="202" t="s">
        <v>507</v>
      </c>
      <c r="H1" s="202" t="s">
        <v>534</v>
      </c>
      <c r="I1" s="202" t="s">
        <v>548</v>
      </c>
    </row>
    <row r="2" spans="1:10" ht="105.65" customHeight="1" thickBot="1">
      <c r="A2" s="227" t="str">
        <f>Variables!G2</f>
        <v>Tiempo promedio de espera para la asignación de las citas por primera vez - Medicina General</v>
      </c>
      <c r="B2" s="203">
        <f>'Resultados de aplicacion'!M4</f>
        <v>0.31305381283913564</v>
      </c>
      <c r="C2" s="204">
        <f>'Resultados de aplicacion'!N4</f>
        <v>1.8973967956566477E-2</v>
      </c>
      <c r="D2" s="205" t="s">
        <v>697</v>
      </c>
      <c r="E2" s="206" t="s">
        <v>698</v>
      </c>
      <c r="F2" s="228">
        <f>('Entradas (Ic-Inc)'!L2)/('Entradas (Ic-Inc)'!R2)</f>
        <v>0.9428542758949402</v>
      </c>
      <c r="G2" s="207">
        <f>'Resultados de aplicacion'!I4</f>
        <v>2549181071.8204575</v>
      </c>
      <c r="H2" s="207">
        <f>'Salidas(Ot)'!I3</f>
        <v>7677613800</v>
      </c>
      <c r="I2" s="208">
        <f>'Salidas(Ot)'!I3-'Analisis de resultados'!G2</f>
        <v>5128432728.1795425</v>
      </c>
    </row>
    <row r="3" spans="1:10" ht="97.5" customHeight="1" thickBot="1">
      <c r="A3" s="227" t="str">
        <f>Variables!G3</f>
        <v>Tiempo promedio de espera para la asignación de cita Promoción y detección (Cardiología, dermatología, enfermería general, gastroenterología, endoscopia, higiene oral, nutrición, optometría y terapias respiratorias)</v>
      </c>
      <c r="B3" s="203">
        <f>'Resultados de aplicacion'!M5</f>
        <v>0.54628640288597174</v>
      </c>
      <c r="C3" s="209">
        <f>'Resultados de aplicacion'!N5</f>
        <v>0.44603374612858993</v>
      </c>
      <c r="D3" s="210" t="s">
        <v>699</v>
      </c>
      <c r="E3" s="206" t="s">
        <v>698</v>
      </c>
      <c r="F3" s="229">
        <f>('Entradas (Ic-Inc)'!L6)/('Entradas (Ic-Inc)'!R6)</f>
        <v>0.55051427044837264</v>
      </c>
      <c r="G3" s="207">
        <f>'Resultados de aplicacion'!I5</f>
        <v>249609004.13924208</v>
      </c>
      <c r="H3" s="207">
        <f>'Salidas(Ot)'!I7</f>
        <v>251540800</v>
      </c>
      <c r="I3" s="208">
        <f>'Salidas(Ot)'!I7-'Analisis de resultados'!G3</f>
        <v>1931795.8607579172</v>
      </c>
      <c r="J3" s="77"/>
    </row>
    <row r="4" spans="1:10" ht="97.5" customHeight="1" thickBot="1">
      <c r="A4" s="227" t="str">
        <f>Variables!G4</f>
        <v>Tiempo promedio de espera para la asignación de cita de Ortopedia</v>
      </c>
      <c r="B4" s="203">
        <f>'Resultados de aplicacion'!M6</f>
        <v>0.1866267101902663</v>
      </c>
      <c r="C4" s="209">
        <f>'Resultados de aplicacion'!N6</f>
        <v>0.13799206875664327</v>
      </c>
      <c r="D4" s="210" t="s">
        <v>681</v>
      </c>
      <c r="E4" s="206" t="s">
        <v>682</v>
      </c>
      <c r="F4" s="229">
        <f>('Entradas (Ic-Inc)'!L10)/('Entradas (Ic-Inc)'!R10)</f>
        <v>0.57491039426523294</v>
      </c>
      <c r="G4" s="207">
        <f>'Resultados de aplicacion'!I6</f>
        <v>26174336.765268266</v>
      </c>
      <c r="H4" s="207">
        <f>'Salidas(Ot)'!I11</f>
        <v>80631000</v>
      </c>
      <c r="I4" s="208">
        <f>'Salidas(Ot)'!I11-'Analisis de resultados'!G4</f>
        <v>54456663.234731734</v>
      </c>
    </row>
    <row r="5" spans="1:10" ht="97.5" customHeight="1" thickBot="1">
      <c r="A5" s="227" t="str">
        <f>Variables!G5</f>
        <v>Tiempo promedio de espera para la asignación de cita de Medicina Familiar</v>
      </c>
      <c r="B5" s="203">
        <f>'Resultados de aplicacion'!M7</f>
        <v>5.1580122397964251E-2</v>
      </c>
      <c r="C5" s="209">
        <f>'Resultados de aplicacion'!N7</f>
        <v>0.27157931848209904</v>
      </c>
      <c r="D5" s="210" t="s">
        <v>683</v>
      </c>
      <c r="E5" s="206" t="s">
        <v>682</v>
      </c>
      <c r="F5" s="229">
        <f>('Entradas (Ic-Inc)'!L14)/('Entradas (Ic-Inc)'!R14)</f>
        <v>0.15961199294532627</v>
      </c>
      <c r="G5" s="207">
        <f>'Resultados de aplicacion'!I7</f>
        <v>21181550.184371926</v>
      </c>
      <c r="H5" s="207">
        <f>'Salidas(Ot)'!I15</f>
        <v>65545200</v>
      </c>
      <c r="I5" s="208">
        <f>'Salidas(Ot)'!I15-'Analisis de resultados'!G5</f>
        <v>44363649.815628074</v>
      </c>
      <c r="J5" s="76"/>
    </row>
    <row r="6" spans="1:10" ht="97.5" customHeight="1" thickBot="1">
      <c r="A6" s="227" t="str">
        <f>Variables!G6</f>
        <v>Tiempo promedio de espera para la toma de Ecografía</v>
      </c>
      <c r="B6" s="203">
        <f>'Resultados de aplicacion'!M8</f>
        <v>0.54762611411872386</v>
      </c>
      <c r="C6" s="204">
        <f>'Resultados de aplicacion'!N8</f>
        <v>2.82599772680521E-2</v>
      </c>
      <c r="D6" s="211" t="s">
        <v>684</v>
      </c>
      <c r="E6" s="206" t="s">
        <v>685</v>
      </c>
      <c r="F6" s="229">
        <f>('Entradas (Ic-Inc)'!L18)/('Entradas (Ic-Inc)'!R18)</f>
        <v>0.95092783505154643</v>
      </c>
      <c r="G6" s="207">
        <f>'Resultados de aplicacion'!I8</f>
        <v>73177845.632517621</v>
      </c>
      <c r="H6" s="207">
        <f>'Salidas(Ot)'!I19</f>
        <v>127070000</v>
      </c>
      <c r="I6" s="208">
        <f>'Salidas(Ot)'!I19-'Analisis de resultados'!G6</f>
        <v>53892154.367482379</v>
      </c>
    </row>
    <row r="7" spans="1:10" ht="97.5" customHeight="1" thickBot="1">
      <c r="A7" s="227" t="str">
        <f>Variables!G7</f>
        <v>Tiempo promedio de espera para la asignación de cita de Cirugía General</v>
      </c>
      <c r="B7" s="203">
        <f>'Resultados de aplicacion'!M9</f>
        <v>5.0303930988863774</v>
      </c>
      <c r="C7" s="209">
        <f>'Resultados de aplicacion'!N9</f>
        <v>3.9524517205535816</v>
      </c>
      <c r="D7" s="205" t="s">
        <v>686</v>
      </c>
      <c r="E7" s="206" t="s">
        <v>687</v>
      </c>
      <c r="F7" s="229">
        <f>('Entradas (Ic-Inc)'!L23)/('Entradas (Ic-Inc)'!R23)</f>
        <v>0.56000000000000005</v>
      </c>
      <c r="G7" s="207">
        <f>'Resultados de aplicacion'!I9</f>
        <v>11767526.713466346</v>
      </c>
      <c r="H7" s="207">
        <f>'Salidas(Ot)'!I24</f>
        <v>1310000</v>
      </c>
      <c r="I7" s="208">
        <f>'Salidas(Ot)'!I24-'Analisis de resultados'!G7</f>
        <v>-10457526.713466346</v>
      </c>
      <c r="J7" s="76"/>
    </row>
    <row r="8" spans="1:10" ht="97.5" customHeight="1" thickBot="1">
      <c r="A8" s="227" t="str">
        <f>Variables!G8</f>
        <v>Tiempo promedio de espera para la asignación de cita de pediatría</v>
      </c>
      <c r="B8" s="203">
        <f>'Resultados de aplicacion'!M10</f>
        <v>0.18003035097755779</v>
      </c>
      <c r="C8" s="209">
        <f>'Resultados de aplicacion'!N10</f>
        <v>0.25245298402553296</v>
      </c>
      <c r="D8" s="205" t="s">
        <v>688</v>
      </c>
      <c r="E8" s="206" t="s">
        <v>687</v>
      </c>
      <c r="F8" s="229">
        <f>('Entradas (Ic-Inc)'!L27)/('Entradas (Ic-Inc)'!R27)</f>
        <v>0.41627118644067795</v>
      </c>
      <c r="G8" s="207">
        <f>'Resultados de aplicacion'!I10</f>
        <v>39423018.402206734</v>
      </c>
      <c r="H8" s="207">
        <f>'Salidas(Ot)'!I28</f>
        <v>91155000</v>
      </c>
      <c r="I8" s="208">
        <f>'Salidas(Ot)'!I28-'Analisis de resultados'!G8</f>
        <v>51731981.597793266</v>
      </c>
      <c r="J8" s="76"/>
    </row>
    <row r="9" spans="1:10" ht="97.5" customHeight="1" thickBot="1">
      <c r="A9" s="227" t="str">
        <f>Variables!G9</f>
        <v>Tiempo promedio de espera para la asignación de cita de Ginecología y obstetricia</v>
      </c>
      <c r="B9" s="203">
        <f>'Resultados de aplicacion'!M11</f>
        <v>0.26083687724404447</v>
      </c>
      <c r="C9" s="209">
        <f>'Resultados de aplicacion'!N11</f>
        <v>0.18912119480887482</v>
      </c>
      <c r="D9" s="205" t="s">
        <v>689</v>
      </c>
      <c r="E9" s="206" t="s">
        <v>687</v>
      </c>
      <c r="F9" s="229">
        <f>('Entradas (Ic-Inc)'!L31)/('Entradas (Ic-Inc)'!R31)</f>
        <v>0.57969151670951158</v>
      </c>
      <c r="G9" s="207">
        <f>'Resultados de aplicacion'!I11</f>
        <v>73374122.859983087</v>
      </c>
      <c r="H9" s="207">
        <f>'Salidas(Ot)'!I32</f>
        <v>163068800</v>
      </c>
      <c r="I9" s="208">
        <f>'Salidas(Ot)'!I32-'Analisis de resultados'!G9</f>
        <v>89694677.140016913</v>
      </c>
    </row>
    <row r="10" spans="1:10" ht="97.5" customHeight="1" thickBot="1">
      <c r="A10" s="227" t="str">
        <f>Variables!G10</f>
        <v>Tiempo promedio de espera para la asignación de cita de Medicina Interna</v>
      </c>
      <c r="B10" s="203">
        <f>'Resultados de aplicacion'!M12</f>
        <v>0.48505116594855491</v>
      </c>
      <c r="C10" s="204">
        <f>'Resultados de aplicacion'!N12</f>
        <v>7.824762954590736E-2</v>
      </c>
      <c r="D10" s="205" t="s">
        <v>690</v>
      </c>
      <c r="E10" s="206" t="s">
        <v>687</v>
      </c>
      <c r="F10" s="229">
        <f>('Entradas (Ic-Inc)'!L35)/('Entradas (Ic-Inc)'!R35)</f>
        <v>0.86109036594473487</v>
      </c>
      <c r="G10" s="207">
        <f>'Resultados de aplicacion'!I12</f>
        <v>87192119.276515007</v>
      </c>
      <c r="H10" s="207">
        <f>'Salidas(Ot)'!I36</f>
        <v>154788400</v>
      </c>
      <c r="I10" s="208">
        <f>'Salidas(Ot)'!I36-'Analisis de resultados'!G10</f>
        <v>67596280.723484993</v>
      </c>
    </row>
    <row r="11" spans="1:10" ht="97.5" customHeight="1" thickBot="1">
      <c r="A11" s="227" t="str">
        <f>Variables!G11</f>
        <v>Proporción de gestantes con consulta de control prenatal de primera vez antes de las 12 semanas de gestación</v>
      </c>
      <c r="B11" s="203">
        <f>'Resultados de aplicacion'!M13</f>
        <v>3.274257525505072E-2</v>
      </c>
      <c r="C11" s="209">
        <f>'Resultados de aplicacion'!N13</f>
        <v>0.28481751051555032</v>
      </c>
      <c r="D11" s="212" t="s">
        <v>555</v>
      </c>
      <c r="E11" s="206" t="s">
        <v>558</v>
      </c>
      <c r="F11" s="229">
        <f>('Entradas (Ic-Inc)'!L39)/('Entradas (Ic-Inc)'!R39)</f>
        <v>0.10310670868977938</v>
      </c>
      <c r="G11" s="207">
        <f>'Resultados de aplicacion'!I13</f>
        <v>36957769.806016862</v>
      </c>
      <c r="H11" s="207">
        <f>'Salidas(Ot)'!I40</f>
        <v>116380400</v>
      </c>
      <c r="I11" s="208">
        <f>'Salidas(Ot)'!I40-'Analisis de resultados'!G11</f>
        <v>79422630.193983138</v>
      </c>
      <c r="J11" s="78"/>
    </row>
    <row r="12" spans="1:10" ht="97.5" customHeight="1" thickBot="1">
      <c r="A12" s="227" t="str">
        <f>Variables!G12</f>
        <v>Tiempo promedio de espera para la asignación de las citas por primera vez - Odontología General</v>
      </c>
      <c r="B12" s="203">
        <f>'Resultados de aplicacion'!M14</f>
        <v>0.37401552216691297</v>
      </c>
      <c r="C12" s="209">
        <f>'Resultados de aplicacion'!N14</f>
        <v>0.15697976882556094</v>
      </c>
      <c r="D12" s="210" t="s">
        <v>691</v>
      </c>
      <c r="E12" s="206" t="s">
        <v>692</v>
      </c>
      <c r="F12" s="229">
        <f>('Entradas (Ic-Inc)'!L43)/('Entradas (Ic-Inc)'!R43)</f>
        <v>0.70436692850485949</v>
      </c>
      <c r="G12" s="207">
        <f>'Resultados de aplicacion'!I14</f>
        <v>197819959.27996579</v>
      </c>
      <c r="H12" s="207">
        <f>'Salidas(Ot)'!I44</f>
        <v>372545600</v>
      </c>
      <c r="I12" s="208">
        <f>'Salidas(Ot)'!I44-'Analisis de resultados'!G12</f>
        <v>174725640.72003421</v>
      </c>
    </row>
    <row r="13" spans="1:10" ht="97.5" customHeight="1" thickBot="1">
      <c r="A13" s="227" t="str">
        <f>Variables!G13</f>
        <v xml:space="preserve">Tiempo promedio de espera para la entrega de resultados Imágenes Diagnosticas	</v>
      </c>
      <c r="B13" s="203">
        <f>'Resultados de aplicacion'!M15</f>
        <v>0.19590289891062113</v>
      </c>
      <c r="C13" s="204">
        <f>'Resultados de aplicacion'!N15</f>
        <v>2.7551858643845266E-5</v>
      </c>
      <c r="D13" s="205" t="s">
        <v>693</v>
      </c>
      <c r="E13" s="206" t="s">
        <v>694</v>
      </c>
      <c r="F13" s="229">
        <f>('Entradas (Ic-Inc)'!L47)/('Entradas (Ic-Inc)'!R47)</f>
        <v>0.99985937939439395</v>
      </c>
      <c r="G13" s="207">
        <f>'Resultados de aplicacion'!I15</f>
        <v>321202221.32962167</v>
      </c>
      <c r="H13" s="207">
        <f>'Salidas(Ot)'!I48</f>
        <v>1639368562</v>
      </c>
      <c r="I13" s="208">
        <f>'Salidas(Ot)'!I48-'Analisis de resultados'!G13</f>
        <v>1318166340.6703782</v>
      </c>
      <c r="J13" s="76"/>
    </row>
    <row r="14" spans="1:10" ht="97.5" customHeight="1" thickBot="1">
      <c r="A14" s="227" t="str">
        <f>Variables!G14</f>
        <v>Letalidad en menores de 5 años por enfermedad diarreica aguda (EDA)</v>
      </c>
      <c r="B14" s="203">
        <f>'Resultados de aplicacion'!M16</f>
        <v>18.656119375563307</v>
      </c>
      <c r="C14" s="204">
        <f>'Resultados de aplicacion'!N16</f>
        <v>0</v>
      </c>
      <c r="D14" s="205" t="s">
        <v>553</v>
      </c>
      <c r="E14" s="206" t="s">
        <v>553</v>
      </c>
      <c r="F14" s="229">
        <f>('Entradas (Ic-Inc)'!L52)/('Entradas (Ic-Inc)'!R52)</f>
        <v>1</v>
      </c>
      <c r="G14" s="207">
        <f>'Resultados de aplicacion'!I16</f>
        <v>239697926.0835</v>
      </c>
      <c r="H14" s="207">
        <f>'Salidas(Ot)'!I52</f>
        <v>12848220</v>
      </c>
      <c r="I14" s="208">
        <f>'Salidas(Ot)'!I52-'Analisis de resultados'!G14</f>
        <v>-226849706.0835</v>
      </c>
    </row>
    <row r="15" spans="1:10" ht="97.5" customHeight="1" thickBot="1">
      <c r="A15" s="227" t="str">
        <f>Variables!G15</f>
        <v>Estancia media en la UCI</v>
      </c>
      <c r="B15" s="203">
        <f>'Resultados de aplicacion'!M17</f>
        <v>0.38243990316642185</v>
      </c>
      <c r="C15" s="204">
        <f>'Resultados de aplicacion'!N17</f>
        <v>6.3121149066302645E-2</v>
      </c>
      <c r="D15" s="210" t="s">
        <v>695</v>
      </c>
      <c r="E15" s="206" t="s">
        <v>696</v>
      </c>
      <c r="F15" s="229">
        <f>('Entradas (Ic-Inc)'!L58)/('Entradas (Ic-Inc)'!R58)</f>
        <v>0.85833333333333328</v>
      </c>
      <c r="G15" s="207">
        <f>'Resultados de aplicacion'!I17</f>
        <v>565763871.29615378</v>
      </c>
      <c r="H15" s="207">
        <f>'Salidas(Ot)'!I58</f>
        <v>1269778560</v>
      </c>
      <c r="I15" s="208">
        <f>'Salidas(Ot)'!I58-'Analisis de resultados'!G15</f>
        <v>704014688.70384622</v>
      </c>
      <c r="J15" s="76"/>
    </row>
    <row r="16" spans="1:10" ht="97.5" customHeight="1" thickBot="1">
      <c r="A16" s="227" t="str">
        <f>Variables!G16</f>
        <v>Porcentaje de ocupación en la UCI</v>
      </c>
      <c r="B16" s="203">
        <f>'Resultados de aplicacion'!M18</f>
        <v>0.25774166461944142</v>
      </c>
      <c r="C16" s="209">
        <f>'Resultados de aplicacion'!N18</f>
        <v>0.23354321139097861</v>
      </c>
      <c r="D16" s="213">
        <v>0.67979999999999996</v>
      </c>
      <c r="E16" s="214">
        <v>0.6</v>
      </c>
      <c r="F16" s="229">
        <f>('Entradas (Ic-Inc)'!L63)/('Entradas (Ic-Inc)'!R63)</f>
        <v>0.52462772050400919</v>
      </c>
      <c r="G16" s="207">
        <f>'Resultados de aplicacion'!I18</f>
        <v>623822972.93319714</v>
      </c>
      <c r="H16" s="207">
        <f>'Salidas(Ot)'!I63</f>
        <v>1269778500</v>
      </c>
      <c r="I16" s="208">
        <f>'Salidas(Ot)'!I63-'Analisis de resultados'!G16</f>
        <v>645955527.06680286</v>
      </c>
      <c r="J16" s="76"/>
    </row>
    <row r="17" spans="1:10" ht="97.5" customHeight="1" thickBot="1">
      <c r="A17" s="227" t="str">
        <f>Variables!G17</f>
        <v>Tasa de reingreso de pacientes hospitalizados en menos de 15 días</v>
      </c>
      <c r="B17" s="203">
        <f>'Resultados de aplicacion'!M19</f>
        <v>3.4690832559963347</v>
      </c>
      <c r="C17" s="204">
        <f>'Resultados de aplicacion'!N19</f>
        <v>4.1274042308106305E-3</v>
      </c>
      <c r="D17" s="210">
        <v>1.38</v>
      </c>
      <c r="E17" s="206">
        <v>0</v>
      </c>
      <c r="F17" s="229">
        <f>('Entradas (Ic-Inc)'!L68)/('Entradas (Ic-Inc)'!R68)</f>
        <v>0.99881164587046944</v>
      </c>
      <c r="G17" s="207">
        <f>'Resultados de aplicacion'!I19</f>
        <v>300968652.40736377</v>
      </c>
      <c r="H17" s="207">
        <f>'Salidas(Ot)'!I68</f>
        <v>86654304</v>
      </c>
      <c r="I17" s="208">
        <f>'Salidas(Ot)'!I68-'Analisis de resultados'!G17</f>
        <v>-214314348.40736377</v>
      </c>
      <c r="J17" s="77"/>
    </row>
    <row r="18" spans="1:10" ht="97.5" customHeight="1" thickBot="1">
      <c r="A18" s="227" t="str">
        <f>Variables!G18</f>
        <v>Reingresos no programados a la UCI en menos de 48 horas</v>
      </c>
      <c r="B18" s="203">
        <f>'Resultados de aplicacion'!M20</f>
        <v>0.49128487601042004</v>
      </c>
      <c r="C18" s="204">
        <f>'Resultados de aplicacion'!N20</f>
        <v>0</v>
      </c>
      <c r="D18" s="205" t="s">
        <v>553</v>
      </c>
      <c r="E18" s="206" t="s">
        <v>553</v>
      </c>
      <c r="F18" s="229">
        <f>('Entradas (Ic-Inc)'!L75)/('Entradas (Ic-Inc)'!R75)</f>
        <v>1</v>
      </c>
      <c r="G18" s="207">
        <f>'Resultados de aplicacion'!I20</f>
        <v>623822972.93319714</v>
      </c>
      <c r="H18" s="207">
        <f>'Salidas(Ot)'!I75</f>
        <v>1269778500</v>
      </c>
      <c r="I18" s="208">
        <f>'Salidas(Ot)'!I75-'Analisis de resultados'!G18</f>
        <v>645955527.06680286</v>
      </c>
    </row>
    <row r="19" spans="1:10" ht="97.5" customHeight="1" thickBot="1">
      <c r="A19" s="227" t="str">
        <f>Variables!G19</f>
        <v>Porcentaje de mortalidad en la UCI</v>
      </c>
      <c r="B19" s="203">
        <f>'Resultados de aplicacion'!M21</f>
        <v>0.48453181929550015</v>
      </c>
      <c r="C19" s="204">
        <f>'Resultados de aplicacion'!N21</f>
        <v>6.7530567149198632E-3</v>
      </c>
      <c r="D19" s="215">
        <v>3.6299999999999999E-2</v>
      </c>
      <c r="E19" s="214">
        <v>0.05</v>
      </c>
      <c r="F19" s="229">
        <f>('Entradas (Ic-Inc)'!L80)/('Entradas (Ic-Inc)'!R80)</f>
        <v>0.9862542955326461</v>
      </c>
      <c r="G19" s="207">
        <f>'Resultados de aplicacion'!I21</f>
        <v>623822972.93319714</v>
      </c>
      <c r="H19" s="207">
        <f>'Salidas(Ot)'!I80</f>
        <v>1269778500</v>
      </c>
      <c r="I19" s="208">
        <f>'Salidas(Ot)'!I80-'Analisis de resultados'!G19</f>
        <v>645955527.06680286</v>
      </c>
    </row>
    <row r="20" spans="1:10" ht="97.5" customHeight="1" thickBot="1">
      <c r="A20" s="227" t="str">
        <f>Variables!G20</f>
        <v xml:space="preserve">Proporción de eventos adversos relacionados con la administración de medicamentos en hospitalización </v>
      </c>
      <c r="B20" s="203">
        <f>'Resultados de aplicacion'!M22</f>
        <v>1.218963069272609</v>
      </c>
      <c r="C20" s="204">
        <f>'Resultados de aplicacion'!N22</f>
        <v>5.3620862590621969E-5</v>
      </c>
      <c r="D20" s="216" t="s">
        <v>559</v>
      </c>
      <c r="E20" s="206" t="s">
        <v>549</v>
      </c>
      <c r="F20" s="230">
        <f>('Entradas (Ic-Inc)'!L85)/('Entradas (Ic-Inc)'!R85)</f>
        <v>0.99995601302014603</v>
      </c>
      <c r="G20" s="207">
        <f>'Resultados de aplicacion'!I22</f>
        <v>1524594363.2501764</v>
      </c>
      <c r="H20" s="207">
        <f>'Salidas(Ot)'!I85</f>
        <v>1250675544.96</v>
      </c>
      <c r="I20" s="208">
        <f>'Salidas(Ot)'!I85-'Analisis de resultados'!G20</f>
        <v>-273918818.29017639</v>
      </c>
    </row>
    <row r="21" spans="1:10" ht="97.5" customHeight="1" thickBot="1">
      <c r="A21" s="227" t="str">
        <f>Variables!G21</f>
        <v>Tasa de reingreso de pacientes hospitalizados en menos de 15 días por IRA (Infección respiratoria aguda)</v>
      </c>
      <c r="B21" s="203">
        <f>'Resultados de aplicacion'!M23</f>
        <v>7.8400697489054378</v>
      </c>
      <c r="C21" s="204">
        <f>'Resultados de aplicacion'!N23</f>
        <v>0.17618134267203236</v>
      </c>
      <c r="D21" s="210">
        <v>2.19</v>
      </c>
      <c r="E21" s="206">
        <v>0</v>
      </c>
      <c r="F21" s="231">
        <f>('Entradas (Ic-Inc)'!L91)/('Entradas (Ic-Inc)'!R91)</f>
        <v>0.97802197802197799</v>
      </c>
      <c r="G21" s="207">
        <f>'Resultados de aplicacion'!I23</f>
        <v>1068089800.5748957</v>
      </c>
      <c r="H21" s="207">
        <f>'Salidas(Ot)'!I91</f>
        <v>133240562</v>
      </c>
      <c r="I21" s="208">
        <f>'Salidas(Ot)'!I91-'Analisis de resultados'!G21</f>
        <v>-934849238.57489574</v>
      </c>
      <c r="J21" s="77"/>
    </row>
    <row r="22" spans="1:10" ht="97.5" customHeight="1" thickBot="1">
      <c r="A22" s="227" t="str">
        <f>Variables!G22</f>
        <v>Proporción de satisfacción global de los usuarios en la IPS</v>
      </c>
      <c r="B22" s="203">
        <f>'Resultados de aplicacion'!M24</f>
        <v>10.63405374594335</v>
      </c>
      <c r="C22" s="204">
        <f>'Resultados de aplicacion'!N24</f>
        <v>9.7412929023082739E-2</v>
      </c>
      <c r="D22" s="217">
        <v>0.99109999999999998</v>
      </c>
      <c r="E22" s="214">
        <v>0.95</v>
      </c>
      <c r="F22" s="229">
        <f>('Entradas (Ic-Inc)'!L98)/('Entradas (Ic-Inc)'!R98)</f>
        <v>0.99092268261426741</v>
      </c>
      <c r="G22" s="207">
        <f>'Resultados de aplicacion'!I24</f>
        <v>818386112.92307687</v>
      </c>
      <c r="H22" s="207">
        <f>'Salidas(Ot)'!I98</f>
        <v>76260416</v>
      </c>
      <c r="I22" s="208">
        <f>'Salidas(Ot)'!I98-'Analisis de resultados'!G22</f>
        <v>-742125696.92307687</v>
      </c>
    </row>
    <row r="25" spans="1:10">
      <c r="A25" s="379" t="s">
        <v>563</v>
      </c>
      <c r="B25" s="379"/>
      <c r="C25" s="379"/>
    </row>
    <row r="26" spans="1:10">
      <c r="A26" s="377" t="str">
        <f>Variables!G2</f>
        <v>Tiempo promedio de espera para la asignación de las citas por primera vez - Medicina General</v>
      </c>
      <c r="B26" s="218"/>
      <c r="C26" s="219" t="s">
        <v>505</v>
      </c>
    </row>
    <row r="27" spans="1:10">
      <c r="A27" s="377"/>
      <c r="B27" s="220"/>
      <c r="C27" s="219" t="s">
        <v>509</v>
      </c>
    </row>
    <row r="28" spans="1:10">
      <c r="A28" s="377"/>
      <c r="B28" s="221"/>
      <c r="C28" s="219" t="s">
        <v>506</v>
      </c>
    </row>
    <row r="29" spans="1:10" ht="20.5" customHeight="1">
      <c r="A29" s="377" t="str">
        <f>Variables!G3</f>
        <v>Tiempo promedio de espera para la asignación de cita Promoción y detección (Cardiología, dermatología, enfermería general, gastroenterología, endoscopia, higiene oral, nutrición, optometría y terapias respiratorias)</v>
      </c>
      <c r="B29" s="218"/>
      <c r="C29" s="219" t="s">
        <v>505</v>
      </c>
    </row>
    <row r="30" spans="1:10" ht="19.5" customHeight="1">
      <c r="A30" s="377"/>
      <c r="B30" s="220"/>
      <c r="C30" s="219" t="s">
        <v>509</v>
      </c>
    </row>
    <row r="31" spans="1:10" ht="23" customHeight="1">
      <c r="A31" s="377"/>
      <c r="B31" s="221"/>
      <c r="C31" s="219" t="s">
        <v>506</v>
      </c>
    </row>
    <row r="32" spans="1:10" ht="29.15" customHeight="1">
      <c r="A32" s="377" t="str">
        <f>Variables!G4</f>
        <v>Tiempo promedio de espera para la asignación de cita de Ortopedia</v>
      </c>
      <c r="B32" s="218"/>
      <c r="C32" s="219" t="s">
        <v>505</v>
      </c>
    </row>
    <row r="33" spans="1:3" ht="29.15" customHeight="1">
      <c r="A33" s="377"/>
      <c r="B33" s="220"/>
      <c r="C33" s="219" t="s">
        <v>509</v>
      </c>
    </row>
    <row r="34" spans="1:3">
      <c r="A34" s="377"/>
      <c r="B34" s="221"/>
      <c r="C34" s="219" t="s">
        <v>506</v>
      </c>
    </row>
    <row r="35" spans="1:3">
      <c r="A35" s="378" t="str">
        <f>Variables!G5</f>
        <v>Tiempo promedio de espera para la asignación de cita de Medicina Familiar</v>
      </c>
      <c r="B35" s="218"/>
      <c r="C35" s="219" t="s">
        <v>505</v>
      </c>
    </row>
    <row r="36" spans="1:3">
      <c r="A36" s="378"/>
      <c r="B36" s="220"/>
      <c r="C36" s="219" t="s">
        <v>509</v>
      </c>
    </row>
    <row r="37" spans="1:3">
      <c r="A37" s="378"/>
      <c r="B37" s="221"/>
      <c r="C37" s="219" t="s">
        <v>506</v>
      </c>
    </row>
    <row r="38" spans="1:3">
      <c r="A38" s="378" t="str">
        <f>Variables!G6</f>
        <v>Tiempo promedio de espera para la toma de Ecografía</v>
      </c>
      <c r="B38" s="218"/>
      <c r="C38" s="219" t="s">
        <v>505</v>
      </c>
    </row>
    <row r="39" spans="1:3">
      <c r="A39" s="378"/>
      <c r="B39" s="220"/>
      <c r="C39" s="219" t="s">
        <v>509</v>
      </c>
    </row>
    <row r="40" spans="1:3">
      <c r="A40" s="378"/>
      <c r="B40" s="221"/>
      <c r="C40" s="219" t="s">
        <v>506</v>
      </c>
    </row>
    <row r="41" spans="1:3">
      <c r="A41" s="377" t="str">
        <f>Variables!G7</f>
        <v>Tiempo promedio de espera para la asignación de cita de Cirugía General</v>
      </c>
      <c r="B41" s="222"/>
      <c r="C41" s="219" t="s">
        <v>505</v>
      </c>
    </row>
    <row r="42" spans="1:3">
      <c r="A42" s="377"/>
      <c r="B42" s="223"/>
      <c r="C42" s="219" t="s">
        <v>509</v>
      </c>
    </row>
    <row r="43" spans="1:3">
      <c r="A43" s="377"/>
      <c r="B43" s="224"/>
      <c r="C43" s="219" t="s">
        <v>506</v>
      </c>
    </row>
    <row r="44" spans="1:3">
      <c r="A44" s="377" t="str">
        <f>Variables!G8</f>
        <v>Tiempo promedio de espera para la asignación de cita de pediatría</v>
      </c>
      <c r="B44" s="222"/>
      <c r="C44" s="219" t="s">
        <v>505</v>
      </c>
    </row>
    <row r="45" spans="1:3">
      <c r="A45" s="377"/>
      <c r="B45" s="223"/>
      <c r="C45" s="219" t="s">
        <v>509</v>
      </c>
    </row>
    <row r="46" spans="1:3">
      <c r="A46" s="377"/>
      <c r="B46" s="224"/>
      <c r="C46" s="219" t="s">
        <v>506</v>
      </c>
    </row>
    <row r="47" spans="1:3">
      <c r="A47" s="378" t="str">
        <f>Variables!G9</f>
        <v>Tiempo promedio de espera para la asignación de cita de Ginecología y obstetricia</v>
      </c>
      <c r="B47" s="222"/>
      <c r="C47" s="219" t="s">
        <v>505</v>
      </c>
    </row>
    <row r="48" spans="1:3">
      <c r="A48" s="378"/>
      <c r="B48" s="223"/>
      <c r="C48" s="219" t="s">
        <v>509</v>
      </c>
    </row>
    <row r="49" spans="1:3">
      <c r="A49" s="378"/>
      <c r="B49" s="224"/>
      <c r="C49" s="219" t="s">
        <v>506</v>
      </c>
    </row>
    <row r="50" spans="1:3">
      <c r="A50" s="380" t="str">
        <f>Variables!G10</f>
        <v>Tiempo promedio de espera para la asignación de cita de Medicina Interna</v>
      </c>
      <c r="B50" s="222"/>
      <c r="C50" s="219" t="s">
        <v>505</v>
      </c>
    </row>
    <row r="51" spans="1:3">
      <c r="A51" s="381"/>
      <c r="B51" s="223"/>
      <c r="C51" s="219" t="s">
        <v>509</v>
      </c>
    </row>
    <row r="52" spans="1:3">
      <c r="A52" s="381"/>
      <c r="B52" s="224"/>
      <c r="C52" s="219" t="s">
        <v>506</v>
      </c>
    </row>
    <row r="53" spans="1:3">
      <c r="A53" s="377" t="str">
        <f>Variables!G11</f>
        <v>Proporción de gestantes con consulta de control prenatal de primera vez antes de las 12 semanas de gestación</v>
      </c>
      <c r="B53" s="222"/>
      <c r="C53" s="225" t="s">
        <v>521</v>
      </c>
    </row>
    <row r="54" spans="1:3">
      <c r="A54" s="377"/>
      <c r="B54" s="223"/>
      <c r="C54" s="225" t="s">
        <v>522</v>
      </c>
    </row>
    <row r="55" spans="1:3">
      <c r="A55" s="377"/>
      <c r="B55" s="224"/>
      <c r="C55" s="225" t="s">
        <v>523</v>
      </c>
    </row>
    <row r="56" spans="1:3">
      <c r="A56" s="377" t="str">
        <f>Variables!G12</f>
        <v>Tiempo promedio de espera para la asignación de las citas por primera vez - Odontología General</v>
      </c>
      <c r="B56" s="222"/>
      <c r="C56" s="219" t="s">
        <v>505</v>
      </c>
    </row>
    <row r="57" spans="1:3">
      <c r="A57" s="377"/>
      <c r="B57" s="223"/>
      <c r="C57" s="219" t="s">
        <v>509</v>
      </c>
    </row>
    <row r="58" spans="1:3">
      <c r="A58" s="377"/>
      <c r="B58" s="224"/>
      <c r="C58" s="219" t="s">
        <v>506</v>
      </c>
    </row>
    <row r="59" spans="1:3">
      <c r="A59" s="377" t="str">
        <f>Variables!G13</f>
        <v xml:space="preserve">Tiempo promedio de espera para la entrega de resultados Imágenes Diagnosticas	</v>
      </c>
      <c r="B59" s="222"/>
      <c r="C59" s="219" t="s">
        <v>505</v>
      </c>
    </row>
    <row r="60" spans="1:3">
      <c r="A60" s="377"/>
      <c r="B60" s="223"/>
      <c r="C60" s="219" t="s">
        <v>509</v>
      </c>
    </row>
    <row r="61" spans="1:3">
      <c r="A61" s="377"/>
      <c r="B61" s="224"/>
      <c r="C61" s="219" t="s">
        <v>506</v>
      </c>
    </row>
    <row r="62" spans="1:3">
      <c r="A62" s="377" t="str">
        <f>Variables!G14</f>
        <v>Letalidad en menores de 5 años por enfermedad diarreica aguda (EDA)</v>
      </c>
      <c r="B62" s="222"/>
      <c r="C62" s="226" t="s">
        <v>561</v>
      </c>
    </row>
    <row r="63" spans="1:3">
      <c r="A63" s="377"/>
      <c r="B63" s="224"/>
      <c r="C63" s="226" t="s">
        <v>562</v>
      </c>
    </row>
    <row r="64" spans="1:3">
      <c r="A64" s="377" t="str">
        <f>Variables!G15</f>
        <v>Estancia media en la UCI</v>
      </c>
      <c r="B64" s="222"/>
      <c r="C64" s="225" t="s">
        <v>524</v>
      </c>
    </row>
    <row r="65" spans="1:3">
      <c r="A65" s="377"/>
      <c r="B65" s="223"/>
      <c r="C65" s="225" t="s">
        <v>560</v>
      </c>
    </row>
    <row r="66" spans="1:3">
      <c r="A66" s="377"/>
      <c r="B66" s="224"/>
      <c r="C66" s="225" t="s">
        <v>521</v>
      </c>
    </row>
    <row r="67" spans="1:3">
      <c r="A67" s="377" t="str">
        <f>Variables!G16</f>
        <v>Porcentaje de ocupación en la UCI</v>
      </c>
      <c r="B67" s="222"/>
      <c r="C67" s="219" t="s">
        <v>505</v>
      </c>
    </row>
    <row r="68" spans="1:3">
      <c r="A68" s="377"/>
      <c r="B68" s="223"/>
      <c r="C68" s="219" t="s">
        <v>509</v>
      </c>
    </row>
    <row r="69" spans="1:3">
      <c r="A69" s="377"/>
      <c r="B69" s="224"/>
      <c r="C69" s="219" t="s">
        <v>506</v>
      </c>
    </row>
    <row r="70" spans="1:3">
      <c r="A70" s="377" t="str">
        <f>Variables!G17</f>
        <v>Tasa de reingreso de pacientes hospitalizados en menos de 15 días</v>
      </c>
      <c r="B70" s="222"/>
      <c r="C70" s="219" t="s">
        <v>505</v>
      </c>
    </row>
    <row r="71" spans="1:3">
      <c r="A71" s="377"/>
      <c r="B71" s="223"/>
      <c r="C71" s="219" t="s">
        <v>572</v>
      </c>
    </row>
    <row r="72" spans="1:3">
      <c r="A72" s="377"/>
      <c r="B72" s="224"/>
      <c r="C72" s="219" t="s">
        <v>521</v>
      </c>
    </row>
    <row r="73" spans="1:3">
      <c r="A73" s="377" t="str">
        <f>Variables!G18</f>
        <v>Reingresos no programados a la UCI en menos de 48 horas</v>
      </c>
      <c r="B73" s="222"/>
      <c r="C73" s="219" t="s">
        <v>505</v>
      </c>
    </row>
    <row r="74" spans="1:3">
      <c r="A74" s="377"/>
      <c r="B74" s="223"/>
      <c r="C74" s="219" t="s">
        <v>572</v>
      </c>
    </row>
    <row r="75" spans="1:3">
      <c r="A75" s="377"/>
      <c r="B75" s="224"/>
      <c r="C75" s="219" t="s">
        <v>521</v>
      </c>
    </row>
    <row r="76" spans="1:3">
      <c r="A76" s="377" t="str">
        <f>Variables!G19</f>
        <v>Porcentaje de mortalidad en la UCI</v>
      </c>
      <c r="B76" s="222"/>
      <c r="C76" s="219" t="s">
        <v>505</v>
      </c>
    </row>
    <row r="77" spans="1:3">
      <c r="A77" s="377"/>
      <c r="B77" s="223"/>
      <c r="C77" s="232" t="s">
        <v>560</v>
      </c>
    </row>
    <row r="78" spans="1:3">
      <c r="A78" s="377"/>
      <c r="B78" s="224"/>
      <c r="C78" s="232" t="s">
        <v>521</v>
      </c>
    </row>
    <row r="79" spans="1:3">
      <c r="A79" s="377" t="str">
        <f>Variables!G20</f>
        <v xml:space="preserve">Proporción de eventos adversos relacionados con la administración de medicamentos en hospitalización </v>
      </c>
      <c r="B79" s="222"/>
      <c r="C79" s="219" t="s">
        <v>573</v>
      </c>
    </row>
    <row r="80" spans="1:3">
      <c r="A80" s="377"/>
      <c r="B80" s="223"/>
      <c r="C80" s="232" t="s">
        <v>574</v>
      </c>
    </row>
    <row r="81" spans="1:3">
      <c r="A81" s="377"/>
      <c r="B81" s="224"/>
      <c r="C81" s="232" t="s">
        <v>575</v>
      </c>
    </row>
    <row r="82" spans="1:3">
      <c r="A82" s="377" t="str">
        <f>Variables!G21</f>
        <v>Tasa de reingreso de pacientes hospitalizados en menos de 15 días por IRA (Infección respiratoria aguda)</v>
      </c>
      <c r="B82" s="222"/>
      <c r="C82" s="219" t="s">
        <v>505</v>
      </c>
    </row>
    <row r="83" spans="1:3">
      <c r="A83" s="377"/>
      <c r="B83" s="223"/>
      <c r="C83" s="219" t="s">
        <v>572</v>
      </c>
    </row>
    <row r="84" spans="1:3">
      <c r="A84" s="377"/>
      <c r="B84" s="224"/>
      <c r="C84" s="219" t="s">
        <v>521</v>
      </c>
    </row>
    <row r="85" spans="1:3">
      <c r="A85" s="377" t="str">
        <f>Variables!G22</f>
        <v>Proporción de satisfacción global de los usuarios en la IPS</v>
      </c>
      <c r="B85" s="222"/>
      <c r="C85" s="219" t="s">
        <v>505</v>
      </c>
    </row>
    <row r="86" spans="1:3">
      <c r="A86" s="377"/>
      <c r="B86" s="223"/>
      <c r="C86" s="219" t="s">
        <v>572</v>
      </c>
    </row>
    <row r="87" spans="1:3">
      <c r="A87" s="377"/>
      <c r="B87" s="224"/>
      <c r="C87" s="219" t="s">
        <v>521</v>
      </c>
    </row>
  </sheetData>
  <sheetProtection algorithmName="SHA-512" hashValue="y6Q2tUSfZgHq+tD6NJsxtGucR6jXbGbqtwrQtW4SRSALkmAQasd0N7b8mThV/XV0mpKZcMS+eRuIV2pp3DNwRA==" saltValue="l67MQYWJleCZ8zfrRmZKkQ==" spinCount="100000" sheet="1" objects="1" scenarios="1"/>
  <mergeCells count="22">
    <mergeCell ref="A56:A58"/>
    <mergeCell ref="A50:A52"/>
    <mergeCell ref="A38:A40"/>
    <mergeCell ref="A41:A43"/>
    <mergeCell ref="A44:A46"/>
    <mergeCell ref="A47:A49"/>
    <mergeCell ref="A53:A55"/>
    <mergeCell ref="A35:A37"/>
    <mergeCell ref="A25:C25"/>
    <mergeCell ref="A26:A28"/>
    <mergeCell ref="A29:A31"/>
    <mergeCell ref="A32:A34"/>
    <mergeCell ref="A59:A61"/>
    <mergeCell ref="A62:A63"/>
    <mergeCell ref="A64:A66"/>
    <mergeCell ref="A67:A69"/>
    <mergeCell ref="A70:A72"/>
    <mergeCell ref="A73:A75"/>
    <mergeCell ref="A76:A78"/>
    <mergeCell ref="A79:A81"/>
    <mergeCell ref="A82:A84"/>
    <mergeCell ref="A85:A87"/>
  </mergeCells>
  <conditionalFormatting sqref="C88:C1048576 C1 C23:C58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">
    <cfRule type="cellIs" dxfId="81" priority="103" operator="lessThan">
      <formula>0.49</formula>
    </cfRule>
    <cfRule type="cellIs" dxfId="80" priority="104" operator="between">
      <formula>0.5</formula>
      <formula>0.89</formula>
    </cfRule>
    <cfRule type="cellIs" dxfId="79" priority="105" operator="between">
      <formula>0.5</formula>
      <formula>0.89</formula>
    </cfRule>
    <cfRule type="cellIs" dxfId="78" priority="106" operator="greaterThan">
      <formula>0.94</formula>
    </cfRule>
  </conditionalFormatting>
  <conditionalFormatting sqref="F3:F4">
    <cfRule type="cellIs" dxfId="77" priority="102" operator="between">
      <formula>0.5</formula>
      <formula>0.9</formula>
    </cfRule>
  </conditionalFormatting>
  <conditionalFormatting sqref="F5:F10">
    <cfRule type="cellIs" dxfId="76" priority="99" operator="lessThan">
      <formula>0.5</formula>
    </cfRule>
    <cfRule type="cellIs" dxfId="75" priority="100" operator="greaterThan">
      <formula>0.9</formula>
    </cfRule>
    <cfRule type="cellIs" dxfId="74" priority="101" operator="between">
      <formula>0.5</formula>
      <formula>0.89</formula>
    </cfRule>
  </conditionalFormatting>
  <conditionalFormatting sqref="F11:F13">
    <cfRule type="cellIs" dxfId="73" priority="96" operator="greaterThan">
      <formula>0.9</formula>
    </cfRule>
    <cfRule type="cellIs" dxfId="72" priority="97" operator="between">
      <formula>0.51</formula>
      <formula>0.89</formula>
    </cfRule>
    <cfRule type="cellIs" dxfId="71" priority="98" operator="lessThan">
      <formula>0.5</formula>
    </cfRule>
  </conditionalFormatting>
  <conditionalFormatting sqref="F14">
    <cfRule type="cellIs" dxfId="70" priority="95" operator="equal">
      <formula>1</formula>
    </cfRule>
  </conditionalFormatting>
  <conditionalFormatting sqref="F15">
    <cfRule type="cellIs" dxfId="69" priority="94" operator="between">
      <formula>0.5</formula>
      <formula>0.9</formula>
    </cfRule>
  </conditionalFormatting>
  <conditionalFormatting sqref="F16">
    <cfRule type="cellIs" dxfId="68" priority="93" operator="between">
      <formula>0.5</formula>
      <formula>0.89</formula>
    </cfRule>
  </conditionalFormatting>
  <conditionalFormatting sqref="F17">
    <cfRule type="cellIs" dxfId="67" priority="92" operator="greaterThan">
      <formula>0.89</formula>
    </cfRule>
  </conditionalFormatting>
  <conditionalFormatting sqref="F18">
    <cfRule type="cellIs" dxfId="66" priority="91" operator="greaterThan">
      <formula>0.89</formula>
    </cfRule>
  </conditionalFormatting>
  <conditionalFormatting sqref="F19:F20">
    <cfRule type="cellIs" dxfId="65" priority="90" operator="greaterThan">
      <formula>0.89</formula>
    </cfRule>
  </conditionalFormatting>
  <conditionalFormatting sqref="F21">
    <cfRule type="cellIs" dxfId="64" priority="87" operator="lessThan">
      <formula>0.5</formula>
    </cfRule>
    <cfRule type="cellIs" dxfId="63" priority="88" operator="between">
      <formula>0.5</formula>
      <formula>0.9</formula>
    </cfRule>
    <cfRule type="cellIs" dxfId="62" priority="89" operator="greaterThan">
      <formula>0.9</formula>
    </cfRule>
  </conditionalFormatting>
  <conditionalFormatting sqref="F22">
    <cfRule type="cellIs" dxfId="61" priority="84" operator="lessThan">
      <formula>0.88</formula>
    </cfRule>
    <cfRule type="cellIs" dxfId="60" priority="85" operator="between">
      <formula>0.88</formula>
      <formula>0.95</formula>
    </cfRule>
    <cfRule type="cellIs" dxfId="59" priority="86" operator="greaterThan">
      <formula>0.95</formula>
    </cfRule>
  </conditionalFormatting>
  <conditionalFormatting sqref="D2">
    <cfRule type="cellIs" dxfId="58" priority="82" operator="greaterThan">
      <formula>$E$2</formula>
    </cfRule>
    <cfRule type="cellIs" dxfId="57" priority="83" operator="lessThan">
      <formula>$E$2</formula>
    </cfRule>
  </conditionalFormatting>
  <conditionalFormatting sqref="D3">
    <cfRule type="cellIs" dxfId="56" priority="80" operator="greaterThan">
      <formula>$E$3</formula>
    </cfRule>
    <cfRule type="cellIs" dxfId="55" priority="81" operator="lessThan">
      <formula>$E$3</formula>
    </cfRule>
  </conditionalFormatting>
  <conditionalFormatting sqref="D4">
    <cfRule type="cellIs" dxfId="54" priority="77" operator="greaterThan">
      <formula>$E$4</formula>
    </cfRule>
    <cfRule type="cellIs" dxfId="53" priority="78" operator="lessThan">
      <formula>$E$4</formula>
    </cfRule>
    <cfRule type="cellIs" dxfId="52" priority="79" operator="lessThan">
      <formula>$E$3</formula>
    </cfRule>
  </conditionalFormatting>
  <conditionalFormatting sqref="D5">
    <cfRule type="cellIs" dxfId="51" priority="75" operator="greaterThan">
      <formula>$E$5</formula>
    </cfRule>
    <cfRule type="cellIs" dxfId="50" priority="76" operator="lessThan">
      <formula>$E$5</formula>
    </cfRule>
  </conditionalFormatting>
  <conditionalFormatting sqref="D7">
    <cfRule type="cellIs" dxfId="49" priority="68" operator="greaterThan">
      <formula>$E$7</formula>
    </cfRule>
    <cfRule type="cellIs" dxfId="48" priority="69" operator="greaterThan">
      <formula>$E$7</formula>
    </cfRule>
    <cfRule type="cellIs" dxfId="47" priority="70" operator="lessThan">
      <formula>$E$7</formula>
    </cfRule>
  </conditionalFormatting>
  <conditionalFormatting sqref="D8">
    <cfRule type="cellIs" dxfId="46" priority="66" operator="greaterThan">
      <formula>$E$8</formula>
    </cfRule>
    <cfRule type="cellIs" dxfId="45" priority="67" operator="lessThan">
      <formula>$E$8</formula>
    </cfRule>
  </conditionalFormatting>
  <conditionalFormatting sqref="D9">
    <cfRule type="cellIs" dxfId="44" priority="64" operator="lessThan">
      <formula>$E$9</formula>
    </cfRule>
    <cfRule type="cellIs" dxfId="43" priority="65" operator="greaterThan">
      <formula>$E$9</formula>
    </cfRule>
  </conditionalFormatting>
  <conditionalFormatting sqref="D10">
    <cfRule type="cellIs" dxfId="42" priority="62" operator="lessThan">
      <formula>$E$10</formula>
    </cfRule>
    <cfRule type="cellIs" dxfId="41" priority="63" operator="greaterThan">
      <formula>$E$10</formula>
    </cfRule>
  </conditionalFormatting>
  <conditionalFormatting sqref="D11">
    <cfRule type="cellIs" dxfId="40" priority="60" operator="greaterThan">
      <formula>$E$11</formula>
    </cfRule>
    <cfRule type="cellIs" dxfId="39" priority="61" operator="lessThan">
      <formula>$E$11</formula>
    </cfRule>
  </conditionalFormatting>
  <conditionalFormatting sqref="D12">
    <cfRule type="cellIs" dxfId="38" priority="58" operator="lessThan">
      <formula>$E$12</formula>
    </cfRule>
    <cfRule type="cellIs" dxfId="37" priority="59" operator="greaterThan">
      <formula>$E$12</formula>
    </cfRule>
  </conditionalFormatting>
  <conditionalFormatting sqref="D13">
    <cfRule type="cellIs" dxfId="36" priority="56" operator="greaterThan">
      <formula>$E$13</formula>
    </cfRule>
    <cfRule type="cellIs" dxfId="35" priority="57" operator="lessThan">
      <formula>$E$13</formula>
    </cfRule>
  </conditionalFormatting>
  <conditionalFormatting sqref="D14">
    <cfRule type="cellIs" dxfId="34" priority="53" operator="greaterThan">
      <formula>$E$14</formula>
    </cfRule>
    <cfRule type="cellIs" dxfId="33" priority="54" operator="equal">
      <formula>$E$14</formula>
    </cfRule>
    <cfRule type="cellIs" dxfId="32" priority="55" operator="lessThan">
      <formula>$E$14</formula>
    </cfRule>
  </conditionalFormatting>
  <conditionalFormatting sqref="D15">
    <cfRule type="cellIs" dxfId="31" priority="50" operator="greaterThan">
      <formula>$E$15</formula>
    </cfRule>
    <cfRule type="cellIs" dxfId="30" priority="51" operator="equal">
      <formula>$E$15</formula>
    </cfRule>
    <cfRule type="cellIs" dxfId="29" priority="52" operator="lessThan">
      <formula>$E$15</formula>
    </cfRule>
  </conditionalFormatting>
  <conditionalFormatting sqref="D16">
    <cfRule type="cellIs" dxfId="28" priority="46" operator="greaterThan">
      <formula>$E$16</formula>
    </cfRule>
    <cfRule type="cellIs" dxfId="27" priority="47" operator="equal">
      <formula>$E$16</formula>
    </cfRule>
    <cfRule type="cellIs" dxfId="26" priority="48" operator="lessThan">
      <formula>$E$16</formula>
    </cfRule>
    <cfRule type="cellIs" dxfId="25" priority="49" operator="lessThan">
      <formula>$E$16</formula>
    </cfRule>
  </conditionalFormatting>
  <conditionalFormatting sqref="D17">
    <cfRule type="cellIs" dxfId="24" priority="42" operator="lessThan">
      <formula>$E$17</formula>
    </cfRule>
    <cfRule type="cellIs" dxfId="23" priority="43" operator="equal">
      <formula>$E$17</formula>
    </cfRule>
    <cfRule type="cellIs" dxfId="22" priority="44" operator="greaterThan">
      <formula>$E$17</formula>
    </cfRule>
    <cfRule type="cellIs" dxfId="21" priority="45" operator="greaterThan">
      <formula>$E$17</formula>
    </cfRule>
  </conditionalFormatting>
  <conditionalFormatting sqref="D18">
    <cfRule type="cellIs" dxfId="20" priority="39" operator="greaterThan">
      <formula>$E$18</formula>
    </cfRule>
    <cfRule type="cellIs" dxfId="19" priority="40" operator="equal">
      <formula>$E$18</formula>
    </cfRule>
    <cfRule type="cellIs" dxfId="18" priority="41" operator="lessThan">
      <formula>$E$18</formula>
    </cfRule>
  </conditionalFormatting>
  <conditionalFormatting sqref="D19">
    <cfRule type="cellIs" dxfId="17" priority="36" operator="greaterThan">
      <formula>$E$19</formula>
    </cfRule>
    <cfRule type="cellIs" dxfId="16" priority="37" operator="equal">
      <formula>$E$19</formula>
    </cfRule>
    <cfRule type="cellIs" dxfId="15" priority="38" operator="lessThan">
      <formula>$E$19</formula>
    </cfRule>
  </conditionalFormatting>
  <conditionalFormatting sqref="D20">
    <cfRule type="cellIs" dxfId="14" priority="33" operator="greaterThan">
      <formula>$E$20</formula>
    </cfRule>
    <cfRule type="cellIs" dxfId="13" priority="34" operator="equal">
      <formula>$E$20</formula>
    </cfRule>
    <cfRule type="cellIs" dxfId="12" priority="35" operator="lessThan">
      <formula>$E$20</formula>
    </cfRule>
  </conditionalFormatting>
  <conditionalFormatting sqref="D21">
    <cfRule type="cellIs" dxfId="11" priority="30" operator="greaterThan">
      <formula>$E$21</formula>
    </cfRule>
    <cfRule type="cellIs" dxfId="10" priority="31" operator="equal">
      <formula>2.19</formula>
    </cfRule>
    <cfRule type="cellIs" dxfId="9" priority="32" operator="lessThan">
      <formula>$E$21</formula>
    </cfRule>
  </conditionalFormatting>
  <conditionalFormatting sqref="D22">
    <cfRule type="cellIs" dxfId="8" priority="27" operator="lessThan">
      <formula>$E$22</formula>
    </cfRule>
    <cfRule type="cellIs" dxfId="7" priority="28" operator="equal">
      <formula>$E$22</formula>
    </cfRule>
    <cfRule type="cellIs" dxfId="6" priority="29" operator="greaterThan">
      <formula>$E$22</formula>
    </cfRule>
  </conditionalFormatting>
  <conditionalFormatting sqref="C64:C6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7:C7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C6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C6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7:C6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0:C7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C7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">
    <cfRule type="cellIs" dxfId="5" priority="9" operator="lessThan">
      <formula>0.5</formula>
    </cfRule>
    <cfRule type="cellIs" dxfId="4" priority="10" operator="between">
      <formula>0.5</formula>
      <formula>0.95</formula>
    </cfRule>
    <cfRule type="cellIs" dxfId="3" priority="11" operator="greaterThan">
      <formula>0.95</formula>
    </cfRule>
  </conditionalFormatting>
  <conditionalFormatting sqref="F20">
    <cfRule type="cellIs" dxfId="2" priority="6" operator="lessThan">
      <formula>0.9</formula>
    </cfRule>
    <cfRule type="cellIs" dxfId="1" priority="7" operator="between">
      <formula>0.9</formula>
      <formula>0.99</formula>
    </cfRule>
    <cfRule type="cellIs" dxfId="0" priority="8" operator="greaterThan">
      <formula>0.99</formula>
    </cfRule>
  </conditionalFormatting>
  <conditionalFormatting sqref="C80:C8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2:C8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5:C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2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26"/>
  <sheetViews>
    <sheetView topLeftCell="A18" zoomScaleNormal="100" workbookViewId="0">
      <selection activeCell="G26" sqref="G26"/>
    </sheetView>
  </sheetViews>
  <sheetFormatPr baseColWidth="10" defaultRowHeight="14.5"/>
  <cols>
    <col min="1" max="1" width="13.54296875" customWidth="1"/>
    <col min="2" max="2" width="14.1796875" customWidth="1"/>
    <col min="3" max="3" width="15.453125" customWidth="1"/>
    <col min="4" max="4" width="18.1796875" customWidth="1"/>
    <col min="5" max="5" width="12.81640625" customWidth="1"/>
    <col min="6" max="6" width="14.54296875" customWidth="1"/>
    <col min="7" max="7" width="48.453125" style="15" customWidth="1"/>
    <col min="8" max="8" width="21" style="15" customWidth="1"/>
    <col min="9" max="9" width="12.453125" customWidth="1"/>
  </cols>
  <sheetData>
    <row r="2" spans="1:9" ht="23">
      <c r="A2" s="29" t="s">
        <v>2</v>
      </c>
      <c r="B2" s="29" t="s">
        <v>4</v>
      </c>
      <c r="C2" s="29" t="s">
        <v>0</v>
      </c>
      <c r="D2" s="29" t="s">
        <v>17</v>
      </c>
      <c r="E2" s="29" t="s">
        <v>31</v>
      </c>
      <c r="F2" s="29" t="s">
        <v>16</v>
      </c>
      <c r="G2" s="29" t="s">
        <v>1</v>
      </c>
      <c r="H2" s="36" t="s">
        <v>3</v>
      </c>
      <c r="I2" s="36" t="s">
        <v>390</v>
      </c>
    </row>
    <row r="3" spans="1:9" ht="34" customHeight="1">
      <c r="A3" s="30">
        <v>1</v>
      </c>
      <c r="B3" s="31" t="s">
        <v>6</v>
      </c>
      <c r="C3" s="32" t="s">
        <v>10</v>
      </c>
      <c r="D3" s="32" t="s">
        <v>26</v>
      </c>
      <c r="E3" s="31" t="s">
        <v>26</v>
      </c>
      <c r="F3" s="32" t="s">
        <v>20</v>
      </c>
      <c r="G3" s="34" t="s">
        <v>391</v>
      </c>
      <c r="H3" s="39" t="s">
        <v>402</v>
      </c>
      <c r="I3" s="38">
        <v>3.41</v>
      </c>
    </row>
    <row r="4" spans="1:9" ht="34" customHeight="1">
      <c r="A4" s="30">
        <v>2</v>
      </c>
      <c r="B4" s="31" t="s">
        <v>6</v>
      </c>
      <c r="C4" s="32" t="s">
        <v>10</v>
      </c>
      <c r="D4" s="32" t="s">
        <v>26</v>
      </c>
      <c r="E4" s="31" t="s">
        <v>26</v>
      </c>
      <c r="F4" s="32" t="s">
        <v>20</v>
      </c>
      <c r="G4" s="33" t="s">
        <v>392</v>
      </c>
      <c r="H4" s="39" t="s">
        <v>402</v>
      </c>
      <c r="I4" s="37">
        <v>2.87</v>
      </c>
    </row>
    <row r="5" spans="1:9" ht="34" customHeight="1">
      <c r="A5" s="30">
        <v>3</v>
      </c>
      <c r="B5" s="31" t="s">
        <v>6</v>
      </c>
      <c r="C5" s="32" t="s">
        <v>10</v>
      </c>
      <c r="D5" s="32" t="s">
        <v>26</v>
      </c>
      <c r="E5" s="31" t="s">
        <v>26</v>
      </c>
      <c r="F5" s="32" t="s">
        <v>20</v>
      </c>
      <c r="G5" s="34" t="s">
        <v>393</v>
      </c>
      <c r="H5" s="39" t="s">
        <v>402</v>
      </c>
      <c r="I5" s="38">
        <v>4.38</v>
      </c>
    </row>
    <row r="6" spans="1:9" ht="34" customHeight="1">
      <c r="A6" s="30">
        <v>4</v>
      </c>
      <c r="B6" s="31" t="s">
        <v>6</v>
      </c>
      <c r="C6" s="32" t="s">
        <v>10</v>
      </c>
      <c r="D6" s="32" t="s">
        <v>26</v>
      </c>
      <c r="E6" s="31" t="s">
        <v>26</v>
      </c>
      <c r="F6" s="32" t="s">
        <v>20</v>
      </c>
      <c r="G6" s="33" t="s">
        <v>394</v>
      </c>
      <c r="H6" s="39" t="s">
        <v>402</v>
      </c>
      <c r="I6" s="37">
        <v>1.63</v>
      </c>
    </row>
    <row r="7" spans="1:9" ht="34" customHeight="1">
      <c r="A7" s="30">
        <v>5</v>
      </c>
      <c r="B7" s="31" t="s">
        <v>6</v>
      </c>
      <c r="C7" s="32" t="s">
        <v>10</v>
      </c>
      <c r="D7" s="32" t="s">
        <v>26</v>
      </c>
      <c r="E7" s="31" t="s">
        <v>26</v>
      </c>
      <c r="F7" s="32" t="s">
        <v>20</v>
      </c>
      <c r="G7" s="34" t="s">
        <v>395</v>
      </c>
      <c r="H7" s="39" t="s">
        <v>402</v>
      </c>
      <c r="I7" s="38">
        <v>0.33</v>
      </c>
    </row>
    <row r="8" spans="1:9" ht="34" customHeight="1">
      <c r="A8" s="30">
        <v>6</v>
      </c>
      <c r="B8" s="31" t="s">
        <v>6</v>
      </c>
      <c r="C8" s="32" t="s">
        <v>10</v>
      </c>
      <c r="D8" s="32" t="s">
        <v>26</v>
      </c>
      <c r="E8" s="31" t="s">
        <v>26</v>
      </c>
      <c r="F8" s="32" t="s">
        <v>20</v>
      </c>
      <c r="G8" s="33" t="s">
        <v>396</v>
      </c>
      <c r="H8" s="39" t="s">
        <v>402</v>
      </c>
      <c r="I8" s="37">
        <v>1.86</v>
      </c>
    </row>
    <row r="9" spans="1:9" ht="34" customHeight="1">
      <c r="A9" s="30">
        <v>7</v>
      </c>
      <c r="B9" s="31" t="s">
        <v>6</v>
      </c>
      <c r="C9" s="32" t="s">
        <v>10</v>
      </c>
      <c r="D9" s="32" t="s">
        <v>26</v>
      </c>
      <c r="E9" s="31" t="s">
        <v>26</v>
      </c>
      <c r="F9" s="32" t="s">
        <v>20</v>
      </c>
      <c r="G9" s="34" t="s">
        <v>397</v>
      </c>
      <c r="H9" s="39" t="s">
        <v>402</v>
      </c>
      <c r="I9" s="38">
        <v>3.23</v>
      </c>
    </row>
    <row r="10" spans="1:9" ht="34" customHeight="1">
      <c r="A10" s="30">
        <v>8</v>
      </c>
      <c r="B10" s="31" t="s">
        <v>6</v>
      </c>
      <c r="C10" s="32" t="s">
        <v>10</v>
      </c>
      <c r="D10" s="32" t="s">
        <v>26</v>
      </c>
      <c r="E10" s="31" t="s">
        <v>26</v>
      </c>
      <c r="F10" s="32" t="s">
        <v>20</v>
      </c>
      <c r="G10" s="33" t="s">
        <v>398</v>
      </c>
      <c r="H10" s="39" t="s">
        <v>402</v>
      </c>
      <c r="I10" s="37">
        <v>3.06</v>
      </c>
    </row>
    <row r="11" spans="1:9" ht="34" customHeight="1">
      <c r="A11" s="30">
        <v>9</v>
      </c>
      <c r="B11" s="31" t="s">
        <v>6</v>
      </c>
      <c r="C11" s="32" t="s">
        <v>10</v>
      </c>
      <c r="D11" s="32" t="s">
        <v>26</v>
      </c>
      <c r="E11" s="31" t="s">
        <v>26</v>
      </c>
      <c r="F11" s="32" t="s">
        <v>20</v>
      </c>
      <c r="G11" s="34" t="s">
        <v>399</v>
      </c>
      <c r="H11" s="39" t="s">
        <v>402</v>
      </c>
      <c r="I11" s="38">
        <v>1.91</v>
      </c>
    </row>
    <row r="12" spans="1:9" ht="34" customHeight="1">
      <c r="A12" s="30">
        <v>10</v>
      </c>
      <c r="B12" s="31" t="s">
        <v>6</v>
      </c>
      <c r="C12" s="32" t="s">
        <v>10</v>
      </c>
      <c r="D12" s="32" t="s">
        <v>26</v>
      </c>
      <c r="E12" s="31" t="s">
        <v>26</v>
      </c>
      <c r="F12" s="32" t="s">
        <v>20</v>
      </c>
      <c r="G12" s="33" t="s">
        <v>400</v>
      </c>
      <c r="H12" s="39" t="s">
        <v>403</v>
      </c>
      <c r="I12" s="37">
        <v>27.88</v>
      </c>
    </row>
    <row r="13" spans="1:9" ht="34" customHeight="1">
      <c r="A13" s="30">
        <v>11</v>
      </c>
      <c r="B13" s="31" t="s">
        <v>6</v>
      </c>
      <c r="C13" s="32" t="s">
        <v>10</v>
      </c>
      <c r="D13" s="32" t="s">
        <v>26</v>
      </c>
      <c r="E13" s="31" t="s">
        <v>26</v>
      </c>
      <c r="F13" s="32" t="s">
        <v>20</v>
      </c>
      <c r="G13" s="34" t="s">
        <v>401</v>
      </c>
      <c r="H13" s="39" t="s">
        <v>402</v>
      </c>
      <c r="I13" s="38">
        <v>2.9</v>
      </c>
    </row>
    <row r="14" spans="1:9" ht="34" customHeight="1">
      <c r="A14" s="30">
        <v>12</v>
      </c>
      <c r="B14" s="31" t="s">
        <v>6</v>
      </c>
      <c r="C14" s="32" t="s">
        <v>10</v>
      </c>
      <c r="D14" s="32" t="s">
        <v>26</v>
      </c>
      <c r="E14" s="31" t="s">
        <v>26</v>
      </c>
      <c r="F14" s="32" t="s">
        <v>20</v>
      </c>
      <c r="G14" s="35" t="s">
        <v>405</v>
      </c>
      <c r="H14" s="26" t="s">
        <v>403</v>
      </c>
      <c r="I14" s="22">
        <v>92.02</v>
      </c>
    </row>
    <row r="15" spans="1:9" ht="34" customHeight="1">
      <c r="A15" s="30">
        <v>13</v>
      </c>
      <c r="B15" s="31" t="s">
        <v>6</v>
      </c>
      <c r="C15" s="32" t="s">
        <v>10</v>
      </c>
      <c r="D15" s="32" t="s">
        <v>26</v>
      </c>
      <c r="E15" s="31" t="s">
        <v>26</v>
      </c>
      <c r="F15" s="31" t="s">
        <v>20</v>
      </c>
      <c r="G15" s="35" t="s">
        <v>389</v>
      </c>
      <c r="H15" s="26" t="s">
        <v>402</v>
      </c>
      <c r="I15" s="22">
        <v>0.93</v>
      </c>
    </row>
    <row r="16" spans="1:9" ht="34" customHeight="1">
      <c r="A16" s="30">
        <v>14</v>
      </c>
      <c r="B16" s="31" t="s">
        <v>6</v>
      </c>
      <c r="C16" s="32" t="s">
        <v>10</v>
      </c>
      <c r="D16" s="32" t="s">
        <v>24</v>
      </c>
      <c r="E16" s="31" t="s">
        <v>364</v>
      </c>
      <c r="F16" s="31" t="s">
        <v>20</v>
      </c>
      <c r="G16" s="35" t="s">
        <v>406</v>
      </c>
      <c r="H16" s="26" t="s">
        <v>402</v>
      </c>
      <c r="I16" s="22">
        <v>0</v>
      </c>
    </row>
    <row r="17" spans="1:9" ht="34" customHeight="1">
      <c r="A17" s="30">
        <v>15</v>
      </c>
      <c r="B17" s="31" t="s">
        <v>6</v>
      </c>
      <c r="C17" s="32" t="s">
        <v>10</v>
      </c>
      <c r="D17" s="32" t="s">
        <v>25</v>
      </c>
      <c r="E17" s="31" t="s">
        <v>360</v>
      </c>
      <c r="F17" s="31" t="s">
        <v>18</v>
      </c>
      <c r="G17" s="35" t="s">
        <v>407</v>
      </c>
      <c r="H17" s="26" t="s">
        <v>408</v>
      </c>
      <c r="I17" s="25">
        <v>0.08</v>
      </c>
    </row>
    <row r="18" spans="1:9" ht="34" customHeight="1">
      <c r="A18" s="22">
        <v>16</v>
      </c>
      <c r="B18" s="31" t="s">
        <v>220</v>
      </c>
      <c r="C18" s="32" t="s">
        <v>10</v>
      </c>
      <c r="D18" s="32" t="s">
        <v>25</v>
      </c>
      <c r="E18" s="31" t="s">
        <v>315</v>
      </c>
      <c r="F18" s="31" t="s">
        <v>18</v>
      </c>
      <c r="G18" s="35" t="s">
        <v>411</v>
      </c>
      <c r="H18" s="26" t="s">
        <v>403</v>
      </c>
      <c r="I18" s="22">
        <v>0</v>
      </c>
    </row>
    <row r="19" spans="1:9" ht="34" customHeight="1">
      <c r="A19" s="30">
        <v>17</v>
      </c>
      <c r="B19" s="31" t="s">
        <v>6</v>
      </c>
      <c r="C19" s="32" t="s">
        <v>10</v>
      </c>
      <c r="D19" s="32" t="s">
        <v>25</v>
      </c>
      <c r="E19" s="31" t="s">
        <v>360</v>
      </c>
      <c r="F19" s="31" t="s">
        <v>18</v>
      </c>
      <c r="G19" s="35" t="s">
        <v>409</v>
      </c>
      <c r="H19" s="26" t="s">
        <v>402</v>
      </c>
      <c r="I19" s="25">
        <v>10</v>
      </c>
    </row>
    <row r="20" spans="1:9" ht="34" customHeight="1">
      <c r="A20" s="30">
        <v>18</v>
      </c>
      <c r="B20" s="31" t="s">
        <v>6</v>
      </c>
      <c r="C20" s="32" t="s">
        <v>10</v>
      </c>
      <c r="D20" s="32" t="s">
        <v>25</v>
      </c>
      <c r="E20" s="31" t="s">
        <v>360</v>
      </c>
      <c r="F20" s="31" t="s">
        <v>18</v>
      </c>
      <c r="G20" s="35" t="s">
        <v>410</v>
      </c>
      <c r="H20" s="26" t="s">
        <v>403</v>
      </c>
      <c r="I20" s="25">
        <v>100</v>
      </c>
    </row>
    <row r="21" spans="1:9" ht="34" customHeight="1">
      <c r="A21" s="22">
        <v>19</v>
      </c>
      <c r="B21" s="31" t="s">
        <v>220</v>
      </c>
      <c r="C21" s="32" t="s">
        <v>10</v>
      </c>
      <c r="D21" s="32" t="s">
        <v>25</v>
      </c>
      <c r="E21" s="31" t="s">
        <v>315</v>
      </c>
      <c r="F21" s="31" t="s">
        <v>21</v>
      </c>
      <c r="G21" s="35" t="s">
        <v>412</v>
      </c>
      <c r="H21" s="26" t="s">
        <v>413</v>
      </c>
      <c r="I21" s="25">
        <v>0</v>
      </c>
    </row>
    <row r="22" spans="1:9" ht="34" customHeight="1">
      <c r="A22" s="30">
        <v>20</v>
      </c>
      <c r="B22" s="31" t="s">
        <v>220</v>
      </c>
      <c r="C22" s="32" t="s">
        <v>10</v>
      </c>
      <c r="D22" s="32" t="s">
        <v>25</v>
      </c>
      <c r="E22" s="31" t="s">
        <v>140</v>
      </c>
      <c r="F22" s="31" t="s">
        <v>21</v>
      </c>
      <c r="G22" s="35" t="s">
        <v>414</v>
      </c>
      <c r="H22" s="26" t="s">
        <v>415</v>
      </c>
      <c r="I22" s="25">
        <v>0</v>
      </c>
    </row>
    <row r="23" spans="1:9" ht="34" customHeight="1">
      <c r="A23" s="30">
        <v>21</v>
      </c>
      <c r="B23" s="31" t="s">
        <v>361</v>
      </c>
      <c r="C23" s="32" t="s">
        <v>10</v>
      </c>
      <c r="D23" s="32" t="s">
        <v>25</v>
      </c>
      <c r="E23" s="31" t="s">
        <v>360</v>
      </c>
      <c r="F23" s="31" t="s">
        <v>23</v>
      </c>
      <c r="G23" s="35" t="s">
        <v>416</v>
      </c>
      <c r="H23" s="26" t="s">
        <v>415</v>
      </c>
      <c r="I23" s="25">
        <v>0</v>
      </c>
    </row>
    <row r="24" spans="1:9" ht="34" customHeight="1">
      <c r="A24" s="22">
        <v>22</v>
      </c>
      <c r="B24" s="31" t="s">
        <v>6</v>
      </c>
      <c r="C24" s="32" t="s">
        <v>10</v>
      </c>
      <c r="D24" s="32" t="s">
        <v>25</v>
      </c>
      <c r="E24" s="31" t="s">
        <v>360</v>
      </c>
      <c r="F24" s="31" t="s">
        <v>23</v>
      </c>
      <c r="G24" s="35" t="s">
        <v>417</v>
      </c>
      <c r="H24" s="26" t="s">
        <v>403</v>
      </c>
      <c r="I24" s="25">
        <v>18.18</v>
      </c>
    </row>
    <row r="25" spans="1:9" ht="34" customHeight="1">
      <c r="A25" s="30">
        <v>23</v>
      </c>
      <c r="B25" s="31" t="s">
        <v>23</v>
      </c>
      <c r="C25" s="32" t="s">
        <v>10</v>
      </c>
      <c r="D25" s="32" t="s">
        <v>24</v>
      </c>
      <c r="E25" s="31" t="s">
        <v>48</v>
      </c>
      <c r="F25" s="31" t="s">
        <v>23</v>
      </c>
      <c r="G25" s="35" t="s">
        <v>418</v>
      </c>
      <c r="H25" s="35" t="s">
        <v>403</v>
      </c>
      <c r="I25" s="25">
        <v>0</v>
      </c>
    </row>
    <row r="26" spans="1:9" ht="34" customHeight="1">
      <c r="A26" s="30">
        <v>24</v>
      </c>
      <c r="B26" s="31" t="s">
        <v>312</v>
      </c>
      <c r="C26" s="32" t="s">
        <v>8</v>
      </c>
      <c r="D26" s="32" t="s">
        <v>420</v>
      </c>
      <c r="E26" s="32" t="s">
        <v>420</v>
      </c>
      <c r="F26" s="31" t="s">
        <v>22</v>
      </c>
      <c r="G26" s="35" t="s">
        <v>419</v>
      </c>
      <c r="H26" s="35" t="s">
        <v>403</v>
      </c>
      <c r="I26" s="25">
        <v>96.15</v>
      </c>
    </row>
  </sheetData>
  <dataValidations count="2">
    <dataValidation type="list" allowBlank="1" showInputMessage="1" showErrorMessage="1" sqref="B3:B17 B19:B20" xr:uid="{00000000-0002-0000-0B00-000000000000}">
      <formula1>#REF!</formula1>
    </dataValidation>
    <dataValidation type="list" allowBlank="1" showInputMessage="1" showErrorMessage="1" sqref="F3:F26 C3:C26 D3:D25" xr:uid="{00000000-0002-0000-0B00-000001000000}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8"/>
  <sheetViews>
    <sheetView topLeftCell="A4" zoomScale="70" zoomScaleNormal="70" workbookViewId="0">
      <selection activeCell="A18" sqref="A18"/>
    </sheetView>
  </sheetViews>
  <sheetFormatPr baseColWidth="10" defaultRowHeight="14.5"/>
  <cols>
    <col min="1" max="1" width="23.453125" customWidth="1"/>
    <col min="2" max="2" width="21.54296875" customWidth="1"/>
    <col min="4" max="4" width="29.26953125" customWidth="1"/>
    <col min="5" max="5" width="25.54296875" customWidth="1"/>
    <col min="7" max="7" width="27.26953125" customWidth="1"/>
    <col min="8" max="8" width="20.7265625" customWidth="1"/>
    <col min="10" max="10" width="30.1796875" customWidth="1"/>
    <col min="11" max="11" width="20.7265625" customWidth="1"/>
    <col min="13" max="13" width="30" customWidth="1"/>
    <col min="14" max="14" width="20.7265625" customWidth="1"/>
  </cols>
  <sheetData>
    <row r="1" spans="1:11" ht="43.5" customHeight="1">
      <c r="A1" s="382" t="s">
        <v>370</v>
      </c>
      <c r="B1" s="383"/>
      <c r="D1" s="384" t="s">
        <v>373</v>
      </c>
      <c r="E1" s="385"/>
      <c r="G1" s="386" t="s">
        <v>371</v>
      </c>
      <c r="H1" s="387"/>
      <c r="J1" s="386" t="s">
        <v>372</v>
      </c>
      <c r="K1" s="387"/>
    </row>
    <row r="2" spans="1:11">
      <c r="A2" s="22" t="s">
        <v>369</v>
      </c>
      <c r="B2" s="22" t="s">
        <v>368</v>
      </c>
      <c r="D2" s="22" t="s">
        <v>369</v>
      </c>
      <c r="E2" s="22" t="s">
        <v>368</v>
      </c>
      <c r="G2" s="22" t="s">
        <v>369</v>
      </c>
      <c r="H2" s="22" t="s">
        <v>368</v>
      </c>
      <c r="J2" s="22" t="s">
        <v>369</v>
      </c>
      <c r="K2" s="22" t="s">
        <v>368</v>
      </c>
    </row>
    <row r="3" spans="1:11">
      <c r="A3" s="22">
        <v>4</v>
      </c>
      <c r="B3" s="22"/>
      <c r="D3" s="24">
        <v>91</v>
      </c>
      <c r="E3" s="22"/>
      <c r="G3" s="22">
        <v>42</v>
      </c>
      <c r="H3" s="22"/>
      <c r="J3" s="25">
        <v>116</v>
      </c>
      <c r="K3" s="22"/>
    </row>
    <row r="4" spans="1:11">
      <c r="A4" s="23">
        <v>132</v>
      </c>
      <c r="B4" s="22"/>
      <c r="D4" s="24">
        <v>313</v>
      </c>
      <c r="E4" s="22"/>
      <c r="G4" s="24">
        <v>130</v>
      </c>
      <c r="H4" s="22"/>
      <c r="J4" s="25">
        <v>171</v>
      </c>
      <c r="K4" s="22"/>
    </row>
    <row r="5" spans="1:11">
      <c r="A5" s="23">
        <v>151</v>
      </c>
      <c r="B5" s="22"/>
      <c r="D5" s="24">
        <v>143</v>
      </c>
      <c r="E5" s="22"/>
      <c r="G5" s="24">
        <v>81</v>
      </c>
      <c r="H5" s="22"/>
      <c r="J5" s="25">
        <v>41</v>
      </c>
      <c r="K5" s="22"/>
    </row>
    <row r="6" spans="1:11">
      <c r="A6" s="22">
        <v>16</v>
      </c>
      <c r="B6" s="22"/>
      <c r="D6" s="24">
        <v>35</v>
      </c>
      <c r="E6" s="22"/>
      <c r="G6" s="23">
        <v>27</v>
      </c>
      <c r="H6" s="22"/>
      <c r="J6" s="25">
        <v>205</v>
      </c>
      <c r="K6" s="22"/>
    </row>
    <row r="7" spans="1:11">
      <c r="A7" s="22">
        <v>47</v>
      </c>
      <c r="B7" s="22"/>
      <c r="D7" s="24">
        <v>75</v>
      </c>
      <c r="E7" s="22"/>
      <c r="G7" s="24">
        <v>30</v>
      </c>
      <c r="H7" s="22"/>
      <c r="J7" s="25">
        <v>206</v>
      </c>
      <c r="K7" s="22"/>
    </row>
    <row r="8" spans="1:11">
      <c r="A8" s="23">
        <v>156</v>
      </c>
      <c r="B8" s="22"/>
      <c r="D8" s="23">
        <v>8</v>
      </c>
      <c r="E8" s="22"/>
      <c r="G8" s="24">
        <v>43</v>
      </c>
      <c r="H8" s="22"/>
      <c r="J8" s="25">
        <v>28</v>
      </c>
      <c r="K8" s="22"/>
    </row>
    <row r="9" spans="1:11">
      <c r="A9" s="23">
        <v>314</v>
      </c>
      <c r="B9" s="22"/>
      <c r="D9" s="24">
        <v>131</v>
      </c>
      <c r="E9" s="22"/>
      <c r="G9" s="24">
        <v>103</v>
      </c>
      <c r="H9" s="22"/>
      <c r="J9" s="25">
        <v>40</v>
      </c>
      <c r="K9" s="22"/>
    </row>
    <row r="10" spans="1:11">
      <c r="A10" s="23">
        <v>224</v>
      </c>
      <c r="B10" s="22"/>
      <c r="D10" s="24">
        <v>123</v>
      </c>
      <c r="E10" s="22"/>
      <c r="G10" s="24">
        <v>6</v>
      </c>
      <c r="H10" s="22"/>
      <c r="J10" s="25">
        <v>35</v>
      </c>
      <c r="K10" s="22"/>
    </row>
    <row r="11" spans="1:11">
      <c r="A11" s="23">
        <v>411</v>
      </c>
      <c r="B11" s="22"/>
      <c r="D11" s="24">
        <v>230</v>
      </c>
      <c r="E11" s="22"/>
      <c r="G11" s="24">
        <v>115</v>
      </c>
      <c r="H11" s="22"/>
      <c r="J11" s="25">
        <v>55</v>
      </c>
      <c r="K11" s="22"/>
    </row>
    <row r="12" spans="1:11">
      <c r="A12" s="22">
        <v>679</v>
      </c>
      <c r="B12" s="22"/>
      <c r="D12" s="24">
        <v>0</v>
      </c>
      <c r="E12" s="22"/>
      <c r="G12" s="22">
        <v>116</v>
      </c>
      <c r="H12" s="22"/>
      <c r="J12" s="25">
        <v>44</v>
      </c>
      <c r="K12" s="22"/>
    </row>
    <row r="13" spans="1:11">
      <c r="A13" s="22">
        <v>367</v>
      </c>
      <c r="B13" s="22"/>
      <c r="D13" s="22">
        <v>0</v>
      </c>
      <c r="E13" s="22"/>
      <c r="G13" s="22">
        <v>2</v>
      </c>
      <c r="H13" s="22"/>
      <c r="J13" s="25">
        <v>42</v>
      </c>
      <c r="K13" s="22"/>
    </row>
    <row r="14" spans="1:11">
      <c r="A14" s="22">
        <v>707</v>
      </c>
      <c r="B14" s="22"/>
      <c r="D14" s="22">
        <v>0</v>
      </c>
      <c r="E14" s="22"/>
      <c r="G14" s="22">
        <v>40</v>
      </c>
      <c r="H14" s="22"/>
      <c r="J14" s="25">
        <v>21</v>
      </c>
      <c r="K14" s="22"/>
    </row>
    <row r="15" spans="1:11">
      <c r="A15" s="22">
        <f>SUM(A3:A14)</f>
        <v>3208</v>
      </c>
      <c r="B15" s="22"/>
      <c r="D15" s="22">
        <f>SUM(D3:D14)</f>
        <v>1149</v>
      </c>
      <c r="E15" s="22"/>
      <c r="G15" s="22">
        <f>SUM(G3:G14)</f>
        <v>735</v>
      </c>
      <c r="H15" s="22"/>
      <c r="J15" s="22">
        <f>SUM(J3:J14)</f>
        <v>1004</v>
      </c>
      <c r="K15" s="22"/>
    </row>
    <row r="18" spans="1:14" ht="45" customHeight="1">
      <c r="A18" s="28" t="s">
        <v>374</v>
      </c>
      <c r="B18" s="28"/>
      <c r="D18" s="382" t="s">
        <v>375</v>
      </c>
      <c r="E18" s="383"/>
      <c r="G18" s="388" t="s">
        <v>376</v>
      </c>
      <c r="H18" s="389"/>
      <c r="J18" s="382" t="s">
        <v>378</v>
      </c>
      <c r="K18" s="383"/>
      <c r="M18" s="382" t="s">
        <v>382</v>
      </c>
      <c r="N18" s="383"/>
    </row>
    <row r="19" spans="1:14" ht="58">
      <c r="A19" s="22" t="s">
        <v>369</v>
      </c>
      <c r="B19" s="22" t="s">
        <v>368</v>
      </c>
      <c r="D19" s="22" t="s">
        <v>369</v>
      </c>
      <c r="E19" s="22" t="s">
        <v>368</v>
      </c>
      <c r="G19" s="22" t="s">
        <v>377</v>
      </c>
      <c r="H19" s="26" t="s">
        <v>380</v>
      </c>
      <c r="J19" s="22" t="s">
        <v>383</v>
      </c>
      <c r="K19" s="26" t="s">
        <v>379</v>
      </c>
      <c r="M19" s="26" t="s">
        <v>384</v>
      </c>
      <c r="N19" s="26" t="s">
        <v>385</v>
      </c>
    </row>
    <row r="20" spans="1:14">
      <c r="A20" s="23">
        <v>484</v>
      </c>
      <c r="B20" s="22"/>
      <c r="D20" s="25">
        <v>432</v>
      </c>
      <c r="E20" s="22"/>
      <c r="G20" s="25">
        <v>0</v>
      </c>
      <c r="H20" s="22"/>
      <c r="J20" s="25">
        <v>0</v>
      </c>
      <c r="K20" s="22"/>
      <c r="M20" s="25">
        <v>0</v>
      </c>
      <c r="N20" s="22"/>
    </row>
    <row r="21" spans="1:14">
      <c r="A21" s="23">
        <v>400</v>
      </c>
      <c r="B21" s="22"/>
      <c r="D21" s="25">
        <v>408</v>
      </c>
      <c r="E21" s="22"/>
      <c r="G21" s="25">
        <v>0</v>
      </c>
      <c r="H21" s="22"/>
      <c r="J21" s="25">
        <v>0</v>
      </c>
      <c r="K21" s="22"/>
      <c r="M21" s="25">
        <v>0</v>
      </c>
      <c r="N21" s="22"/>
    </row>
    <row r="22" spans="1:14">
      <c r="A22" s="23">
        <v>335</v>
      </c>
      <c r="B22" s="22"/>
      <c r="D22" s="25">
        <v>268</v>
      </c>
      <c r="E22" s="22"/>
      <c r="G22" s="25">
        <v>0</v>
      </c>
      <c r="H22" s="22"/>
      <c r="J22" s="25">
        <v>0</v>
      </c>
      <c r="K22" s="22"/>
      <c r="M22" s="25">
        <v>0</v>
      </c>
      <c r="N22" s="22"/>
    </row>
    <row r="23" spans="1:14">
      <c r="A23" s="25">
        <v>0</v>
      </c>
      <c r="B23" s="22"/>
      <c r="D23" s="25">
        <v>24</v>
      </c>
      <c r="E23" s="22"/>
      <c r="G23" s="25">
        <v>0</v>
      </c>
      <c r="H23" s="22"/>
      <c r="J23" s="25">
        <v>0</v>
      </c>
      <c r="K23" s="22"/>
      <c r="M23" s="25">
        <v>0</v>
      </c>
      <c r="N23" s="22"/>
    </row>
    <row r="24" spans="1:14">
      <c r="A24" s="25">
        <v>105</v>
      </c>
      <c r="B24" s="22"/>
      <c r="D24" s="25">
        <v>126</v>
      </c>
      <c r="E24" s="22"/>
      <c r="G24" s="25">
        <v>0</v>
      </c>
      <c r="H24" s="22"/>
      <c r="J24" s="25">
        <v>0</v>
      </c>
      <c r="K24" s="22"/>
      <c r="M24" s="25">
        <v>0</v>
      </c>
      <c r="N24" s="22"/>
    </row>
    <row r="25" spans="1:14">
      <c r="A25" s="23">
        <v>258</v>
      </c>
      <c r="B25" s="22"/>
      <c r="D25" s="25">
        <v>120</v>
      </c>
      <c r="E25" s="22"/>
      <c r="G25" s="25">
        <v>0</v>
      </c>
      <c r="H25" s="22"/>
      <c r="J25" s="25">
        <v>0</v>
      </c>
      <c r="K25" s="22"/>
      <c r="M25" s="25">
        <v>0</v>
      </c>
      <c r="N25" s="22"/>
    </row>
    <row r="26" spans="1:14">
      <c r="A26" s="23">
        <v>301</v>
      </c>
      <c r="B26" s="22"/>
      <c r="D26" s="25">
        <v>221</v>
      </c>
      <c r="E26" s="22"/>
      <c r="G26" s="25">
        <v>0</v>
      </c>
      <c r="H26" s="22"/>
      <c r="J26" s="25">
        <v>0</v>
      </c>
      <c r="K26" s="22"/>
      <c r="M26" s="25">
        <v>0</v>
      </c>
      <c r="N26" s="22"/>
    </row>
    <row r="27" spans="1:14" ht="43.5">
      <c r="A27" s="23">
        <v>390</v>
      </c>
      <c r="B27" s="22"/>
      <c r="D27" s="25">
        <v>182</v>
      </c>
      <c r="E27" s="22"/>
      <c r="G27" s="25">
        <v>8</v>
      </c>
      <c r="H27" s="22"/>
      <c r="J27" s="27">
        <v>7.13</v>
      </c>
      <c r="K27" s="26" t="s">
        <v>381</v>
      </c>
      <c r="M27" s="25">
        <v>15</v>
      </c>
      <c r="N27" s="26">
        <v>1</v>
      </c>
    </row>
    <row r="28" spans="1:14">
      <c r="A28" s="25">
        <v>432</v>
      </c>
      <c r="B28" s="22"/>
      <c r="D28" s="25">
        <v>318</v>
      </c>
      <c r="E28" s="22"/>
      <c r="G28" s="25">
        <v>30</v>
      </c>
      <c r="H28" s="22"/>
      <c r="J28" s="22">
        <v>3.43</v>
      </c>
      <c r="K28" s="22"/>
      <c r="M28" s="25">
        <v>30</v>
      </c>
      <c r="N28" s="22">
        <v>3</v>
      </c>
    </row>
    <row r="29" spans="1:14">
      <c r="A29" s="22">
        <v>600</v>
      </c>
      <c r="B29" s="22"/>
      <c r="D29" s="25">
        <v>0</v>
      </c>
      <c r="E29" s="22"/>
      <c r="G29" s="25">
        <v>24</v>
      </c>
      <c r="H29" s="22"/>
      <c r="J29" s="27">
        <v>8.67</v>
      </c>
      <c r="K29" s="22"/>
      <c r="M29" s="25">
        <v>38</v>
      </c>
      <c r="N29" s="22">
        <v>3</v>
      </c>
    </row>
    <row r="30" spans="1:14">
      <c r="A30" s="22">
        <v>385</v>
      </c>
      <c r="B30" s="22"/>
      <c r="D30" s="25">
        <v>0</v>
      </c>
      <c r="E30" s="22"/>
      <c r="G30" s="25">
        <v>20</v>
      </c>
      <c r="H30" s="22"/>
      <c r="J30" s="27">
        <v>9.6</v>
      </c>
      <c r="K30" s="22"/>
      <c r="M30" s="25">
        <v>27</v>
      </c>
      <c r="N30" s="22">
        <v>2</v>
      </c>
    </row>
    <row r="31" spans="1:14">
      <c r="A31" s="23">
        <v>373</v>
      </c>
      <c r="B31" s="22"/>
      <c r="D31" s="25">
        <v>479</v>
      </c>
      <c r="E31" s="22"/>
      <c r="G31" s="25">
        <v>20</v>
      </c>
      <c r="H31" s="22"/>
      <c r="J31" s="27">
        <v>10.3</v>
      </c>
      <c r="K31" s="22"/>
      <c r="M31" s="25">
        <v>28</v>
      </c>
      <c r="N31" s="22">
        <v>3</v>
      </c>
    </row>
    <row r="32" spans="1:14">
      <c r="A32" s="22">
        <f>SUM(A20:A31)</f>
        <v>4063</v>
      </c>
      <c r="B32" s="22"/>
      <c r="D32" s="22">
        <f>SUM(D20:D31)</f>
        <v>2578</v>
      </c>
      <c r="E32" s="22"/>
      <c r="G32" s="22">
        <f>SUM(G20:G31)</f>
        <v>102</v>
      </c>
      <c r="H32" s="22"/>
      <c r="J32" s="22">
        <f>AVERAGE(J20:J31)</f>
        <v>3.2608333333333328</v>
      </c>
      <c r="K32" s="22"/>
      <c r="M32" s="22">
        <f>SUM(M20:M31)</f>
        <v>138</v>
      </c>
      <c r="N32" s="22"/>
    </row>
    <row r="34" spans="1:2" ht="36.75" customHeight="1">
      <c r="A34" s="382" t="s">
        <v>386</v>
      </c>
      <c r="B34" s="383"/>
    </row>
    <row r="35" spans="1:2" ht="43.5">
      <c r="A35" s="26" t="s">
        <v>387</v>
      </c>
      <c r="B35" s="26" t="s">
        <v>388</v>
      </c>
    </row>
    <row r="36" spans="1:2">
      <c r="A36" s="25">
        <v>0</v>
      </c>
      <c r="B36" s="22"/>
    </row>
    <row r="37" spans="1:2">
      <c r="A37" s="25">
        <v>0</v>
      </c>
      <c r="B37" s="22"/>
    </row>
    <row r="38" spans="1:2">
      <c r="A38" s="25">
        <v>0</v>
      </c>
      <c r="B38" s="22"/>
    </row>
    <row r="39" spans="1:2">
      <c r="A39" s="25">
        <v>0</v>
      </c>
      <c r="B39" s="22"/>
    </row>
    <row r="40" spans="1:2">
      <c r="A40" s="25">
        <v>0</v>
      </c>
      <c r="B40" s="22"/>
    </row>
    <row r="41" spans="1:2">
      <c r="A41" s="25">
        <v>0</v>
      </c>
      <c r="B41" s="22"/>
    </row>
    <row r="42" spans="1:2">
      <c r="A42" s="25">
        <v>0</v>
      </c>
      <c r="B42" s="22"/>
    </row>
    <row r="43" spans="1:2">
      <c r="A43" s="25">
        <v>0</v>
      </c>
      <c r="B43" s="26">
        <v>0</v>
      </c>
    </row>
    <row r="44" spans="1:2">
      <c r="A44" s="25">
        <v>0</v>
      </c>
      <c r="B44" s="22">
        <v>0</v>
      </c>
    </row>
    <row r="45" spans="1:2">
      <c r="A45" s="25">
        <v>1</v>
      </c>
      <c r="B45" s="22">
        <v>0</v>
      </c>
    </row>
    <row r="46" spans="1:2">
      <c r="A46" s="25">
        <v>2</v>
      </c>
      <c r="B46" s="22">
        <v>0</v>
      </c>
    </row>
    <row r="47" spans="1:2">
      <c r="A47" s="25">
        <v>34</v>
      </c>
      <c r="B47" s="22">
        <v>0</v>
      </c>
    </row>
    <row r="48" spans="1:2">
      <c r="A48" s="22">
        <f>SUM(A36:A47)</f>
        <v>37</v>
      </c>
      <c r="B48" s="22"/>
    </row>
  </sheetData>
  <mergeCells count="9">
    <mergeCell ref="M18:N18"/>
    <mergeCell ref="A34:B34"/>
    <mergeCell ref="D1:E1"/>
    <mergeCell ref="G1:H1"/>
    <mergeCell ref="J1:K1"/>
    <mergeCell ref="D18:E18"/>
    <mergeCell ref="G18:H18"/>
    <mergeCell ref="J18:K18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8"/>
  <sheetViews>
    <sheetView zoomScale="80" zoomScaleNormal="80" workbookViewId="0"/>
  </sheetViews>
  <sheetFormatPr baseColWidth="10" defaultRowHeight="14.5"/>
  <cols>
    <col min="2" max="2" width="57.26953125" customWidth="1"/>
    <col min="3" max="3" width="85.7265625" customWidth="1"/>
    <col min="4" max="4" width="20.26953125" customWidth="1"/>
    <col min="5" max="5" width="14.54296875" customWidth="1"/>
    <col min="6" max="6" width="14.453125" customWidth="1"/>
  </cols>
  <sheetData>
    <row r="2" spans="2:8">
      <c r="B2" s="1" t="s">
        <v>1</v>
      </c>
      <c r="C2" s="17" t="s">
        <v>338</v>
      </c>
      <c r="D2" t="s">
        <v>425</v>
      </c>
    </row>
    <row r="3" spans="2:8" ht="105" customHeight="1">
      <c r="B3" s="18" t="s">
        <v>160</v>
      </c>
      <c r="C3" s="43" t="s">
        <v>355</v>
      </c>
      <c r="D3" s="48" t="s">
        <v>424</v>
      </c>
      <c r="E3" s="49" t="s">
        <v>422</v>
      </c>
      <c r="F3" s="35" t="s">
        <v>426</v>
      </c>
      <c r="G3" s="35" t="s">
        <v>427</v>
      </c>
      <c r="H3" s="50"/>
    </row>
    <row r="4" spans="2:8" ht="62.25" customHeight="1">
      <c r="B4" s="40" t="s">
        <v>391</v>
      </c>
      <c r="C4" s="43" t="s">
        <v>347</v>
      </c>
      <c r="D4" s="48" t="s">
        <v>424</v>
      </c>
      <c r="E4" s="49" t="s">
        <v>422</v>
      </c>
      <c r="F4" s="35" t="s">
        <v>426</v>
      </c>
      <c r="G4" s="35" t="s">
        <v>427</v>
      </c>
      <c r="H4" s="50"/>
    </row>
    <row r="5" spans="2:8" ht="89.25" customHeight="1">
      <c r="B5" s="41" t="s">
        <v>392</v>
      </c>
      <c r="C5" s="43" t="s">
        <v>347</v>
      </c>
      <c r="D5" s="48" t="s">
        <v>424</v>
      </c>
      <c r="E5" s="35" t="s">
        <v>428</v>
      </c>
      <c r="F5" s="35" t="s">
        <v>426</v>
      </c>
      <c r="G5" s="35" t="s">
        <v>427</v>
      </c>
      <c r="H5" s="50"/>
    </row>
    <row r="6" spans="2:8" ht="88.5" customHeight="1">
      <c r="B6" s="40" t="s">
        <v>393</v>
      </c>
      <c r="C6" s="43" t="s">
        <v>347</v>
      </c>
      <c r="D6" s="48" t="s">
        <v>424</v>
      </c>
      <c r="E6" s="35" t="s">
        <v>429</v>
      </c>
      <c r="F6" s="35" t="s">
        <v>426</v>
      </c>
      <c r="G6" s="35" t="s">
        <v>427</v>
      </c>
      <c r="H6" s="50"/>
    </row>
    <row r="7" spans="2:8" ht="109.5" customHeight="1">
      <c r="B7" s="41" t="s">
        <v>394</v>
      </c>
      <c r="C7" s="43" t="s">
        <v>347</v>
      </c>
      <c r="D7" s="48" t="s">
        <v>424</v>
      </c>
      <c r="E7" s="35" t="s">
        <v>430</v>
      </c>
      <c r="F7" s="35" t="s">
        <v>426</v>
      </c>
      <c r="G7" s="35" t="s">
        <v>431</v>
      </c>
      <c r="H7" s="35" t="s">
        <v>427</v>
      </c>
    </row>
    <row r="8" spans="2:8" ht="120.75" customHeight="1">
      <c r="B8" s="40" t="s">
        <v>395</v>
      </c>
      <c r="C8" s="43" t="s">
        <v>347</v>
      </c>
      <c r="D8" s="48" t="s">
        <v>424</v>
      </c>
      <c r="E8" s="35" t="s">
        <v>432</v>
      </c>
      <c r="F8" s="35" t="s">
        <v>426</v>
      </c>
      <c r="G8" s="35" t="s">
        <v>427</v>
      </c>
      <c r="H8" s="50"/>
    </row>
    <row r="9" spans="2:8" ht="123" customHeight="1">
      <c r="B9" s="41" t="s">
        <v>396</v>
      </c>
      <c r="C9" s="43" t="s">
        <v>347</v>
      </c>
      <c r="D9" s="48" t="s">
        <v>424</v>
      </c>
      <c r="E9" s="35" t="s">
        <v>433</v>
      </c>
      <c r="F9" s="35" t="s">
        <v>426</v>
      </c>
      <c r="G9" s="35" t="s">
        <v>427</v>
      </c>
      <c r="H9" s="50"/>
    </row>
    <row r="10" spans="2:8" ht="119.25" customHeight="1">
      <c r="B10" s="40" t="s">
        <v>397</v>
      </c>
      <c r="C10" s="43" t="s">
        <v>347</v>
      </c>
      <c r="D10" s="48" t="s">
        <v>424</v>
      </c>
      <c r="E10" s="35" t="s">
        <v>434</v>
      </c>
      <c r="F10" s="35" t="s">
        <v>426</v>
      </c>
      <c r="G10" s="35" t="s">
        <v>427</v>
      </c>
      <c r="H10" s="50"/>
    </row>
    <row r="11" spans="2:8" ht="126.75" customHeight="1">
      <c r="B11" s="41" t="s">
        <v>398</v>
      </c>
      <c r="C11" s="43" t="s">
        <v>347</v>
      </c>
      <c r="D11" s="48" t="s">
        <v>424</v>
      </c>
      <c r="E11" s="35" t="s">
        <v>435</v>
      </c>
      <c r="F11" s="35" t="s">
        <v>426</v>
      </c>
      <c r="G11" s="35" t="s">
        <v>427</v>
      </c>
      <c r="H11" s="50"/>
    </row>
    <row r="12" spans="2:8" ht="118.5" customHeight="1">
      <c r="B12" s="40" t="s">
        <v>399</v>
      </c>
      <c r="C12" s="43" t="s">
        <v>347</v>
      </c>
      <c r="D12" s="48" t="s">
        <v>424</v>
      </c>
      <c r="E12" s="35" t="s">
        <v>436</v>
      </c>
      <c r="F12" s="35" t="s">
        <v>426</v>
      </c>
      <c r="G12" s="35" t="s">
        <v>427</v>
      </c>
      <c r="H12" s="50"/>
    </row>
    <row r="13" spans="2:8" ht="120.75" customHeight="1">
      <c r="B13" s="41" t="s">
        <v>400</v>
      </c>
      <c r="C13" s="43" t="s">
        <v>437</v>
      </c>
      <c r="D13" s="48" t="s">
        <v>424</v>
      </c>
      <c r="E13" s="35" t="s">
        <v>422</v>
      </c>
      <c r="F13" s="35" t="s">
        <v>426</v>
      </c>
      <c r="G13" s="35" t="s">
        <v>427</v>
      </c>
      <c r="H13" s="50"/>
    </row>
    <row r="14" spans="2:8" ht="117.75" customHeight="1">
      <c r="B14" s="18" t="s">
        <v>161</v>
      </c>
      <c r="C14" s="43" t="s">
        <v>346</v>
      </c>
      <c r="D14" s="48" t="s">
        <v>424</v>
      </c>
      <c r="E14" s="35" t="s">
        <v>438</v>
      </c>
      <c r="F14" s="35" t="s">
        <v>426</v>
      </c>
      <c r="G14" s="35" t="s">
        <v>427</v>
      </c>
      <c r="H14" s="50"/>
    </row>
    <row r="15" spans="2:8" ht="65.25" customHeight="1">
      <c r="B15" s="18" t="s">
        <v>406</v>
      </c>
      <c r="C15" s="43" t="s">
        <v>365</v>
      </c>
      <c r="D15" s="48" t="s">
        <v>423</v>
      </c>
      <c r="E15" s="35" t="s">
        <v>439</v>
      </c>
      <c r="F15" s="35" t="s">
        <v>427</v>
      </c>
      <c r="G15" s="50"/>
      <c r="H15" s="50"/>
    </row>
    <row r="16" spans="2:8" ht="119.25" customHeight="1">
      <c r="B16" s="21" t="s">
        <v>359</v>
      </c>
      <c r="C16" s="44" t="s">
        <v>362</v>
      </c>
      <c r="D16" s="48" t="s">
        <v>440</v>
      </c>
      <c r="E16" s="35" t="s">
        <v>441</v>
      </c>
      <c r="F16" s="35" t="s">
        <v>442</v>
      </c>
      <c r="G16" s="35" t="s">
        <v>443</v>
      </c>
      <c r="H16" s="50"/>
    </row>
    <row r="17" spans="2:9" ht="106.5" customHeight="1">
      <c r="B17" s="18" t="s">
        <v>310</v>
      </c>
      <c r="C17" s="43" t="s">
        <v>349</v>
      </c>
      <c r="D17" s="48" t="s">
        <v>444</v>
      </c>
      <c r="E17" s="35" t="s">
        <v>441</v>
      </c>
      <c r="F17" s="35" t="s">
        <v>445</v>
      </c>
      <c r="G17" s="35" t="s">
        <v>446</v>
      </c>
      <c r="H17" s="35" t="s">
        <v>427</v>
      </c>
    </row>
    <row r="18" spans="2:9" ht="88.5" customHeight="1">
      <c r="B18" s="19" t="s">
        <v>363</v>
      </c>
      <c r="C18" s="43" t="s">
        <v>362</v>
      </c>
      <c r="D18" s="48" t="s">
        <v>436</v>
      </c>
      <c r="E18" s="35" t="s">
        <v>441</v>
      </c>
      <c r="F18" s="35" t="s">
        <v>442</v>
      </c>
      <c r="G18" s="35" t="s">
        <v>443</v>
      </c>
      <c r="H18" s="35" t="s">
        <v>446</v>
      </c>
    </row>
    <row r="19" spans="2:9" ht="107.25" customHeight="1">
      <c r="B19" s="19" t="s">
        <v>357</v>
      </c>
      <c r="C19" s="43" t="s">
        <v>362</v>
      </c>
      <c r="D19" s="48" t="s">
        <v>440</v>
      </c>
      <c r="E19" s="35" t="s">
        <v>441</v>
      </c>
      <c r="F19" s="35" t="s">
        <v>442</v>
      </c>
      <c r="G19" s="35" t="s">
        <v>443</v>
      </c>
      <c r="H19" s="35" t="s">
        <v>446</v>
      </c>
    </row>
    <row r="20" spans="2:9" ht="117.75" customHeight="1">
      <c r="B20" s="20" t="s">
        <v>341</v>
      </c>
      <c r="C20" s="45" t="s">
        <v>348</v>
      </c>
      <c r="D20" s="48" t="s">
        <v>450</v>
      </c>
      <c r="E20" s="35" t="s">
        <v>441</v>
      </c>
      <c r="F20" s="35" t="s">
        <v>447</v>
      </c>
      <c r="G20" s="35" t="s">
        <v>448</v>
      </c>
      <c r="H20" s="35" t="s">
        <v>449</v>
      </c>
      <c r="I20" s="42" t="s">
        <v>427</v>
      </c>
    </row>
    <row r="21" spans="2:9" ht="114.75" customHeight="1">
      <c r="B21" s="18" t="s">
        <v>412</v>
      </c>
      <c r="C21" s="46" t="s">
        <v>351</v>
      </c>
      <c r="D21" s="48" t="s">
        <v>451</v>
      </c>
      <c r="E21" s="35" t="s">
        <v>441</v>
      </c>
      <c r="F21" s="35" t="s">
        <v>447</v>
      </c>
      <c r="G21" s="35" t="s">
        <v>448</v>
      </c>
      <c r="H21" s="35" t="s">
        <v>449</v>
      </c>
      <c r="I21" s="42" t="s">
        <v>427</v>
      </c>
    </row>
    <row r="22" spans="2:9" ht="72.75" customHeight="1">
      <c r="B22" s="18" t="s">
        <v>298</v>
      </c>
      <c r="C22" s="47" t="s">
        <v>350</v>
      </c>
      <c r="D22" s="48" t="s">
        <v>448</v>
      </c>
      <c r="E22" s="35" t="s">
        <v>452</v>
      </c>
      <c r="F22" s="35" t="s">
        <v>441</v>
      </c>
      <c r="G22" s="35" t="s">
        <v>453</v>
      </c>
      <c r="H22" s="35" t="s">
        <v>454</v>
      </c>
      <c r="I22" s="42" t="s">
        <v>455</v>
      </c>
    </row>
    <row r="23" spans="2:9" ht="43.5" customHeight="1">
      <c r="B23" s="18" t="s">
        <v>356</v>
      </c>
      <c r="C23" s="43" t="s">
        <v>362</v>
      </c>
      <c r="D23" s="48" t="s">
        <v>456</v>
      </c>
      <c r="E23" s="35" t="s">
        <v>441</v>
      </c>
      <c r="F23" s="35" t="s">
        <v>457</v>
      </c>
      <c r="G23" s="35" t="s">
        <v>443</v>
      </c>
      <c r="H23" s="50"/>
    </row>
    <row r="24" spans="2:9" ht="83.25" customHeight="1">
      <c r="B24" s="18" t="s">
        <v>358</v>
      </c>
      <c r="C24" s="43" t="s">
        <v>362</v>
      </c>
      <c r="D24" s="48" t="s">
        <v>456</v>
      </c>
      <c r="E24" s="35" t="s">
        <v>441</v>
      </c>
      <c r="F24" s="35" t="s">
        <v>457</v>
      </c>
      <c r="G24" s="35" t="s">
        <v>443</v>
      </c>
      <c r="H24" s="50"/>
    </row>
    <row r="25" spans="2:9" ht="81.75" customHeight="1">
      <c r="B25" s="18" t="s">
        <v>296</v>
      </c>
      <c r="C25" s="47" t="s">
        <v>352</v>
      </c>
      <c r="D25" s="48" t="s">
        <v>458</v>
      </c>
      <c r="E25" s="35" t="s">
        <v>448</v>
      </c>
      <c r="F25" s="35" t="s">
        <v>459</v>
      </c>
      <c r="G25" s="35" t="s">
        <v>460</v>
      </c>
      <c r="H25" s="35" t="s">
        <v>445</v>
      </c>
    </row>
    <row r="26" spans="2:9" ht="99" customHeight="1">
      <c r="B26" s="18" t="s">
        <v>311</v>
      </c>
      <c r="C26" s="47" t="s">
        <v>353</v>
      </c>
      <c r="D26" s="48" t="s">
        <v>458</v>
      </c>
      <c r="E26" s="35" t="s">
        <v>448</v>
      </c>
      <c r="F26" s="35" t="s">
        <v>459</v>
      </c>
      <c r="G26" s="35" t="s">
        <v>460</v>
      </c>
      <c r="H26" s="35" t="s">
        <v>445</v>
      </c>
    </row>
    <row r="27" spans="2:9" ht="120" customHeight="1">
      <c r="B27" s="18" t="s">
        <v>313</v>
      </c>
      <c r="C27" s="47" t="s">
        <v>354</v>
      </c>
      <c r="D27" s="48" t="s">
        <v>461</v>
      </c>
      <c r="E27" s="35" t="s">
        <v>427</v>
      </c>
      <c r="F27" s="35" t="s">
        <v>462</v>
      </c>
      <c r="G27" s="35" t="s">
        <v>463</v>
      </c>
      <c r="H27" s="35" t="s">
        <v>464</v>
      </c>
    </row>
    <row r="28" spans="2:9">
      <c r="D28" s="50"/>
      <c r="E28" s="50"/>
      <c r="F28" s="50"/>
      <c r="G28" s="50"/>
      <c r="H28" s="50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tabSelected="1" view="pageBreakPreview" zoomScale="80" zoomScaleNormal="100" zoomScaleSheetLayoutView="80" workbookViewId="0">
      <selection activeCell="E19" sqref="E19"/>
    </sheetView>
  </sheetViews>
  <sheetFormatPr baseColWidth="10" defaultRowHeight="14.5"/>
  <cols>
    <col min="1" max="2" width="10.90625" style="390"/>
    <col min="3" max="3" width="54.453125" style="390" customWidth="1"/>
    <col min="4" max="4" width="36.81640625" style="390" customWidth="1"/>
    <col min="5" max="5" width="38.26953125" style="390" customWidth="1"/>
    <col min="6" max="16384" width="10.90625" style="390"/>
  </cols>
  <sheetData>
    <row r="1" spans="1:5">
      <c r="E1" s="244" t="s">
        <v>525</v>
      </c>
    </row>
    <row r="2" spans="1:5" ht="15" thickBot="1">
      <c r="A2" s="391"/>
      <c r="B2" s="391"/>
      <c r="C2" s="391"/>
      <c r="D2" s="391"/>
      <c r="E2" s="245"/>
    </row>
    <row r="3" spans="1:5">
      <c r="A3" s="391"/>
      <c r="B3" s="391"/>
      <c r="C3" s="391"/>
      <c r="D3" s="391"/>
      <c r="E3" s="236" t="s">
        <v>580</v>
      </c>
    </row>
    <row r="4" spans="1:5">
      <c r="A4" s="391"/>
      <c r="B4" s="391"/>
      <c r="C4" s="391"/>
      <c r="D4" s="391"/>
      <c r="E4" s="237" t="s">
        <v>532</v>
      </c>
    </row>
    <row r="5" spans="1:5">
      <c r="A5" s="391"/>
      <c r="B5" s="391"/>
      <c r="C5" s="391"/>
      <c r="D5" s="391"/>
      <c r="E5" s="246" t="s">
        <v>566</v>
      </c>
    </row>
    <row r="6" spans="1:5">
      <c r="A6" s="391"/>
      <c r="B6" s="391"/>
      <c r="C6" s="391"/>
      <c r="D6" s="391"/>
      <c r="E6" s="247"/>
    </row>
    <row r="7" spans="1:5">
      <c r="A7" s="391"/>
      <c r="B7" s="391"/>
      <c r="C7" s="391"/>
      <c r="D7" s="391"/>
      <c r="E7" s="238" t="s">
        <v>581</v>
      </c>
    </row>
    <row r="8" spans="1:5">
      <c r="A8" s="391"/>
      <c r="B8" s="391"/>
      <c r="C8" s="391"/>
      <c r="D8" s="391"/>
      <c r="E8" s="246" t="s">
        <v>565</v>
      </c>
    </row>
    <row r="9" spans="1:5" ht="14.5" customHeight="1" thickBot="1">
      <c r="A9" s="391"/>
      <c r="B9" s="391"/>
      <c r="C9" s="391"/>
      <c r="D9" s="391"/>
      <c r="E9" s="248"/>
    </row>
    <row r="10" spans="1:5" ht="32" customHeight="1">
      <c r="A10" s="391"/>
      <c r="B10" s="391"/>
      <c r="C10" s="391"/>
      <c r="D10" s="391"/>
      <c r="E10" s="239" t="s">
        <v>577</v>
      </c>
    </row>
    <row r="11" spans="1:5" ht="32" customHeight="1">
      <c r="A11" s="391"/>
      <c r="B11" s="391"/>
      <c r="C11" s="391"/>
      <c r="D11" s="391"/>
      <c r="E11" s="240" t="s">
        <v>526</v>
      </c>
    </row>
    <row r="12" spans="1:5" ht="32" customHeight="1">
      <c r="A12" s="391"/>
      <c r="B12" s="391"/>
      <c r="C12" s="391"/>
      <c r="D12" s="391"/>
      <c r="E12" s="240" t="s">
        <v>576</v>
      </c>
    </row>
    <row r="13" spans="1:5" ht="32" customHeight="1">
      <c r="A13" s="391"/>
      <c r="B13" s="391"/>
      <c r="C13" s="391"/>
      <c r="D13" s="391"/>
      <c r="E13" s="240" t="s">
        <v>527</v>
      </c>
    </row>
    <row r="14" spans="1:5" ht="32" customHeight="1">
      <c r="A14" s="391"/>
      <c r="B14" s="391"/>
      <c r="C14" s="391"/>
      <c r="D14" s="391"/>
      <c r="E14" s="240" t="s">
        <v>528</v>
      </c>
    </row>
    <row r="15" spans="1:5" ht="32" customHeight="1">
      <c r="A15" s="391"/>
      <c r="B15" s="391"/>
      <c r="C15" s="391"/>
      <c r="D15" s="391"/>
      <c r="E15" s="240" t="s">
        <v>578</v>
      </c>
    </row>
    <row r="16" spans="1:5" ht="32" customHeight="1" thickBot="1">
      <c r="A16" s="391"/>
      <c r="B16" s="391"/>
      <c r="C16" s="391"/>
      <c r="D16" s="391"/>
      <c r="E16" s="241" t="s">
        <v>579</v>
      </c>
    </row>
  </sheetData>
  <sheetProtection algorithmName="SHA-512" hashValue="uXx3IWDjmNkcNNcWx29y3QnL3wIc6S5zQKvvqc7KLH3E4xy8qYa5Fhgvr7FDksx8wTWNnUsdpb1Gxm6y49e3rw==" saltValue="EJRG/WvbMg1J1KVz3feGKQ==" spinCount="100000" sheet="1" objects="1" scenarios="1"/>
  <mergeCells count="4">
    <mergeCell ref="A2:D16"/>
    <mergeCell ref="E1:E2"/>
    <mergeCell ref="E5:E6"/>
    <mergeCell ref="E8:E9"/>
  </mergeCells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view="pageBreakPreview" zoomScaleNormal="100" zoomScaleSheetLayoutView="100" workbookViewId="0">
      <selection activeCell="I1" sqref="I1"/>
    </sheetView>
  </sheetViews>
  <sheetFormatPr baseColWidth="10" defaultRowHeight="14.5"/>
  <cols>
    <col min="1" max="7" width="10.90625" style="390"/>
    <col min="8" max="8" width="18.6328125" style="390" customWidth="1"/>
    <col min="9" max="16384" width="10.90625" style="390"/>
  </cols>
  <sheetData/>
  <sheetProtection algorithmName="SHA-512" hashValue="lWPQa0FXEb+aD71OMkOPSwkaXc0h7r6LqE6gvCKXoMqPTuBYnZIEwo75RX8uau9qbu/TtTSBlqapBsdLf3OBYA==" saltValue="aKMFgX/KwSQDVFt8oc5Oqw==" spinCount="100000" sheet="1" objects="1" scenarios="1"/>
  <pageMargins left="0.7" right="0.7" top="0.75" bottom="0.75" header="0.3" footer="0.3"/>
  <pageSetup paperSize="9" scale="9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"/>
  <sheetViews>
    <sheetView view="pageBreakPreview" zoomScaleNormal="100" zoomScaleSheetLayoutView="100" workbookViewId="0">
      <selection activeCell="H3" sqref="H3:H5"/>
    </sheetView>
  </sheetViews>
  <sheetFormatPr baseColWidth="10" defaultRowHeight="14.5"/>
  <cols>
    <col min="1" max="7" width="10.90625" style="53"/>
    <col min="8" max="8" width="64.81640625" style="53" customWidth="1"/>
    <col min="9" max="16384" width="10.90625" style="53"/>
  </cols>
  <sheetData>
    <row r="1" spans="1:16">
      <c r="A1" s="249" t="s">
        <v>520</v>
      </c>
      <c r="B1" s="249"/>
      <c r="C1" s="249"/>
      <c r="D1" s="249"/>
      <c r="E1" s="249"/>
      <c r="F1" s="249"/>
      <c r="G1" s="249"/>
      <c r="H1" s="249"/>
    </row>
    <row r="2" spans="1:16">
      <c r="A2" s="234" t="s">
        <v>503</v>
      </c>
      <c r="B2" s="252" t="s">
        <v>502</v>
      </c>
      <c r="C2" s="252"/>
      <c r="D2" s="252"/>
      <c r="E2" s="252"/>
      <c r="F2" s="252"/>
      <c r="G2" s="252"/>
      <c r="H2" s="234" t="s">
        <v>584</v>
      </c>
    </row>
    <row r="3" spans="1:16" ht="23.5" customHeight="1">
      <c r="A3" s="251" t="s">
        <v>494</v>
      </c>
      <c r="B3" s="250"/>
      <c r="C3" s="250"/>
      <c r="D3" s="250"/>
      <c r="E3" s="250"/>
      <c r="F3" s="250"/>
      <c r="G3" s="250"/>
      <c r="H3" s="253" t="s">
        <v>585</v>
      </c>
    </row>
    <row r="4" spans="1:16" ht="18.5" customHeight="1">
      <c r="A4" s="251"/>
      <c r="B4" s="250"/>
      <c r="C4" s="250"/>
      <c r="D4" s="250"/>
      <c r="E4" s="250"/>
      <c r="F4" s="250"/>
      <c r="G4" s="250"/>
      <c r="H4" s="253"/>
    </row>
    <row r="5" spans="1:16" ht="19.5" customHeight="1">
      <c r="A5" s="251"/>
      <c r="B5" s="250"/>
      <c r="C5" s="250"/>
      <c r="D5" s="250"/>
      <c r="E5" s="250"/>
      <c r="F5" s="250"/>
      <c r="G5" s="250"/>
      <c r="H5" s="253"/>
    </row>
    <row r="6" spans="1:16" ht="58">
      <c r="A6" s="235" t="s">
        <v>495</v>
      </c>
      <c r="B6" s="250"/>
      <c r="C6" s="250"/>
      <c r="D6" s="250"/>
      <c r="E6" s="250"/>
      <c r="F6" s="250"/>
      <c r="G6" s="250"/>
      <c r="H6" s="242" t="s">
        <v>504</v>
      </c>
    </row>
    <row r="7" spans="1:16" ht="58" customHeight="1">
      <c r="A7" s="235" t="s">
        <v>496</v>
      </c>
      <c r="B7" s="250"/>
      <c r="C7" s="250"/>
      <c r="D7" s="250"/>
      <c r="E7" s="250"/>
      <c r="F7" s="250"/>
      <c r="G7" s="250"/>
      <c r="H7" s="243" t="s">
        <v>582</v>
      </c>
    </row>
    <row r="8" spans="1:16" ht="58" customHeight="1">
      <c r="A8" s="235" t="s">
        <v>497</v>
      </c>
      <c r="B8" s="250"/>
      <c r="C8" s="250"/>
      <c r="D8" s="250"/>
      <c r="E8" s="250"/>
      <c r="F8" s="250"/>
      <c r="G8" s="250"/>
      <c r="H8" s="242" t="s">
        <v>583</v>
      </c>
      <c r="I8" s="233"/>
      <c r="J8" s="233"/>
      <c r="K8" s="233"/>
      <c r="L8" s="233"/>
      <c r="M8" s="233"/>
      <c r="N8" s="233"/>
      <c r="O8" s="233"/>
      <c r="P8" s="233"/>
    </row>
    <row r="9" spans="1:16">
      <c r="H9" s="233"/>
      <c r="I9" s="233"/>
      <c r="J9" s="233"/>
      <c r="K9" s="233"/>
      <c r="L9" s="233"/>
      <c r="M9" s="233"/>
      <c r="N9" s="233"/>
      <c r="O9" s="233"/>
      <c r="P9" s="233"/>
    </row>
    <row r="10" spans="1:16">
      <c r="H10" s="233"/>
      <c r="I10" s="233"/>
      <c r="J10" s="233"/>
      <c r="K10" s="233"/>
      <c r="L10" s="233"/>
      <c r="M10" s="233"/>
      <c r="N10" s="233"/>
      <c r="O10" s="233"/>
      <c r="P10" s="233"/>
    </row>
    <row r="11" spans="1:16">
      <c r="H11" s="233"/>
      <c r="I11" s="233"/>
      <c r="J11" s="233"/>
      <c r="K11" s="233"/>
      <c r="L11" s="233"/>
      <c r="M11" s="233"/>
      <c r="N11" s="233"/>
      <c r="O11" s="233"/>
      <c r="P11" s="233"/>
    </row>
  </sheetData>
  <sheetProtection algorithmName="SHA-512" hashValue="cgrrH0FWZG8hM9CZb+6xaOkgxUdHA6gRWMyhToA85CjcHAt+TDTkl4lGjkXQJOBkxGOUOHGTxddt8KAQzd0Yhg==" saltValue="S8cEE1SOWABzZs7pwE68Uw==" spinCount="100000" sheet="1" objects="1" scenarios="1"/>
  <mergeCells count="8">
    <mergeCell ref="A1:H1"/>
    <mergeCell ref="B7:G7"/>
    <mergeCell ref="B8:G8"/>
    <mergeCell ref="B3:G5"/>
    <mergeCell ref="A3:A5"/>
    <mergeCell ref="B2:G2"/>
    <mergeCell ref="B6:G6"/>
    <mergeCell ref="H3:H5"/>
  </mergeCells>
  <pageMargins left="0.7" right="0.7" top="0.75" bottom="0.75" header="0.3" footer="0.3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"/>
  <sheetViews>
    <sheetView view="pageBreakPreview" zoomScale="60" zoomScaleNormal="70" workbookViewId="0"/>
  </sheetViews>
  <sheetFormatPr baseColWidth="10" defaultRowHeight="14.5"/>
  <cols>
    <col min="1" max="1" width="14.453125" customWidth="1"/>
    <col min="2" max="2" width="18.453125" customWidth="1"/>
    <col min="3" max="3" width="20" customWidth="1"/>
    <col min="4" max="4" width="22.08984375" customWidth="1"/>
    <col min="5" max="5" width="24.7265625" customWidth="1"/>
    <col min="6" max="6" width="18.54296875" customWidth="1"/>
    <col min="7" max="7" width="41" customWidth="1"/>
    <col min="8" max="8" width="22.7265625" customWidth="1"/>
    <col min="9" max="9" width="25.7265625" customWidth="1"/>
    <col min="10" max="10" width="30.54296875" customWidth="1"/>
  </cols>
  <sheetData>
    <row r="1" spans="1:10" ht="28">
      <c r="A1" s="51" t="s">
        <v>2</v>
      </c>
      <c r="B1" s="51" t="s">
        <v>4</v>
      </c>
      <c r="C1" s="51" t="s">
        <v>0</v>
      </c>
      <c r="D1" s="51" t="s">
        <v>17</v>
      </c>
      <c r="E1" s="51" t="s">
        <v>31</v>
      </c>
      <c r="F1" s="51" t="s">
        <v>16</v>
      </c>
      <c r="G1" s="51" t="s">
        <v>1</v>
      </c>
      <c r="H1" s="51" t="s">
        <v>32</v>
      </c>
      <c r="I1" s="52" t="s">
        <v>498</v>
      </c>
      <c r="J1" s="52" t="s">
        <v>345</v>
      </c>
    </row>
    <row r="2" spans="1:10" ht="42">
      <c r="A2" s="12">
        <v>1</v>
      </c>
      <c r="B2" s="6" t="s">
        <v>6</v>
      </c>
      <c r="C2" s="6" t="s">
        <v>10</v>
      </c>
      <c r="D2" s="6" t="s">
        <v>567</v>
      </c>
      <c r="E2" s="6" t="s">
        <v>26</v>
      </c>
      <c r="F2" s="6" t="s">
        <v>20</v>
      </c>
      <c r="G2" s="82" t="s">
        <v>597</v>
      </c>
      <c r="H2" s="6" t="s">
        <v>12</v>
      </c>
      <c r="I2" s="6" t="s">
        <v>586</v>
      </c>
      <c r="J2" s="6" t="s">
        <v>587</v>
      </c>
    </row>
    <row r="3" spans="1:10" ht="84">
      <c r="A3" s="12">
        <v>2</v>
      </c>
      <c r="B3" s="6" t="s">
        <v>6</v>
      </c>
      <c r="C3" s="6" t="s">
        <v>10</v>
      </c>
      <c r="D3" s="6" t="s">
        <v>567</v>
      </c>
      <c r="E3" s="6" t="s">
        <v>26</v>
      </c>
      <c r="F3" s="6" t="s">
        <v>20</v>
      </c>
      <c r="G3" s="83" t="s">
        <v>570</v>
      </c>
      <c r="H3" s="6" t="s">
        <v>12</v>
      </c>
      <c r="I3" s="6" t="s">
        <v>586</v>
      </c>
      <c r="J3" s="6" t="s">
        <v>587</v>
      </c>
    </row>
    <row r="4" spans="1:10" ht="28">
      <c r="A4" s="12">
        <v>3</v>
      </c>
      <c r="B4" s="6" t="s">
        <v>6</v>
      </c>
      <c r="C4" s="6" t="s">
        <v>10</v>
      </c>
      <c r="D4" s="6" t="s">
        <v>567</v>
      </c>
      <c r="E4" s="6" t="s">
        <v>26</v>
      </c>
      <c r="F4" s="6" t="s">
        <v>20</v>
      </c>
      <c r="G4" s="84" t="s">
        <v>511</v>
      </c>
      <c r="H4" s="6" t="s">
        <v>12</v>
      </c>
      <c r="I4" s="6" t="s">
        <v>586</v>
      </c>
      <c r="J4" s="6" t="s">
        <v>587</v>
      </c>
    </row>
    <row r="5" spans="1:10" ht="28">
      <c r="A5" s="12">
        <v>4</v>
      </c>
      <c r="B5" s="6" t="s">
        <v>6</v>
      </c>
      <c r="C5" s="6" t="s">
        <v>10</v>
      </c>
      <c r="D5" s="6" t="s">
        <v>567</v>
      </c>
      <c r="E5" s="6" t="s">
        <v>26</v>
      </c>
      <c r="F5" s="6" t="s">
        <v>20</v>
      </c>
      <c r="G5" s="85" t="s">
        <v>512</v>
      </c>
      <c r="H5" s="6" t="s">
        <v>12</v>
      </c>
      <c r="I5" s="6" t="s">
        <v>586</v>
      </c>
      <c r="J5" s="6" t="s">
        <v>587</v>
      </c>
    </row>
    <row r="6" spans="1:10" ht="28">
      <c r="A6" s="12">
        <v>5</v>
      </c>
      <c r="B6" s="6" t="s">
        <v>6</v>
      </c>
      <c r="C6" s="6" t="s">
        <v>10</v>
      </c>
      <c r="D6" s="6" t="s">
        <v>567</v>
      </c>
      <c r="E6" s="6" t="s">
        <v>26</v>
      </c>
      <c r="F6" s="6" t="s">
        <v>20</v>
      </c>
      <c r="G6" s="84" t="s">
        <v>513</v>
      </c>
      <c r="H6" s="6" t="s">
        <v>12</v>
      </c>
      <c r="I6" s="6" t="s">
        <v>586</v>
      </c>
      <c r="J6" s="6" t="s">
        <v>587</v>
      </c>
    </row>
    <row r="7" spans="1:10" ht="28">
      <c r="A7" s="12">
        <v>6</v>
      </c>
      <c r="B7" s="6" t="s">
        <v>6</v>
      </c>
      <c r="C7" s="6" t="s">
        <v>10</v>
      </c>
      <c r="D7" s="6" t="s">
        <v>567</v>
      </c>
      <c r="E7" s="6" t="s">
        <v>26</v>
      </c>
      <c r="F7" s="6" t="s">
        <v>20</v>
      </c>
      <c r="G7" s="85" t="s">
        <v>514</v>
      </c>
      <c r="H7" s="6" t="s">
        <v>12</v>
      </c>
      <c r="I7" s="6" t="s">
        <v>586</v>
      </c>
      <c r="J7" s="6" t="s">
        <v>587</v>
      </c>
    </row>
    <row r="8" spans="1:10" ht="28">
      <c r="A8" s="12">
        <v>7</v>
      </c>
      <c r="B8" s="6" t="s">
        <v>6</v>
      </c>
      <c r="C8" s="6" t="s">
        <v>10</v>
      </c>
      <c r="D8" s="6" t="s">
        <v>567</v>
      </c>
      <c r="E8" s="6" t="s">
        <v>26</v>
      </c>
      <c r="F8" s="6" t="s">
        <v>20</v>
      </c>
      <c r="G8" s="84" t="s">
        <v>515</v>
      </c>
      <c r="H8" s="6" t="s">
        <v>12</v>
      </c>
      <c r="I8" s="6" t="s">
        <v>586</v>
      </c>
      <c r="J8" s="6" t="s">
        <v>587</v>
      </c>
    </row>
    <row r="9" spans="1:10" ht="42">
      <c r="A9" s="12">
        <v>8</v>
      </c>
      <c r="B9" s="6" t="s">
        <v>6</v>
      </c>
      <c r="C9" s="6" t="s">
        <v>10</v>
      </c>
      <c r="D9" s="6" t="s">
        <v>567</v>
      </c>
      <c r="E9" s="6" t="s">
        <v>26</v>
      </c>
      <c r="F9" s="6" t="s">
        <v>20</v>
      </c>
      <c r="G9" s="85" t="s">
        <v>588</v>
      </c>
      <c r="H9" s="6" t="s">
        <v>12</v>
      </c>
      <c r="I9" s="6" t="s">
        <v>586</v>
      </c>
      <c r="J9" s="6" t="s">
        <v>587</v>
      </c>
    </row>
    <row r="10" spans="1:10" ht="28">
      <c r="A10" s="12">
        <v>9</v>
      </c>
      <c r="B10" s="6" t="s">
        <v>6</v>
      </c>
      <c r="C10" s="6" t="s">
        <v>10</v>
      </c>
      <c r="D10" s="6" t="s">
        <v>567</v>
      </c>
      <c r="E10" s="6" t="s">
        <v>26</v>
      </c>
      <c r="F10" s="6" t="s">
        <v>20</v>
      </c>
      <c r="G10" s="85" t="s">
        <v>516</v>
      </c>
      <c r="H10" s="6" t="s">
        <v>12</v>
      </c>
      <c r="I10" s="6" t="s">
        <v>586</v>
      </c>
      <c r="J10" s="6" t="s">
        <v>587</v>
      </c>
    </row>
    <row r="11" spans="1:10" ht="42">
      <c r="A11" s="12">
        <v>10</v>
      </c>
      <c r="B11" s="6" t="s">
        <v>6</v>
      </c>
      <c r="C11" s="6" t="s">
        <v>10</v>
      </c>
      <c r="D11" s="6" t="s">
        <v>567</v>
      </c>
      <c r="E11" s="6" t="s">
        <v>26</v>
      </c>
      <c r="F11" s="6" t="s">
        <v>20</v>
      </c>
      <c r="G11" s="84" t="s">
        <v>400</v>
      </c>
      <c r="H11" s="6" t="s">
        <v>12</v>
      </c>
      <c r="I11" s="6" t="s">
        <v>586</v>
      </c>
      <c r="J11" s="6" t="s">
        <v>587</v>
      </c>
    </row>
    <row r="12" spans="1:10" ht="42">
      <c r="A12" s="12">
        <v>11</v>
      </c>
      <c r="B12" s="6" t="s">
        <v>6</v>
      </c>
      <c r="C12" s="6" t="s">
        <v>10</v>
      </c>
      <c r="D12" s="6" t="s">
        <v>567</v>
      </c>
      <c r="E12" s="6" t="s">
        <v>26</v>
      </c>
      <c r="F12" s="6" t="s">
        <v>20</v>
      </c>
      <c r="G12" s="82" t="s">
        <v>589</v>
      </c>
      <c r="H12" s="6" t="s">
        <v>12</v>
      </c>
      <c r="I12" s="6" t="s">
        <v>586</v>
      </c>
      <c r="J12" s="6" t="s">
        <v>587</v>
      </c>
    </row>
    <row r="13" spans="1:10" ht="56">
      <c r="A13" s="12">
        <v>12</v>
      </c>
      <c r="B13" s="6" t="s">
        <v>6</v>
      </c>
      <c r="C13" s="6" t="s">
        <v>10</v>
      </c>
      <c r="D13" s="6" t="s">
        <v>568</v>
      </c>
      <c r="E13" s="6" t="s">
        <v>364</v>
      </c>
      <c r="F13" s="6" t="s">
        <v>20</v>
      </c>
      <c r="G13" s="82" t="s">
        <v>517</v>
      </c>
      <c r="H13" s="6" t="s">
        <v>12</v>
      </c>
      <c r="I13" s="6" t="s">
        <v>590</v>
      </c>
      <c r="J13" s="6" t="s">
        <v>587</v>
      </c>
    </row>
    <row r="14" spans="1:10" ht="28">
      <c r="A14" s="12">
        <v>14</v>
      </c>
      <c r="B14" s="12" t="s">
        <v>220</v>
      </c>
      <c r="C14" s="6" t="s">
        <v>10</v>
      </c>
      <c r="D14" s="6" t="s">
        <v>569</v>
      </c>
      <c r="E14" s="6" t="s">
        <v>315</v>
      </c>
      <c r="F14" s="6" t="s">
        <v>18</v>
      </c>
      <c r="G14" s="82" t="s">
        <v>591</v>
      </c>
      <c r="H14" s="6" t="s">
        <v>12</v>
      </c>
      <c r="I14" s="6" t="s">
        <v>590</v>
      </c>
      <c r="J14" s="6" t="s">
        <v>587</v>
      </c>
    </row>
    <row r="15" spans="1:10" ht="28">
      <c r="A15" s="12">
        <v>15</v>
      </c>
      <c r="B15" s="12" t="s">
        <v>6</v>
      </c>
      <c r="C15" s="6" t="s">
        <v>10</v>
      </c>
      <c r="D15" s="6" t="s">
        <v>569</v>
      </c>
      <c r="E15" s="6" t="s">
        <v>360</v>
      </c>
      <c r="F15" s="6" t="s">
        <v>18</v>
      </c>
      <c r="G15" s="82" t="s">
        <v>482</v>
      </c>
      <c r="H15" s="6" t="s">
        <v>12</v>
      </c>
      <c r="I15" s="6" t="s">
        <v>590</v>
      </c>
      <c r="J15" s="6" t="s">
        <v>587</v>
      </c>
    </row>
    <row r="16" spans="1:10" ht="28">
      <c r="A16" s="12">
        <v>16</v>
      </c>
      <c r="B16" s="12" t="s">
        <v>6</v>
      </c>
      <c r="C16" s="6" t="s">
        <v>10</v>
      </c>
      <c r="D16" s="6" t="s">
        <v>569</v>
      </c>
      <c r="E16" s="6" t="s">
        <v>360</v>
      </c>
      <c r="F16" s="6" t="s">
        <v>18</v>
      </c>
      <c r="G16" s="82" t="s">
        <v>592</v>
      </c>
      <c r="H16" s="6" t="s">
        <v>12</v>
      </c>
      <c r="I16" s="6" t="s">
        <v>590</v>
      </c>
      <c r="J16" s="6" t="s">
        <v>587</v>
      </c>
    </row>
    <row r="17" spans="1:10" ht="28">
      <c r="A17" s="12">
        <v>17</v>
      </c>
      <c r="B17" s="12" t="s">
        <v>220</v>
      </c>
      <c r="C17" s="6" t="s">
        <v>10</v>
      </c>
      <c r="D17" s="6" t="s">
        <v>569</v>
      </c>
      <c r="E17" s="6" t="s">
        <v>315</v>
      </c>
      <c r="F17" s="6" t="s">
        <v>21</v>
      </c>
      <c r="G17" s="82" t="s">
        <v>412</v>
      </c>
      <c r="H17" s="6" t="s">
        <v>12</v>
      </c>
      <c r="I17" s="6" t="s">
        <v>590</v>
      </c>
      <c r="J17" s="6" t="s">
        <v>587</v>
      </c>
    </row>
    <row r="18" spans="1:10" ht="28">
      <c r="A18" s="12">
        <v>19</v>
      </c>
      <c r="B18" s="12" t="s">
        <v>361</v>
      </c>
      <c r="C18" s="6" t="s">
        <v>10</v>
      </c>
      <c r="D18" s="6" t="s">
        <v>569</v>
      </c>
      <c r="E18" s="6" t="s">
        <v>360</v>
      </c>
      <c r="F18" s="6" t="s">
        <v>23</v>
      </c>
      <c r="G18" s="82" t="s">
        <v>416</v>
      </c>
      <c r="H18" s="6" t="s">
        <v>12</v>
      </c>
      <c r="I18" s="6" t="s">
        <v>590</v>
      </c>
      <c r="J18" s="6" t="s">
        <v>587</v>
      </c>
    </row>
    <row r="19" spans="1:10" ht="28">
      <c r="A19" s="12">
        <v>20</v>
      </c>
      <c r="B19" s="12" t="s">
        <v>6</v>
      </c>
      <c r="C19" s="6" t="s">
        <v>10</v>
      </c>
      <c r="D19" s="6" t="s">
        <v>569</v>
      </c>
      <c r="E19" s="6" t="s">
        <v>360</v>
      </c>
      <c r="F19" s="6" t="s">
        <v>23</v>
      </c>
      <c r="G19" s="82" t="s">
        <v>518</v>
      </c>
      <c r="H19" s="6" t="s">
        <v>12</v>
      </c>
      <c r="I19" s="6" t="s">
        <v>590</v>
      </c>
      <c r="J19" s="6" t="s">
        <v>587</v>
      </c>
    </row>
    <row r="20" spans="1:10" ht="56">
      <c r="A20" s="12">
        <v>21</v>
      </c>
      <c r="B20" s="12" t="s">
        <v>23</v>
      </c>
      <c r="C20" s="6" t="s">
        <v>10</v>
      </c>
      <c r="D20" s="6" t="s">
        <v>568</v>
      </c>
      <c r="E20" s="6" t="s">
        <v>519</v>
      </c>
      <c r="F20" s="6" t="s">
        <v>23</v>
      </c>
      <c r="G20" s="82" t="s">
        <v>593</v>
      </c>
      <c r="H20" s="6" t="s">
        <v>12</v>
      </c>
      <c r="I20" s="6" t="s">
        <v>590</v>
      </c>
      <c r="J20" s="6" t="s">
        <v>587</v>
      </c>
    </row>
    <row r="21" spans="1:10" ht="42">
      <c r="A21" s="12">
        <v>22</v>
      </c>
      <c r="B21" s="12" t="s">
        <v>23</v>
      </c>
      <c r="C21" s="6" t="s">
        <v>10</v>
      </c>
      <c r="D21" s="6" t="s">
        <v>569</v>
      </c>
      <c r="E21" s="6" t="s">
        <v>138</v>
      </c>
      <c r="F21" s="6" t="s">
        <v>23</v>
      </c>
      <c r="G21" s="82" t="s">
        <v>594</v>
      </c>
      <c r="H21" s="6" t="s">
        <v>14</v>
      </c>
      <c r="I21" s="6" t="s">
        <v>590</v>
      </c>
      <c r="J21" s="6" t="s">
        <v>587</v>
      </c>
    </row>
    <row r="22" spans="1:10" ht="34.5">
      <c r="A22" s="12">
        <v>23</v>
      </c>
      <c r="B22" s="12" t="s">
        <v>312</v>
      </c>
      <c r="C22" s="6" t="s">
        <v>8</v>
      </c>
      <c r="D22" s="31" t="s">
        <v>595</v>
      </c>
      <c r="E22" s="31" t="s">
        <v>595</v>
      </c>
      <c r="F22" s="6" t="s">
        <v>22</v>
      </c>
      <c r="G22" s="82" t="s">
        <v>596</v>
      </c>
      <c r="H22" s="6" t="s">
        <v>12</v>
      </c>
      <c r="I22" s="6" t="s">
        <v>590</v>
      </c>
      <c r="J22" s="6" t="s">
        <v>587</v>
      </c>
    </row>
  </sheetData>
  <pageMargins left="0.7" right="0.7" top="0.75" bottom="0.75" header="0.3" footer="0.3"/>
  <pageSetup paperSize="9"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1"/>
  <sheetViews>
    <sheetView view="pageBreakPreview" zoomScale="60" zoomScaleNormal="70" workbookViewId="0">
      <pane xSplit="3" ySplit="1" topLeftCell="L2" activePane="bottomRight" state="frozen"/>
      <selection pane="topRight" activeCell="D1" sqref="D1"/>
      <selection pane="bottomLeft" activeCell="A2" sqref="A2"/>
      <selection pane="bottomRight" activeCell="L6" sqref="L6:L9"/>
    </sheetView>
  </sheetViews>
  <sheetFormatPr baseColWidth="10" defaultColWidth="10.81640625" defaultRowHeight="14.5"/>
  <cols>
    <col min="1" max="1" width="62.54296875" style="53" customWidth="1"/>
    <col min="2" max="2" width="23.81640625" style="86" customWidth="1"/>
    <col min="3" max="3" width="44.1796875" style="87" customWidth="1"/>
    <col min="4" max="4" width="23.1796875" style="96" customWidth="1"/>
    <col min="5" max="5" width="12.90625" style="54" customWidth="1"/>
    <col min="6" max="6" width="18" style="105" customWidth="1"/>
    <col min="7" max="7" width="15.08984375" style="73" customWidth="1"/>
    <col min="8" max="8" width="22.08984375" style="74" customWidth="1"/>
    <col min="9" max="9" width="17.08984375" style="54" customWidth="1"/>
    <col min="10" max="10" width="21.08984375" style="54" bestFit="1" customWidth="1"/>
    <col min="11" max="11" width="39.26953125" style="54" customWidth="1"/>
    <col min="12" max="13" width="21.1796875" style="54" customWidth="1"/>
    <col min="14" max="14" width="20.453125" style="88" customWidth="1"/>
    <col min="15" max="15" width="27.81640625" style="54" customWidth="1"/>
    <col min="16" max="16" width="22" style="89" customWidth="1"/>
    <col min="17" max="17" width="19.54296875" style="54" customWidth="1"/>
    <col min="18" max="18" width="15.54296875" style="53" customWidth="1"/>
    <col min="19" max="19" width="10.81640625" style="53"/>
    <col min="20" max="20" width="24" style="53" customWidth="1"/>
    <col min="21" max="16384" width="10.81640625" style="53"/>
  </cols>
  <sheetData>
    <row r="1" spans="1:22" ht="60.75" customHeight="1" thickBot="1">
      <c r="A1" s="69" t="s">
        <v>465</v>
      </c>
      <c r="B1" s="70" t="s">
        <v>478</v>
      </c>
      <c r="C1" s="70" t="s">
        <v>466</v>
      </c>
      <c r="D1" s="170" t="s">
        <v>425</v>
      </c>
      <c r="E1" s="171" t="s">
        <v>530</v>
      </c>
      <c r="F1" s="172" t="s">
        <v>621</v>
      </c>
      <c r="G1" s="173" t="s">
        <v>531</v>
      </c>
      <c r="H1" s="174" t="s">
        <v>622</v>
      </c>
      <c r="I1" s="175" t="s">
        <v>623</v>
      </c>
      <c r="J1" s="171" t="s">
        <v>529</v>
      </c>
      <c r="K1" s="70" t="s">
        <v>624</v>
      </c>
      <c r="L1" s="176" t="s">
        <v>485</v>
      </c>
      <c r="M1" s="71" t="s">
        <v>501</v>
      </c>
      <c r="N1" s="79" t="s">
        <v>480</v>
      </c>
      <c r="O1" s="177" t="s">
        <v>486</v>
      </c>
      <c r="P1" s="71" t="s">
        <v>500</v>
      </c>
      <c r="Q1" s="80" t="s">
        <v>484</v>
      </c>
      <c r="R1" s="81" t="s">
        <v>487</v>
      </c>
    </row>
    <row r="2" spans="1:22" ht="16.5">
      <c r="A2" s="313" t="str">
        <f>Variables!G2</f>
        <v>Tiempo promedio de espera para la asignación de las citas por primera vez - Medicina General</v>
      </c>
      <c r="B2" s="299" t="s">
        <v>476</v>
      </c>
      <c r="C2" s="161" t="s">
        <v>535</v>
      </c>
      <c r="D2" s="108">
        <f>1401429*1.52*12</f>
        <v>25562064.960000001</v>
      </c>
      <c r="E2" s="121">
        <f>D2/2496</f>
        <v>10241.211923076924</v>
      </c>
      <c r="F2" s="106">
        <v>2.5299999999999998</v>
      </c>
      <c r="G2" s="136">
        <f>60/F2</f>
        <v>23.715415019762847</v>
      </c>
      <c r="H2" s="137">
        <f>F2/60</f>
        <v>4.2166666666666665E-2</v>
      </c>
      <c r="I2" s="121">
        <f>E2/G2</f>
        <v>431.83776942307691</v>
      </c>
      <c r="J2" s="121">
        <f>I2*R2</f>
        <v>103286094.01507269</v>
      </c>
      <c r="K2" s="284">
        <f>J2+J3+J4+J5</f>
        <v>2549181071.8204575</v>
      </c>
      <c r="L2" s="287">
        <v>225510</v>
      </c>
      <c r="M2" s="254">
        <f>(K2*N2)/100</f>
        <v>2403506273.596365</v>
      </c>
      <c r="N2" s="296">
        <f>(L2*100)/R2</f>
        <v>94.28542758949402</v>
      </c>
      <c r="O2" s="287">
        <v>13668</v>
      </c>
      <c r="P2" s="254">
        <f>(K2*Q2)/100</f>
        <v>145674798.22409257</v>
      </c>
      <c r="Q2" s="290">
        <f>(O2*100)/R2</f>
        <v>5.7145724105059834</v>
      </c>
      <c r="R2" s="266">
        <f>L2+O2</f>
        <v>239178</v>
      </c>
    </row>
    <row r="3" spans="1:22" ht="16.5">
      <c r="A3" s="314"/>
      <c r="B3" s="300"/>
      <c r="C3" s="162" t="s">
        <v>536</v>
      </c>
      <c r="D3" s="90">
        <f>4178751*12*1.52</f>
        <v>76220418.239999995</v>
      </c>
      <c r="E3" s="122">
        <f>D3/2496</f>
        <v>30537.026538461538</v>
      </c>
      <c r="F3" s="98">
        <v>20</v>
      </c>
      <c r="G3" s="138">
        <f>60/F3</f>
        <v>3</v>
      </c>
      <c r="H3" s="139">
        <f>F3/60</f>
        <v>0.33333333333333331</v>
      </c>
      <c r="I3" s="122">
        <f>E3/G3</f>
        <v>10179.008846153845</v>
      </c>
      <c r="J3" s="122">
        <f>I3*R2</f>
        <v>2434594977.8053846</v>
      </c>
      <c r="K3" s="285"/>
      <c r="L3" s="288"/>
      <c r="M3" s="255"/>
      <c r="N3" s="297"/>
      <c r="O3" s="288"/>
      <c r="P3" s="255"/>
      <c r="Q3" s="291"/>
      <c r="R3" s="267"/>
      <c r="V3" s="72"/>
    </row>
    <row r="4" spans="1:22" ht="16.5">
      <c r="A4" s="314"/>
      <c r="B4" s="158" t="s">
        <v>477</v>
      </c>
      <c r="C4" s="162" t="s">
        <v>483</v>
      </c>
      <c r="D4" s="90">
        <v>6800000</v>
      </c>
      <c r="E4" s="122"/>
      <c r="F4" s="98"/>
      <c r="G4" s="138"/>
      <c r="H4" s="139"/>
      <c r="I4" s="122"/>
      <c r="J4" s="125">
        <f>D4</f>
        <v>6800000</v>
      </c>
      <c r="K4" s="285"/>
      <c r="L4" s="288"/>
      <c r="M4" s="255"/>
      <c r="N4" s="297"/>
      <c r="O4" s="288"/>
      <c r="P4" s="255"/>
      <c r="Q4" s="291"/>
      <c r="R4" s="267"/>
      <c r="V4" s="72"/>
    </row>
    <row r="5" spans="1:22" ht="17" thickBot="1">
      <c r="A5" s="315"/>
      <c r="B5" s="159" t="s">
        <v>475</v>
      </c>
      <c r="C5" s="163" t="s">
        <v>598</v>
      </c>
      <c r="D5" s="109">
        <v>4500000</v>
      </c>
      <c r="E5" s="123"/>
      <c r="F5" s="107"/>
      <c r="G5" s="140"/>
      <c r="H5" s="141"/>
      <c r="I5" s="123"/>
      <c r="J5" s="126">
        <f>D5</f>
        <v>4500000</v>
      </c>
      <c r="K5" s="286"/>
      <c r="L5" s="289"/>
      <c r="M5" s="256"/>
      <c r="N5" s="298"/>
      <c r="O5" s="289"/>
      <c r="P5" s="256"/>
      <c r="Q5" s="292"/>
      <c r="R5" s="268"/>
    </row>
    <row r="6" spans="1:22" ht="15" customHeight="1">
      <c r="A6" s="313" t="str">
        <f>Variables!G3</f>
        <v>Tiempo promedio de espera para la asignación de cita Promoción y detección (Cardiología, dermatología, enfermería general, gastroenterología, endoscopia, higiene oral, nutrición, optometría y terapias respiratorias)</v>
      </c>
      <c r="B6" s="299" t="s">
        <v>476</v>
      </c>
      <c r="C6" s="161" t="s">
        <v>535</v>
      </c>
      <c r="D6" s="108">
        <f>1401429*1.52*12</f>
        <v>25562064.960000001</v>
      </c>
      <c r="E6" s="124">
        <f>D6/2496</f>
        <v>10241.211923076924</v>
      </c>
      <c r="F6" s="106">
        <v>2.5299999999999998</v>
      </c>
      <c r="G6" s="136">
        <f>60/F6</f>
        <v>23.715415019762847</v>
      </c>
      <c r="H6" s="137">
        <f>F6/60</f>
        <v>4.2166666666666665E-2</v>
      </c>
      <c r="I6" s="121">
        <f>E6/G6</f>
        <v>431.83776942307691</v>
      </c>
      <c r="J6" s="124">
        <f>I6*R6</f>
        <v>9698644.4634728841</v>
      </c>
      <c r="K6" s="284">
        <f>J6+J7+J8+J9</f>
        <v>249609004.13924208</v>
      </c>
      <c r="L6" s="293">
        <v>12364</v>
      </c>
      <c r="M6" s="254">
        <f>(K6*N6)/100</f>
        <v>137413318.81105965</v>
      </c>
      <c r="N6" s="296">
        <f>(L6*100)/R6</f>
        <v>55.051427044837261</v>
      </c>
      <c r="O6" s="263">
        <v>10095</v>
      </c>
      <c r="P6" s="254">
        <f>(K6*Q6)/100</f>
        <v>112195685.32818241</v>
      </c>
      <c r="Q6" s="290">
        <f>(O6*100)/R6</f>
        <v>44.948572955162739</v>
      </c>
      <c r="R6" s="266">
        <f>L6+O6</f>
        <v>22459</v>
      </c>
    </row>
    <row r="7" spans="1:22" ht="16.5">
      <c r="A7" s="314"/>
      <c r="B7" s="300"/>
      <c r="C7" s="162" t="s">
        <v>536</v>
      </c>
      <c r="D7" s="90">
        <f>4178751*12*1.52</f>
        <v>76220418.239999995</v>
      </c>
      <c r="E7" s="125">
        <f>D7/2496</f>
        <v>30537.026538461538</v>
      </c>
      <c r="F7" s="98">
        <v>20</v>
      </c>
      <c r="G7" s="138">
        <f>60/F7</f>
        <v>3</v>
      </c>
      <c r="H7" s="139">
        <f>F7/60</f>
        <v>0.33333333333333331</v>
      </c>
      <c r="I7" s="122">
        <f>E7/G7</f>
        <v>10179.008846153845</v>
      </c>
      <c r="J7" s="125">
        <f>I7*R6</f>
        <v>228610359.67576921</v>
      </c>
      <c r="K7" s="285"/>
      <c r="L7" s="294"/>
      <c r="M7" s="255"/>
      <c r="N7" s="297"/>
      <c r="O7" s="294"/>
      <c r="P7" s="255"/>
      <c r="Q7" s="291"/>
      <c r="R7" s="267"/>
    </row>
    <row r="8" spans="1:22" ht="16.5">
      <c r="A8" s="314"/>
      <c r="B8" s="158" t="s">
        <v>477</v>
      </c>
      <c r="C8" s="162" t="s">
        <v>483</v>
      </c>
      <c r="D8" s="90">
        <v>6800000</v>
      </c>
      <c r="E8" s="125"/>
      <c r="F8" s="99"/>
      <c r="G8" s="142"/>
      <c r="H8" s="143"/>
      <c r="I8" s="125"/>
      <c r="J8" s="125">
        <f>D8</f>
        <v>6800000</v>
      </c>
      <c r="K8" s="285"/>
      <c r="L8" s="294"/>
      <c r="M8" s="255"/>
      <c r="N8" s="297"/>
      <c r="O8" s="294"/>
      <c r="P8" s="255"/>
      <c r="Q8" s="291"/>
      <c r="R8" s="267"/>
    </row>
    <row r="9" spans="1:22" ht="17" thickBot="1">
      <c r="A9" s="315"/>
      <c r="B9" s="159" t="s">
        <v>475</v>
      </c>
      <c r="C9" s="163" t="s">
        <v>598</v>
      </c>
      <c r="D9" s="109">
        <v>4500000</v>
      </c>
      <c r="E9" s="126"/>
      <c r="F9" s="104"/>
      <c r="G9" s="144"/>
      <c r="H9" s="145"/>
      <c r="I9" s="126"/>
      <c r="J9" s="126">
        <f>D9</f>
        <v>4500000</v>
      </c>
      <c r="K9" s="286"/>
      <c r="L9" s="295"/>
      <c r="M9" s="256"/>
      <c r="N9" s="298"/>
      <c r="O9" s="295"/>
      <c r="P9" s="256"/>
      <c r="Q9" s="292"/>
      <c r="R9" s="268"/>
    </row>
    <row r="10" spans="1:22" ht="16.5">
      <c r="A10" s="313" t="str">
        <f>Variables!G4</f>
        <v>Tiempo promedio de espera para la asignación de cita de Ortopedia</v>
      </c>
      <c r="B10" s="299" t="s">
        <v>476</v>
      </c>
      <c r="C10" s="161" t="s">
        <v>535</v>
      </c>
      <c r="D10" s="108">
        <f>1401429*1.52*12</f>
        <v>25562064.960000001</v>
      </c>
      <c r="E10" s="124">
        <f>D10/2496</f>
        <v>10241.211923076924</v>
      </c>
      <c r="F10" s="106">
        <v>2.5299999999999998</v>
      </c>
      <c r="G10" s="136">
        <f>60/F10</f>
        <v>23.715415019762847</v>
      </c>
      <c r="H10" s="137">
        <f>F10/60</f>
        <v>4.2166666666666665E-2</v>
      </c>
      <c r="I10" s="121">
        <f>E10/G10</f>
        <v>431.83776942307691</v>
      </c>
      <c r="J10" s="124">
        <f>I10*R10</f>
        <v>602413.68834519223</v>
      </c>
      <c r="K10" s="284">
        <f>J10+J11+J12+J13</f>
        <v>26174336.765268266</v>
      </c>
      <c r="L10" s="293">
        <v>802</v>
      </c>
      <c r="M10" s="254">
        <f>(K10*N10)/100</f>
        <v>15047898.269351363</v>
      </c>
      <c r="N10" s="296">
        <f>(L10*100)/R10</f>
        <v>57.491039426523301</v>
      </c>
      <c r="O10" s="293">
        <v>593</v>
      </c>
      <c r="P10" s="254">
        <f>(K10*Q10)/100</f>
        <v>11126438.495916903</v>
      </c>
      <c r="Q10" s="260">
        <f>(O10*100)/R10</f>
        <v>42.508960573476699</v>
      </c>
      <c r="R10" s="266">
        <f>L10+O10</f>
        <v>1395</v>
      </c>
    </row>
    <row r="11" spans="1:22" ht="16.5">
      <c r="A11" s="314"/>
      <c r="B11" s="300"/>
      <c r="C11" s="164" t="s">
        <v>537</v>
      </c>
      <c r="D11" s="91">
        <f>4200000*12*1.52</f>
        <v>76608000</v>
      </c>
      <c r="E11" s="125">
        <f>D11/2496</f>
        <v>30692.307692307691</v>
      </c>
      <c r="F11" s="98">
        <v>20</v>
      </c>
      <c r="G11" s="138">
        <f>60/F11</f>
        <v>3</v>
      </c>
      <c r="H11" s="139">
        <f>F11/60</f>
        <v>0.33333333333333331</v>
      </c>
      <c r="I11" s="122">
        <f>E11/G11</f>
        <v>10230.76923076923</v>
      </c>
      <c r="J11" s="125">
        <f>I11*R10</f>
        <v>14271923.076923076</v>
      </c>
      <c r="K11" s="285"/>
      <c r="L11" s="294"/>
      <c r="M11" s="255"/>
      <c r="N11" s="297"/>
      <c r="O11" s="294"/>
      <c r="P11" s="255"/>
      <c r="Q11" s="261"/>
      <c r="R11" s="267"/>
    </row>
    <row r="12" spans="1:22" ht="16.5">
      <c r="A12" s="314"/>
      <c r="B12" s="158" t="s">
        <v>477</v>
      </c>
      <c r="C12" s="164" t="s">
        <v>483</v>
      </c>
      <c r="D12" s="91">
        <v>6800000</v>
      </c>
      <c r="E12" s="127"/>
      <c r="F12" s="98"/>
      <c r="G12" s="138"/>
      <c r="H12" s="139"/>
      <c r="I12" s="127"/>
      <c r="J12" s="125">
        <f>D12</f>
        <v>6800000</v>
      </c>
      <c r="K12" s="285"/>
      <c r="L12" s="294"/>
      <c r="M12" s="255"/>
      <c r="N12" s="297"/>
      <c r="O12" s="294"/>
      <c r="P12" s="255"/>
      <c r="Q12" s="261"/>
      <c r="R12" s="267"/>
    </row>
    <row r="13" spans="1:22" ht="17" thickBot="1">
      <c r="A13" s="315"/>
      <c r="B13" s="159" t="s">
        <v>475</v>
      </c>
      <c r="C13" s="165" t="s">
        <v>598</v>
      </c>
      <c r="D13" s="110">
        <v>4500000</v>
      </c>
      <c r="E13" s="128"/>
      <c r="F13" s="107"/>
      <c r="G13" s="140"/>
      <c r="H13" s="141"/>
      <c r="I13" s="128"/>
      <c r="J13" s="126">
        <f>D13</f>
        <v>4500000</v>
      </c>
      <c r="K13" s="286"/>
      <c r="L13" s="295"/>
      <c r="M13" s="256"/>
      <c r="N13" s="298"/>
      <c r="O13" s="295"/>
      <c r="P13" s="256"/>
      <c r="Q13" s="262"/>
      <c r="R13" s="268"/>
    </row>
    <row r="14" spans="1:22" ht="16.5">
      <c r="A14" s="313" t="str">
        <f>Variables!G5</f>
        <v>Tiempo promedio de espera para la asignación de cita de Medicina Familiar</v>
      </c>
      <c r="B14" s="299" t="s">
        <v>476</v>
      </c>
      <c r="C14" s="161" t="s">
        <v>535</v>
      </c>
      <c r="D14" s="108">
        <f>1401429*1.52*12</f>
        <v>25562064.960000001</v>
      </c>
      <c r="E14" s="124">
        <f>D14/2496</f>
        <v>10241.211923076924</v>
      </c>
      <c r="F14" s="106">
        <v>2.5299999999999998</v>
      </c>
      <c r="G14" s="136">
        <f>60/F14</f>
        <v>23.715415019762847</v>
      </c>
      <c r="H14" s="137">
        <f>F14/60</f>
        <v>4.2166666666666665E-2</v>
      </c>
      <c r="I14" s="121">
        <f>E14/G14</f>
        <v>431.83776942307691</v>
      </c>
      <c r="J14" s="124">
        <f>I14*R14</f>
        <v>489704.03052576922</v>
      </c>
      <c r="K14" s="284">
        <f>J14+J15+J16+J17</f>
        <v>21181550.184371926</v>
      </c>
      <c r="L14" s="293">
        <v>181</v>
      </c>
      <c r="M14" s="254">
        <f>(K14*N14)/100</f>
        <v>3380829.4385990463</v>
      </c>
      <c r="N14" s="296">
        <f>(L14*100)/R14</f>
        <v>15.961199294532628</v>
      </c>
      <c r="O14" s="293">
        <v>953</v>
      </c>
      <c r="P14" s="254">
        <f>(K14*Q14)/100</f>
        <v>17800720.74577288</v>
      </c>
      <c r="Q14" s="260">
        <f>(O14*100)/R14</f>
        <v>84.038800705467366</v>
      </c>
      <c r="R14" s="266">
        <f>L14+O14</f>
        <v>1134</v>
      </c>
    </row>
    <row r="15" spans="1:22" ht="16.5">
      <c r="A15" s="314"/>
      <c r="B15" s="300"/>
      <c r="C15" s="164" t="s">
        <v>538</v>
      </c>
      <c r="D15" s="91">
        <f>3400000*12*1.52</f>
        <v>62016000</v>
      </c>
      <c r="E15" s="125">
        <f>D15/2496</f>
        <v>24846.153846153848</v>
      </c>
      <c r="F15" s="98">
        <v>20</v>
      </c>
      <c r="G15" s="138">
        <f>60/F15</f>
        <v>3</v>
      </c>
      <c r="H15" s="139">
        <f>F15/60</f>
        <v>0.33333333333333331</v>
      </c>
      <c r="I15" s="122">
        <f>E15/G15</f>
        <v>8282.0512820512831</v>
      </c>
      <c r="J15" s="125">
        <f>I15*R14</f>
        <v>9391846.1538461559</v>
      </c>
      <c r="K15" s="285"/>
      <c r="L15" s="294"/>
      <c r="M15" s="255"/>
      <c r="N15" s="297"/>
      <c r="O15" s="294"/>
      <c r="P15" s="255"/>
      <c r="Q15" s="261"/>
      <c r="R15" s="267"/>
    </row>
    <row r="16" spans="1:22" ht="16.5">
      <c r="A16" s="314"/>
      <c r="B16" s="158" t="s">
        <v>477</v>
      </c>
      <c r="C16" s="164" t="s">
        <v>483</v>
      </c>
      <c r="D16" s="91">
        <v>6800000</v>
      </c>
      <c r="E16" s="127"/>
      <c r="F16" s="98"/>
      <c r="G16" s="138"/>
      <c r="H16" s="139"/>
      <c r="I16" s="127"/>
      <c r="J16" s="125">
        <f>D16</f>
        <v>6800000</v>
      </c>
      <c r="K16" s="285"/>
      <c r="L16" s="294"/>
      <c r="M16" s="255"/>
      <c r="N16" s="297"/>
      <c r="O16" s="294"/>
      <c r="P16" s="255"/>
      <c r="Q16" s="261"/>
      <c r="R16" s="267"/>
    </row>
    <row r="17" spans="1:18" ht="17" thickBot="1">
      <c r="A17" s="315"/>
      <c r="B17" s="159" t="s">
        <v>475</v>
      </c>
      <c r="C17" s="165" t="s">
        <v>598</v>
      </c>
      <c r="D17" s="110">
        <v>4500000</v>
      </c>
      <c r="E17" s="128"/>
      <c r="F17" s="107"/>
      <c r="G17" s="140"/>
      <c r="H17" s="141"/>
      <c r="I17" s="128"/>
      <c r="J17" s="126">
        <f>D17</f>
        <v>4500000</v>
      </c>
      <c r="K17" s="286"/>
      <c r="L17" s="295"/>
      <c r="M17" s="256"/>
      <c r="N17" s="298"/>
      <c r="O17" s="295"/>
      <c r="P17" s="256"/>
      <c r="Q17" s="262"/>
      <c r="R17" s="268"/>
    </row>
    <row r="18" spans="1:18" ht="16.5">
      <c r="A18" s="313" t="str">
        <f>Variables!G6</f>
        <v>Tiempo promedio de espera para la toma de Ecografía</v>
      </c>
      <c r="B18" s="299" t="s">
        <v>476</v>
      </c>
      <c r="C18" s="161" t="s">
        <v>535</v>
      </c>
      <c r="D18" s="108">
        <f>1401429*1.52*12</f>
        <v>25562064.960000001</v>
      </c>
      <c r="E18" s="124">
        <f>D18/2496</f>
        <v>10241.211923076924</v>
      </c>
      <c r="F18" s="106">
        <v>2.5299999999999998</v>
      </c>
      <c r="G18" s="136">
        <f>60/F18</f>
        <v>23.715415019762847</v>
      </c>
      <c r="H18" s="137">
        <f>F18/60</f>
        <v>4.2166666666666665E-2</v>
      </c>
      <c r="I18" s="121">
        <f>E18/G18</f>
        <v>431.83776942307691</v>
      </c>
      <c r="J18" s="124">
        <f>I18*R18</f>
        <v>1047206.5908509615</v>
      </c>
      <c r="K18" s="284">
        <f>J18+J19+J20+J21+D22</f>
        <v>73177845.632517621</v>
      </c>
      <c r="L18" s="293">
        <v>2306</v>
      </c>
      <c r="M18" s="254">
        <f>(K18*N18)/100</f>
        <v>69586850.321066245</v>
      </c>
      <c r="N18" s="260">
        <f>(L18*100)/R18</f>
        <v>95.092783505154642</v>
      </c>
      <c r="O18" s="293">
        <v>119</v>
      </c>
      <c r="P18" s="254">
        <f>(K18*Q18)/100</f>
        <v>3590995.3114513801</v>
      </c>
      <c r="Q18" s="260">
        <f>(O18*100)/R18</f>
        <v>4.9072164948453612</v>
      </c>
      <c r="R18" s="266">
        <f>L18+O18</f>
        <v>2425</v>
      </c>
    </row>
    <row r="19" spans="1:18" ht="16.5">
      <c r="A19" s="314"/>
      <c r="B19" s="300"/>
      <c r="C19" s="164" t="s">
        <v>539</v>
      </c>
      <c r="D19" s="91">
        <f>5354167*12*1.52</f>
        <v>97660006.079999998</v>
      </c>
      <c r="E19" s="125">
        <f>D19/2496</f>
        <v>39126.604999999996</v>
      </c>
      <c r="F19" s="98">
        <v>20</v>
      </c>
      <c r="G19" s="138">
        <f>60/F19</f>
        <v>3</v>
      </c>
      <c r="H19" s="139">
        <f>F19/60</f>
        <v>0.33333333333333331</v>
      </c>
      <c r="I19" s="122">
        <f>E19/G19</f>
        <v>13042.201666666666</v>
      </c>
      <c r="J19" s="125">
        <f>I19*R18</f>
        <v>31627339.041666664</v>
      </c>
      <c r="K19" s="285"/>
      <c r="L19" s="294"/>
      <c r="M19" s="255"/>
      <c r="N19" s="261"/>
      <c r="O19" s="294"/>
      <c r="P19" s="255"/>
      <c r="Q19" s="261"/>
      <c r="R19" s="267"/>
    </row>
    <row r="20" spans="1:18" ht="16.5">
      <c r="A20" s="314"/>
      <c r="B20" s="158" t="s">
        <v>477</v>
      </c>
      <c r="C20" s="164" t="s">
        <v>483</v>
      </c>
      <c r="D20" s="91">
        <v>6800000</v>
      </c>
      <c r="E20" s="127"/>
      <c r="F20" s="98"/>
      <c r="G20" s="138"/>
      <c r="H20" s="139"/>
      <c r="I20" s="127"/>
      <c r="J20" s="125">
        <f>D20</f>
        <v>6800000</v>
      </c>
      <c r="K20" s="285"/>
      <c r="L20" s="294"/>
      <c r="M20" s="255"/>
      <c r="N20" s="261"/>
      <c r="O20" s="294"/>
      <c r="P20" s="255"/>
      <c r="Q20" s="261"/>
      <c r="R20" s="267"/>
    </row>
    <row r="21" spans="1:18" ht="33">
      <c r="A21" s="314"/>
      <c r="B21" s="300" t="s">
        <v>475</v>
      </c>
      <c r="C21" s="164" t="s">
        <v>599</v>
      </c>
      <c r="D21" s="91">
        <v>29203300</v>
      </c>
      <c r="E21" s="127"/>
      <c r="F21" s="98"/>
      <c r="G21" s="138"/>
      <c r="H21" s="139"/>
      <c r="I21" s="127"/>
      <c r="J21" s="125">
        <f>D21</f>
        <v>29203300</v>
      </c>
      <c r="K21" s="285"/>
      <c r="L21" s="294"/>
      <c r="M21" s="255"/>
      <c r="N21" s="261"/>
      <c r="O21" s="294"/>
      <c r="P21" s="255"/>
      <c r="Q21" s="261"/>
      <c r="R21" s="267"/>
    </row>
    <row r="22" spans="1:18" ht="17" thickBot="1">
      <c r="A22" s="315"/>
      <c r="B22" s="301"/>
      <c r="C22" s="165" t="s">
        <v>598</v>
      </c>
      <c r="D22" s="110">
        <v>4500000</v>
      </c>
      <c r="E22" s="128"/>
      <c r="F22" s="107"/>
      <c r="G22" s="140"/>
      <c r="H22" s="141"/>
      <c r="I22" s="128"/>
      <c r="J22" s="128"/>
      <c r="K22" s="286"/>
      <c r="L22" s="295"/>
      <c r="M22" s="256"/>
      <c r="N22" s="262"/>
      <c r="O22" s="295"/>
      <c r="P22" s="256"/>
      <c r="Q22" s="262"/>
      <c r="R22" s="268"/>
    </row>
    <row r="23" spans="1:18" ht="16.5">
      <c r="A23" s="313" t="str">
        <f>Variables!G7</f>
        <v>Tiempo promedio de espera para la asignación de cita de Cirugía General</v>
      </c>
      <c r="B23" s="299" t="s">
        <v>476</v>
      </c>
      <c r="C23" s="161" t="s">
        <v>535</v>
      </c>
      <c r="D23" s="108">
        <f>1401429*1.52*12</f>
        <v>25562064.960000001</v>
      </c>
      <c r="E23" s="124">
        <f>D23/2496</f>
        <v>10241.211923076924</v>
      </c>
      <c r="F23" s="106">
        <v>2.5299999999999998</v>
      </c>
      <c r="G23" s="136">
        <f>60/F23</f>
        <v>23.715415019762847</v>
      </c>
      <c r="H23" s="137">
        <f>F23/60</f>
        <v>4.2166666666666665E-2</v>
      </c>
      <c r="I23" s="121">
        <f>E23/G23</f>
        <v>431.83776942307691</v>
      </c>
      <c r="J23" s="124">
        <f>I23*R23</f>
        <v>10795.944235576922</v>
      </c>
      <c r="K23" s="284">
        <f>J23+J24+J25+J26</f>
        <v>11767526.713466346</v>
      </c>
      <c r="L23" s="293">
        <v>14</v>
      </c>
      <c r="M23" s="254">
        <f>(K23*N23)/100</f>
        <v>6589814.9595411541</v>
      </c>
      <c r="N23" s="260">
        <f>(L23*100)/R23</f>
        <v>56</v>
      </c>
      <c r="O23" s="293">
        <v>11</v>
      </c>
      <c r="P23" s="254">
        <f>(K23*Q23)/100</f>
        <v>5177711.7539251922</v>
      </c>
      <c r="Q23" s="260">
        <f>(O23*100)/R23</f>
        <v>44</v>
      </c>
      <c r="R23" s="266">
        <f>L23+O23</f>
        <v>25</v>
      </c>
    </row>
    <row r="24" spans="1:18" ht="16.5">
      <c r="A24" s="314"/>
      <c r="B24" s="300"/>
      <c r="C24" s="164" t="s">
        <v>540</v>
      </c>
      <c r="D24" s="91">
        <f>7500000*12*1.52</f>
        <v>136800000</v>
      </c>
      <c r="E24" s="125">
        <f>D24/2496</f>
        <v>54807.692307692305</v>
      </c>
      <c r="F24" s="98">
        <v>20</v>
      </c>
      <c r="G24" s="138">
        <f>60/F24</f>
        <v>3</v>
      </c>
      <c r="H24" s="139">
        <f>F24/60</f>
        <v>0.33333333333333331</v>
      </c>
      <c r="I24" s="122">
        <f>E24/G24</f>
        <v>18269.23076923077</v>
      </c>
      <c r="J24" s="125">
        <f>I24*R23</f>
        <v>456730.76923076925</v>
      </c>
      <c r="K24" s="285"/>
      <c r="L24" s="294"/>
      <c r="M24" s="255"/>
      <c r="N24" s="261"/>
      <c r="O24" s="294"/>
      <c r="P24" s="255"/>
      <c r="Q24" s="261"/>
      <c r="R24" s="267"/>
    </row>
    <row r="25" spans="1:18" ht="16.5">
      <c r="A25" s="314"/>
      <c r="B25" s="158" t="s">
        <v>477</v>
      </c>
      <c r="C25" s="164" t="s">
        <v>483</v>
      </c>
      <c r="D25" s="91">
        <v>6800000</v>
      </c>
      <c r="E25" s="127"/>
      <c r="F25" s="98"/>
      <c r="G25" s="138"/>
      <c r="H25" s="139"/>
      <c r="I25" s="127"/>
      <c r="J25" s="127">
        <f>D25</f>
        <v>6800000</v>
      </c>
      <c r="K25" s="285"/>
      <c r="L25" s="294"/>
      <c r="M25" s="255"/>
      <c r="N25" s="261"/>
      <c r="O25" s="294"/>
      <c r="P25" s="255"/>
      <c r="Q25" s="261"/>
      <c r="R25" s="267"/>
    </row>
    <row r="26" spans="1:18" ht="17" thickBot="1">
      <c r="A26" s="315"/>
      <c r="B26" s="159" t="s">
        <v>475</v>
      </c>
      <c r="C26" s="165" t="s">
        <v>598</v>
      </c>
      <c r="D26" s="110">
        <v>4500000</v>
      </c>
      <c r="E26" s="128"/>
      <c r="F26" s="107"/>
      <c r="G26" s="140"/>
      <c r="H26" s="141"/>
      <c r="I26" s="128"/>
      <c r="J26" s="128">
        <f>D26</f>
        <v>4500000</v>
      </c>
      <c r="K26" s="286"/>
      <c r="L26" s="295"/>
      <c r="M26" s="256"/>
      <c r="N26" s="262"/>
      <c r="O26" s="295"/>
      <c r="P26" s="256"/>
      <c r="Q26" s="262"/>
      <c r="R26" s="268"/>
    </row>
    <row r="27" spans="1:18" ht="16.5">
      <c r="A27" s="313" t="str">
        <f>Variables!G8</f>
        <v>Tiempo promedio de espera para la asignación de cita de pediatría</v>
      </c>
      <c r="B27" s="299" t="s">
        <v>476</v>
      </c>
      <c r="C27" s="161" t="s">
        <v>535</v>
      </c>
      <c r="D27" s="108">
        <f>1401429*1.52*12</f>
        <v>25562064.960000001</v>
      </c>
      <c r="E27" s="124">
        <f>D27/2496</f>
        <v>10241.211923076924</v>
      </c>
      <c r="F27" s="106">
        <v>2.5299999999999998</v>
      </c>
      <c r="G27" s="136">
        <f>60/F27</f>
        <v>23.715415019762847</v>
      </c>
      <c r="H27" s="137">
        <f>F27/60</f>
        <v>4.2166666666666665E-2</v>
      </c>
      <c r="I27" s="121">
        <f>E27/G27</f>
        <v>431.83776942307691</v>
      </c>
      <c r="J27" s="124">
        <f>I27*R27</f>
        <v>636960.70989903843</v>
      </c>
      <c r="K27" s="284">
        <f>J27+J28+J29+J30</f>
        <v>39423018.402206734</v>
      </c>
      <c r="L27" s="293">
        <v>614</v>
      </c>
      <c r="M27" s="254">
        <f>(K27*N27)/100</f>
        <v>16410666.643359279</v>
      </c>
      <c r="N27" s="260">
        <f>(L27*100)/R27</f>
        <v>41.627118644067799</v>
      </c>
      <c r="O27" s="293">
        <v>861</v>
      </c>
      <c r="P27" s="254">
        <f>(K27*Q27)/100</f>
        <v>23012351.758847456</v>
      </c>
      <c r="Q27" s="260">
        <f>(O27*100)/R27</f>
        <v>58.372881355932201</v>
      </c>
      <c r="R27" s="266">
        <f>L27+O27</f>
        <v>1475</v>
      </c>
    </row>
    <row r="28" spans="1:18" ht="16.5">
      <c r="A28" s="314"/>
      <c r="B28" s="300"/>
      <c r="C28" s="164" t="s">
        <v>541</v>
      </c>
      <c r="D28" s="91">
        <f>7650000*12*1.52</f>
        <v>139536000</v>
      </c>
      <c r="E28" s="125">
        <f>D28/2496</f>
        <v>55903.846153846156</v>
      </c>
      <c r="F28" s="98">
        <v>20</v>
      </c>
      <c r="G28" s="138">
        <f>60/F28</f>
        <v>3</v>
      </c>
      <c r="H28" s="139">
        <f>F28/60</f>
        <v>0.33333333333333331</v>
      </c>
      <c r="I28" s="122">
        <f>E28/G28</f>
        <v>18634.615384615387</v>
      </c>
      <c r="J28" s="125">
        <f>I28*R27</f>
        <v>27486057.692307696</v>
      </c>
      <c r="K28" s="285"/>
      <c r="L28" s="294"/>
      <c r="M28" s="255"/>
      <c r="N28" s="261"/>
      <c r="O28" s="294"/>
      <c r="P28" s="255"/>
      <c r="Q28" s="261"/>
      <c r="R28" s="267"/>
    </row>
    <row r="29" spans="1:18" ht="16.5">
      <c r="A29" s="314"/>
      <c r="B29" s="158" t="s">
        <v>477</v>
      </c>
      <c r="C29" s="164" t="s">
        <v>483</v>
      </c>
      <c r="D29" s="91">
        <v>6800000</v>
      </c>
      <c r="E29" s="127"/>
      <c r="F29" s="98"/>
      <c r="G29" s="138"/>
      <c r="H29" s="139"/>
      <c r="I29" s="127"/>
      <c r="J29" s="127">
        <f>D29</f>
        <v>6800000</v>
      </c>
      <c r="K29" s="285"/>
      <c r="L29" s="294"/>
      <c r="M29" s="255"/>
      <c r="N29" s="261"/>
      <c r="O29" s="294"/>
      <c r="P29" s="255"/>
      <c r="Q29" s="261"/>
      <c r="R29" s="267"/>
    </row>
    <row r="30" spans="1:18" ht="17" thickBot="1">
      <c r="A30" s="315"/>
      <c r="B30" s="159" t="s">
        <v>475</v>
      </c>
      <c r="C30" s="165" t="s">
        <v>598</v>
      </c>
      <c r="D30" s="110">
        <v>4500000</v>
      </c>
      <c r="E30" s="128"/>
      <c r="F30" s="107"/>
      <c r="G30" s="140"/>
      <c r="H30" s="141"/>
      <c r="I30" s="128"/>
      <c r="J30" s="128">
        <f>D30</f>
        <v>4500000</v>
      </c>
      <c r="K30" s="286"/>
      <c r="L30" s="295"/>
      <c r="M30" s="256"/>
      <c r="N30" s="262"/>
      <c r="O30" s="295"/>
      <c r="P30" s="256"/>
      <c r="Q30" s="262"/>
      <c r="R30" s="268"/>
    </row>
    <row r="31" spans="1:18" ht="16.5">
      <c r="A31" s="313" t="str">
        <f>Variables!G9</f>
        <v>Tiempo promedio de espera para la asignación de cita de Ginecología y obstetricia</v>
      </c>
      <c r="B31" s="299" t="s">
        <v>476</v>
      </c>
      <c r="C31" s="161" t="s">
        <v>535</v>
      </c>
      <c r="D31" s="108">
        <f>1401429*1.52*12</f>
        <v>25562064.960000001</v>
      </c>
      <c r="E31" s="124">
        <f>D31/2496</f>
        <v>10241.211923076924</v>
      </c>
      <c r="F31" s="106">
        <v>2.5299999999999998</v>
      </c>
      <c r="G31" s="136">
        <f>60/F31</f>
        <v>23.715415019762847</v>
      </c>
      <c r="H31" s="137">
        <f>F31/60</f>
        <v>4.2166666666666665E-2</v>
      </c>
      <c r="I31" s="121">
        <f>E31/G31</f>
        <v>431.83776942307691</v>
      </c>
      <c r="J31" s="124">
        <f>I31*R31</f>
        <v>1343879.1384446153</v>
      </c>
      <c r="K31" s="284">
        <f>J31+J32+J33+J34</f>
        <v>73374122.859983087</v>
      </c>
      <c r="L31" s="293">
        <v>1804</v>
      </c>
      <c r="M31" s="254">
        <f>(K31*N31)/100</f>
        <v>42534356.567933641</v>
      </c>
      <c r="N31" s="260">
        <f>(L31*100)/R31</f>
        <v>57.969151670951156</v>
      </c>
      <c r="O31" s="293">
        <v>1308</v>
      </c>
      <c r="P31" s="254">
        <f>(K31*Q31)/100</f>
        <v>30839766.292049445</v>
      </c>
      <c r="Q31" s="260">
        <f>(O31*100)/R31</f>
        <v>42.030848329048844</v>
      </c>
      <c r="R31" s="266">
        <f>L31+O31</f>
        <v>3112</v>
      </c>
    </row>
    <row r="32" spans="1:18" ht="16.5">
      <c r="A32" s="314"/>
      <c r="B32" s="300"/>
      <c r="C32" s="164" t="s">
        <v>542</v>
      </c>
      <c r="D32" s="91">
        <f>5340909*12*1.52</f>
        <v>97418180.159999996</v>
      </c>
      <c r="E32" s="125">
        <f>D32/2496</f>
        <v>39029.719615384616</v>
      </c>
      <c r="F32" s="98">
        <v>30</v>
      </c>
      <c r="G32" s="138">
        <f>60/F32</f>
        <v>2</v>
      </c>
      <c r="H32" s="139">
        <f>F32/60</f>
        <v>0.5</v>
      </c>
      <c r="I32" s="122">
        <f>E32/G32</f>
        <v>19514.859807692308</v>
      </c>
      <c r="J32" s="125">
        <f>I32*R31</f>
        <v>60730243.721538462</v>
      </c>
      <c r="K32" s="285"/>
      <c r="L32" s="294"/>
      <c r="M32" s="255"/>
      <c r="N32" s="261"/>
      <c r="O32" s="294"/>
      <c r="P32" s="255"/>
      <c r="Q32" s="261"/>
      <c r="R32" s="267"/>
    </row>
    <row r="33" spans="1:18" ht="16.5">
      <c r="A33" s="314"/>
      <c r="B33" s="158" t="s">
        <v>477</v>
      </c>
      <c r="C33" s="164" t="s">
        <v>483</v>
      </c>
      <c r="D33" s="91">
        <v>6800000</v>
      </c>
      <c r="E33" s="127"/>
      <c r="F33" s="98"/>
      <c r="G33" s="138"/>
      <c r="H33" s="139"/>
      <c r="I33" s="127"/>
      <c r="J33" s="127">
        <f>D33</f>
        <v>6800000</v>
      </c>
      <c r="K33" s="285"/>
      <c r="L33" s="294"/>
      <c r="M33" s="255"/>
      <c r="N33" s="261"/>
      <c r="O33" s="294"/>
      <c r="P33" s="255"/>
      <c r="Q33" s="261"/>
      <c r="R33" s="267"/>
    </row>
    <row r="34" spans="1:18" ht="17" thickBot="1">
      <c r="A34" s="315"/>
      <c r="B34" s="159" t="s">
        <v>475</v>
      </c>
      <c r="C34" s="165" t="s">
        <v>598</v>
      </c>
      <c r="D34" s="110">
        <v>4500000</v>
      </c>
      <c r="E34" s="128"/>
      <c r="F34" s="107"/>
      <c r="G34" s="140"/>
      <c r="H34" s="141"/>
      <c r="I34" s="128"/>
      <c r="J34" s="128">
        <f>D34</f>
        <v>4500000</v>
      </c>
      <c r="K34" s="286"/>
      <c r="L34" s="295"/>
      <c r="M34" s="256"/>
      <c r="N34" s="262"/>
      <c r="O34" s="295"/>
      <c r="P34" s="256"/>
      <c r="Q34" s="262"/>
      <c r="R34" s="268"/>
    </row>
    <row r="35" spans="1:18" ht="16.5">
      <c r="A35" s="313" t="str">
        <f>Variables!G10</f>
        <v>Tiempo promedio de espera para la asignación de cita de Medicina Interna</v>
      </c>
      <c r="B35" s="299" t="s">
        <v>476</v>
      </c>
      <c r="C35" s="161" t="s">
        <v>535</v>
      </c>
      <c r="D35" s="108">
        <f>1401429*1.52*12</f>
        <v>25562064.960000001</v>
      </c>
      <c r="E35" s="124">
        <f>D35/2496</f>
        <v>10241.211923076924</v>
      </c>
      <c r="F35" s="106">
        <v>2.5299999999999998</v>
      </c>
      <c r="G35" s="136">
        <f>60/F35</f>
        <v>23.715415019762847</v>
      </c>
      <c r="H35" s="137">
        <f>F35/60</f>
        <v>4.2166666666666665E-2</v>
      </c>
      <c r="I35" s="121">
        <f>E35/G35</f>
        <v>431.83776942307691</v>
      </c>
      <c r="J35" s="124">
        <f>I35*R35</f>
        <v>1156461.5465150001</v>
      </c>
      <c r="K35" s="284">
        <f>J35+J36+J37+J38</f>
        <v>87192119.276515007</v>
      </c>
      <c r="L35" s="293">
        <v>2306</v>
      </c>
      <c r="M35" s="254">
        <f>(K35*N35)/100</f>
        <v>75080293.895311296</v>
      </c>
      <c r="N35" s="260">
        <f>(L35*100/R35)</f>
        <v>86.109036594473494</v>
      </c>
      <c r="O35" s="293">
        <v>372</v>
      </c>
      <c r="P35" s="254">
        <f>(K35*Q35)/100</f>
        <v>12111825.381203728</v>
      </c>
      <c r="Q35" s="260">
        <f>(O35*100)/R35</f>
        <v>13.890963405526513</v>
      </c>
      <c r="R35" s="266">
        <f>L35+O35</f>
        <v>2678</v>
      </c>
    </row>
    <row r="36" spans="1:18" ht="33">
      <c r="A36" s="314"/>
      <c r="B36" s="300"/>
      <c r="C36" s="164" t="s">
        <v>543</v>
      </c>
      <c r="D36" s="91">
        <f>11456667*12*1.52</f>
        <v>208969606.08000001</v>
      </c>
      <c r="E36" s="125">
        <f>D36/2496</f>
        <v>83721.797307692308</v>
      </c>
      <c r="F36" s="98">
        <v>20</v>
      </c>
      <c r="G36" s="138">
        <f>60/F36</f>
        <v>3</v>
      </c>
      <c r="H36" s="139">
        <f>F36/60</f>
        <v>0.33333333333333331</v>
      </c>
      <c r="I36" s="122">
        <f>E36/G36</f>
        <v>27907.265769230769</v>
      </c>
      <c r="J36" s="125">
        <f>I36*R35</f>
        <v>74735657.730000004</v>
      </c>
      <c r="K36" s="285"/>
      <c r="L36" s="294"/>
      <c r="M36" s="255"/>
      <c r="N36" s="261"/>
      <c r="O36" s="294"/>
      <c r="P36" s="255"/>
      <c r="Q36" s="261"/>
      <c r="R36" s="267"/>
    </row>
    <row r="37" spans="1:18" ht="16.5">
      <c r="A37" s="314"/>
      <c r="B37" s="158" t="s">
        <v>477</v>
      </c>
      <c r="C37" s="164" t="s">
        <v>483</v>
      </c>
      <c r="D37" s="91">
        <v>6800000</v>
      </c>
      <c r="E37" s="127"/>
      <c r="F37" s="98"/>
      <c r="G37" s="138"/>
      <c r="H37" s="139"/>
      <c r="I37" s="127"/>
      <c r="J37" s="127">
        <f>D37</f>
        <v>6800000</v>
      </c>
      <c r="K37" s="285"/>
      <c r="L37" s="294"/>
      <c r="M37" s="255"/>
      <c r="N37" s="261"/>
      <c r="O37" s="294"/>
      <c r="P37" s="255"/>
      <c r="Q37" s="261"/>
      <c r="R37" s="267"/>
    </row>
    <row r="38" spans="1:18" ht="17" thickBot="1">
      <c r="A38" s="315"/>
      <c r="B38" s="159" t="s">
        <v>475</v>
      </c>
      <c r="C38" s="165" t="s">
        <v>598</v>
      </c>
      <c r="D38" s="110">
        <v>4500000</v>
      </c>
      <c r="E38" s="128"/>
      <c r="F38" s="107"/>
      <c r="G38" s="140"/>
      <c r="H38" s="141"/>
      <c r="I38" s="128"/>
      <c r="J38" s="128">
        <f>D38</f>
        <v>4500000</v>
      </c>
      <c r="K38" s="286"/>
      <c r="L38" s="295"/>
      <c r="M38" s="256"/>
      <c r="N38" s="262"/>
      <c r="O38" s="295"/>
      <c r="P38" s="256"/>
      <c r="Q38" s="262"/>
      <c r="R38" s="268"/>
    </row>
    <row r="39" spans="1:18" ht="16.5">
      <c r="A39" s="313" t="str">
        <f>Variables!G11</f>
        <v>Proporción de gestantes con consulta de control prenatal de primera vez antes de las 12 semanas de gestación</v>
      </c>
      <c r="B39" s="299" t="s">
        <v>476</v>
      </c>
      <c r="C39" s="161" t="s">
        <v>535</v>
      </c>
      <c r="D39" s="108">
        <f>1401429*1.52*12</f>
        <v>25562064.960000001</v>
      </c>
      <c r="E39" s="124">
        <f>D39/2496</f>
        <v>10241.211923076924</v>
      </c>
      <c r="F39" s="106">
        <v>2.5299999999999998</v>
      </c>
      <c r="G39" s="136">
        <f>60/F39</f>
        <v>23.715415019762847</v>
      </c>
      <c r="H39" s="137">
        <f>F39/60</f>
        <v>4.2166666666666665E-2</v>
      </c>
      <c r="I39" s="121">
        <f>E39/G39</f>
        <v>431.83776942307691</v>
      </c>
      <c r="J39" s="124">
        <f>I39*R39</f>
        <v>959111.68588865385</v>
      </c>
      <c r="K39" s="284">
        <f>J39+J40+J41+J42</f>
        <v>36957769.806016862</v>
      </c>
      <c r="L39" s="310">
        <v>229</v>
      </c>
      <c r="M39" s="254">
        <f>(K39*N39)/100</f>
        <v>3810594.0052129049</v>
      </c>
      <c r="N39" s="260">
        <f>(L39*100/R39)</f>
        <v>10.310670868977938</v>
      </c>
      <c r="O39" s="310">
        <f>2221-L39</f>
        <v>1992</v>
      </c>
      <c r="P39" s="254">
        <f>(K39*Q39)/100</f>
        <v>33147175.800803956</v>
      </c>
      <c r="Q39" s="260">
        <f>(O39*100)/R39</f>
        <v>89.689329131022063</v>
      </c>
      <c r="R39" s="266">
        <f>L39+O39</f>
        <v>2221</v>
      </c>
    </row>
    <row r="40" spans="1:18" ht="16.5">
      <c r="A40" s="314"/>
      <c r="B40" s="300"/>
      <c r="C40" s="164" t="s">
        <v>536</v>
      </c>
      <c r="D40" s="90">
        <f>4565263*12*1.52</f>
        <v>83270397.120000005</v>
      </c>
      <c r="E40" s="125">
        <f>D40/2496</f>
        <v>33361.537307692306</v>
      </c>
      <c r="F40" s="98">
        <v>20</v>
      </c>
      <c r="G40" s="138">
        <f>60/F40</f>
        <v>3</v>
      </c>
      <c r="H40" s="139">
        <f>F40/60</f>
        <v>0.33333333333333331</v>
      </c>
      <c r="I40" s="122">
        <f>E40/G40</f>
        <v>11120.512435897435</v>
      </c>
      <c r="J40" s="125">
        <f>I40*R39</f>
        <v>24698658.120128203</v>
      </c>
      <c r="K40" s="285"/>
      <c r="L40" s="311"/>
      <c r="M40" s="255"/>
      <c r="N40" s="261"/>
      <c r="O40" s="311"/>
      <c r="P40" s="255"/>
      <c r="Q40" s="261"/>
      <c r="R40" s="267"/>
    </row>
    <row r="41" spans="1:18" ht="16.5">
      <c r="A41" s="314"/>
      <c r="B41" s="158" t="s">
        <v>477</v>
      </c>
      <c r="C41" s="164" t="s">
        <v>483</v>
      </c>
      <c r="D41" s="91">
        <v>6800000</v>
      </c>
      <c r="E41" s="127"/>
      <c r="F41" s="98"/>
      <c r="G41" s="138"/>
      <c r="H41" s="139"/>
      <c r="I41" s="127"/>
      <c r="J41" s="127">
        <f>D41</f>
        <v>6800000</v>
      </c>
      <c r="K41" s="285"/>
      <c r="L41" s="311"/>
      <c r="M41" s="255"/>
      <c r="N41" s="261"/>
      <c r="O41" s="311"/>
      <c r="P41" s="255"/>
      <c r="Q41" s="261"/>
      <c r="R41" s="267"/>
    </row>
    <row r="42" spans="1:18" ht="17" thickBot="1">
      <c r="A42" s="315"/>
      <c r="B42" s="159" t="s">
        <v>475</v>
      </c>
      <c r="C42" s="165" t="s">
        <v>598</v>
      </c>
      <c r="D42" s="110">
        <v>4500000</v>
      </c>
      <c r="E42" s="128"/>
      <c r="F42" s="107"/>
      <c r="G42" s="140"/>
      <c r="H42" s="141"/>
      <c r="I42" s="128"/>
      <c r="J42" s="128">
        <f>D42</f>
        <v>4500000</v>
      </c>
      <c r="K42" s="286"/>
      <c r="L42" s="312"/>
      <c r="M42" s="256"/>
      <c r="N42" s="262"/>
      <c r="O42" s="312"/>
      <c r="P42" s="256"/>
      <c r="Q42" s="262"/>
      <c r="R42" s="268"/>
    </row>
    <row r="43" spans="1:18" ht="16.5">
      <c r="A43" s="313" t="str">
        <f>Variables!G12</f>
        <v>Tiempo promedio de espera para la asignación de las citas por primera vez - Odontología General</v>
      </c>
      <c r="B43" s="299" t="s">
        <v>476</v>
      </c>
      <c r="C43" s="161" t="s">
        <v>535</v>
      </c>
      <c r="D43" s="108">
        <f>1401429*1.52*12</f>
        <v>25562064.960000001</v>
      </c>
      <c r="E43" s="124">
        <f>D43/2496</f>
        <v>10241.211923076924</v>
      </c>
      <c r="F43" s="106">
        <v>2.5299999999999998</v>
      </c>
      <c r="G43" s="136">
        <f>60/F43</f>
        <v>23.715415019762847</v>
      </c>
      <c r="H43" s="137">
        <f>F43/60</f>
        <v>4.2166666666666665E-2</v>
      </c>
      <c r="I43" s="121">
        <f>E43/G43</f>
        <v>431.83776942307691</v>
      </c>
      <c r="J43" s="124">
        <f>I43*R43</f>
        <v>6487066.9722734615</v>
      </c>
      <c r="K43" s="284">
        <f>J43+J44+J45+J46</f>
        <v>197819959.27996579</v>
      </c>
      <c r="L43" s="293">
        <v>10581</v>
      </c>
      <c r="M43" s="254">
        <f>(K43*N43)/100</f>
        <v>139337837.11498588</v>
      </c>
      <c r="N43" s="260">
        <f>(L43*100)/R43</f>
        <v>70.436692850485954</v>
      </c>
      <c r="O43" s="293">
        <v>4441</v>
      </c>
      <c r="P43" s="254">
        <f>(K43*Q43)/100</f>
        <v>58482122.164979897</v>
      </c>
      <c r="Q43" s="260">
        <f>(O43*100)/R43</f>
        <v>29.563307149514046</v>
      </c>
      <c r="R43" s="266">
        <f>L43+O43</f>
        <v>15022</v>
      </c>
    </row>
    <row r="44" spans="1:18" ht="16.5">
      <c r="A44" s="314"/>
      <c r="B44" s="300"/>
      <c r="C44" s="164" t="s">
        <v>600</v>
      </c>
      <c r="D44" s="91">
        <f>2460000*12*1.52</f>
        <v>44870400</v>
      </c>
      <c r="E44" s="125">
        <f>D44/2496</f>
        <v>17976.923076923078</v>
      </c>
      <c r="F44" s="98">
        <v>40</v>
      </c>
      <c r="G44" s="138">
        <f>60/F44</f>
        <v>1.5</v>
      </c>
      <c r="H44" s="139">
        <f>F44/60</f>
        <v>0.66666666666666663</v>
      </c>
      <c r="I44" s="122">
        <f>E44/G44</f>
        <v>11984.615384615385</v>
      </c>
      <c r="J44" s="125">
        <f>I44*R43</f>
        <v>180032892.30769232</v>
      </c>
      <c r="K44" s="285"/>
      <c r="L44" s="294"/>
      <c r="M44" s="255"/>
      <c r="N44" s="261"/>
      <c r="O44" s="294"/>
      <c r="P44" s="255"/>
      <c r="Q44" s="261"/>
      <c r="R44" s="267"/>
    </row>
    <row r="45" spans="1:18" ht="16.5">
      <c r="A45" s="314"/>
      <c r="B45" s="158" t="s">
        <v>477</v>
      </c>
      <c r="C45" s="164" t="s">
        <v>483</v>
      </c>
      <c r="D45" s="91">
        <v>6800000</v>
      </c>
      <c r="E45" s="127"/>
      <c r="F45" s="98"/>
      <c r="G45" s="138"/>
      <c r="H45" s="139"/>
      <c r="I45" s="127"/>
      <c r="J45" s="127">
        <f>D45</f>
        <v>6800000</v>
      </c>
      <c r="K45" s="285"/>
      <c r="L45" s="294"/>
      <c r="M45" s="255"/>
      <c r="N45" s="261"/>
      <c r="O45" s="294"/>
      <c r="P45" s="255"/>
      <c r="Q45" s="261"/>
      <c r="R45" s="267"/>
    </row>
    <row r="46" spans="1:18" ht="17" thickBot="1">
      <c r="A46" s="315"/>
      <c r="B46" s="159" t="s">
        <v>475</v>
      </c>
      <c r="C46" s="165" t="s">
        <v>598</v>
      </c>
      <c r="D46" s="110">
        <v>4500000</v>
      </c>
      <c r="E46" s="128"/>
      <c r="F46" s="107"/>
      <c r="G46" s="140"/>
      <c r="H46" s="141"/>
      <c r="I46" s="128"/>
      <c r="J46" s="128">
        <f>D46</f>
        <v>4500000</v>
      </c>
      <c r="K46" s="286"/>
      <c r="L46" s="295"/>
      <c r="M46" s="256"/>
      <c r="N46" s="262"/>
      <c r="O46" s="295"/>
      <c r="P46" s="256"/>
      <c r="Q46" s="262"/>
      <c r="R46" s="268"/>
    </row>
    <row r="47" spans="1:18" ht="16.5">
      <c r="A47" s="313" t="str">
        <f>Variables!G13</f>
        <v xml:space="preserve">Tiempo promedio de espera para la entrega de resultados Imágenes Diagnosticas	</v>
      </c>
      <c r="B47" s="316" t="s">
        <v>476</v>
      </c>
      <c r="C47" s="161" t="s">
        <v>601</v>
      </c>
      <c r="D47" s="111">
        <f>1750000*12*1.52</f>
        <v>31920000</v>
      </c>
      <c r="E47" s="124">
        <f>D47/2496</f>
        <v>12788.461538461539</v>
      </c>
      <c r="F47" s="112">
        <v>20</v>
      </c>
      <c r="G47" s="136">
        <f>60/F47</f>
        <v>3</v>
      </c>
      <c r="H47" s="137">
        <f>F47/60</f>
        <v>0.33333333333333331</v>
      </c>
      <c r="I47" s="121">
        <f>E47/G47</f>
        <v>4262.8205128205127</v>
      </c>
      <c r="J47" s="124">
        <f>I47*R47</f>
        <v>90943012.820512816</v>
      </c>
      <c r="K47" s="284">
        <f>J47+J48+J49+J50+J51</f>
        <v>321202221.32962167</v>
      </c>
      <c r="L47" s="263">
        <v>21331</v>
      </c>
      <c r="M47" s="254">
        <f>(K47*N47)/100</f>
        <v>321157053.67873633</v>
      </c>
      <c r="N47" s="260">
        <f>(L47*100)/R47</f>
        <v>99.985937939439395</v>
      </c>
      <c r="O47" s="263">
        <v>3</v>
      </c>
      <c r="P47" s="254">
        <f>(K47*Q47)/100</f>
        <v>45167.650885387884</v>
      </c>
      <c r="Q47" s="260">
        <f>(O47*100)/R47</f>
        <v>1.4062060560607482E-2</v>
      </c>
      <c r="R47" s="266">
        <f>L47+O47</f>
        <v>21334</v>
      </c>
    </row>
    <row r="48" spans="1:18" ht="16.5">
      <c r="A48" s="314"/>
      <c r="B48" s="317"/>
      <c r="C48" s="164" t="s">
        <v>602</v>
      </c>
      <c r="D48" s="90">
        <f>1401429*1.52*12</f>
        <v>25562064.960000001</v>
      </c>
      <c r="E48" s="125">
        <f>D48/2496</f>
        <v>10241.211923076924</v>
      </c>
      <c r="F48" s="97">
        <v>5.97</v>
      </c>
      <c r="G48" s="138">
        <f>60/F48</f>
        <v>10.050251256281408</v>
      </c>
      <c r="H48" s="139">
        <f>F48/60</f>
        <v>9.9499999999999991E-2</v>
      </c>
      <c r="I48" s="122">
        <f>E48/G48</f>
        <v>1019.0005863461538</v>
      </c>
      <c r="J48" s="125">
        <f>I48*R47</f>
        <v>21739358.509108845</v>
      </c>
      <c r="K48" s="285"/>
      <c r="L48" s="264"/>
      <c r="M48" s="255"/>
      <c r="N48" s="261"/>
      <c r="O48" s="264"/>
      <c r="P48" s="255"/>
      <c r="Q48" s="261"/>
      <c r="R48" s="267"/>
    </row>
    <row r="49" spans="1:18" ht="16.5">
      <c r="A49" s="314"/>
      <c r="B49" s="300" t="s">
        <v>477</v>
      </c>
      <c r="C49" s="164" t="s">
        <v>603</v>
      </c>
      <c r="D49" s="91">
        <v>122023128</v>
      </c>
      <c r="E49" s="127"/>
      <c r="F49" s="98"/>
      <c r="G49" s="138"/>
      <c r="H49" s="139"/>
      <c r="I49" s="127"/>
      <c r="J49" s="127">
        <f>D49</f>
        <v>122023128</v>
      </c>
      <c r="K49" s="285"/>
      <c r="L49" s="264"/>
      <c r="M49" s="255"/>
      <c r="N49" s="261"/>
      <c r="O49" s="264"/>
      <c r="P49" s="255"/>
      <c r="Q49" s="261"/>
      <c r="R49" s="267"/>
    </row>
    <row r="50" spans="1:18" ht="16.5">
      <c r="A50" s="314"/>
      <c r="B50" s="300"/>
      <c r="C50" s="164" t="s">
        <v>604</v>
      </c>
      <c r="D50" s="91">
        <f>81996722</f>
        <v>81996722</v>
      </c>
      <c r="E50" s="127"/>
      <c r="F50" s="98"/>
      <c r="G50" s="138"/>
      <c r="H50" s="139"/>
      <c r="I50" s="127"/>
      <c r="J50" s="127">
        <f>D50</f>
        <v>81996722</v>
      </c>
      <c r="K50" s="285"/>
      <c r="L50" s="264"/>
      <c r="M50" s="255"/>
      <c r="N50" s="261"/>
      <c r="O50" s="264"/>
      <c r="P50" s="255"/>
      <c r="Q50" s="261"/>
      <c r="R50" s="267"/>
    </row>
    <row r="51" spans="1:18" ht="17" thickBot="1">
      <c r="A51" s="315"/>
      <c r="B51" s="159" t="s">
        <v>475</v>
      </c>
      <c r="C51" s="165" t="s">
        <v>598</v>
      </c>
      <c r="D51" s="110">
        <v>4500000</v>
      </c>
      <c r="E51" s="128"/>
      <c r="F51" s="107"/>
      <c r="G51" s="140"/>
      <c r="H51" s="141"/>
      <c r="I51" s="128"/>
      <c r="J51" s="128">
        <f>D51</f>
        <v>4500000</v>
      </c>
      <c r="K51" s="286"/>
      <c r="L51" s="265"/>
      <c r="M51" s="256"/>
      <c r="N51" s="262"/>
      <c r="O51" s="265"/>
      <c r="P51" s="256"/>
      <c r="Q51" s="262"/>
      <c r="R51" s="268"/>
    </row>
    <row r="52" spans="1:18" ht="16.5">
      <c r="A52" s="313" t="str">
        <f>Variables!G14</f>
        <v>Letalidad en menores de 5 años por enfermedad diarreica aguda (EDA)</v>
      </c>
      <c r="B52" s="299" t="s">
        <v>476</v>
      </c>
      <c r="C52" s="161" t="s">
        <v>544</v>
      </c>
      <c r="D52" s="113">
        <f>4178751*12*1.52</f>
        <v>76220418.239999995</v>
      </c>
      <c r="E52" s="124">
        <f>D52/2496</f>
        <v>30537.026538461538</v>
      </c>
      <c r="F52" s="106">
        <v>18.8</v>
      </c>
      <c r="G52" s="136">
        <f>60/F52</f>
        <v>3.1914893617021276</v>
      </c>
      <c r="H52" s="137">
        <f>F52/60</f>
        <v>0.31333333333333335</v>
      </c>
      <c r="I52" s="121">
        <f>E52/G52</f>
        <v>9568.2683153846156</v>
      </c>
      <c r="J52" s="124">
        <f>I52*R52</f>
        <v>3157528.5440769233</v>
      </c>
      <c r="K52" s="318">
        <f>J52+J53+J54+J55+J56+J57</f>
        <v>239697926.0835</v>
      </c>
      <c r="L52" s="304">
        <v>330</v>
      </c>
      <c r="M52" s="281">
        <f>(K52*N52)/100</f>
        <v>239697926.0835</v>
      </c>
      <c r="N52" s="324">
        <f>(L52*100)/R52</f>
        <v>100</v>
      </c>
      <c r="O52" s="304">
        <v>0</v>
      </c>
      <c r="P52" s="281">
        <f>(K52*Q52)/100</f>
        <v>0</v>
      </c>
      <c r="Q52" s="324">
        <f>(O52*100)/R52</f>
        <v>0</v>
      </c>
      <c r="R52" s="266">
        <f>L52+O52</f>
        <v>330</v>
      </c>
    </row>
    <row r="53" spans="1:18" ht="16.5">
      <c r="A53" s="314"/>
      <c r="B53" s="300"/>
      <c r="C53" s="164" t="s">
        <v>545</v>
      </c>
      <c r="D53" s="91">
        <f>2897692*12*1.52</f>
        <v>52853902.079999998</v>
      </c>
      <c r="E53" s="125">
        <f>D53/2496</f>
        <v>21175.441538461539</v>
      </c>
      <c r="F53" s="97">
        <v>15</v>
      </c>
      <c r="G53" s="138">
        <f>60/F53</f>
        <v>4</v>
      </c>
      <c r="H53" s="139">
        <f>F53/60</f>
        <v>0.25</v>
      </c>
      <c r="I53" s="122">
        <f>E53/G53</f>
        <v>5293.8603846153846</v>
      </c>
      <c r="J53" s="125">
        <f>I53*R52</f>
        <v>1746973.9269230769</v>
      </c>
      <c r="K53" s="319"/>
      <c r="L53" s="305"/>
      <c r="M53" s="282"/>
      <c r="N53" s="325"/>
      <c r="O53" s="305"/>
      <c r="P53" s="282"/>
      <c r="Q53" s="325"/>
      <c r="R53" s="267"/>
    </row>
    <row r="54" spans="1:18" ht="15" customHeight="1">
      <c r="A54" s="314"/>
      <c r="B54" s="300"/>
      <c r="C54" s="164" t="s">
        <v>605</v>
      </c>
      <c r="D54" s="90">
        <f>1471951*12*1.52</f>
        <v>26848386.240000002</v>
      </c>
      <c r="E54" s="125">
        <f>D54/2496</f>
        <v>10756.565000000001</v>
      </c>
      <c r="F54" s="97">
        <v>15</v>
      </c>
      <c r="G54" s="138">
        <f>60/F54</f>
        <v>4</v>
      </c>
      <c r="H54" s="139">
        <f>F54/60</f>
        <v>0.25</v>
      </c>
      <c r="I54" s="122">
        <f>E54/G54</f>
        <v>2689.1412500000001</v>
      </c>
      <c r="J54" s="125">
        <f>I54*R52</f>
        <v>887416.61250000005</v>
      </c>
      <c r="K54" s="319"/>
      <c r="L54" s="305"/>
      <c r="M54" s="282"/>
      <c r="N54" s="325"/>
      <c r="O54" s="305"/>
      <c r="P54" s="282"/>
      <c r="Q54" s="325"/>
      <c r="R54" s="267"/>
    </row>
    <row r="55" spans="1:18" ht="33">
      <c r="A55" s="314"/>
      <c r="B55" s="158" t="s">
        <v>477</v>
      </c>
      <c r="C55" s="164" t="s">
        <v>606</v>
      </c>
      <c r="D55" s="91">
        <v>122023128</v>
      </c>
      <c r="E55" s="127"/>
      <c r="F55" s="98"/>
      <c r="G55" s="138"/>
      <c r="H55" s="139"/>
      <c r="I55" s="127"/>
      <c r="J55" s="127">
        <f>D55</f>
        <v>122023128</v>
      </c>
      <c r="K55" s="319"/>
      <c r="L55" s="305"/>
      <c r="M55" s="282"/>
      <c r="N55" s="325"/>
      <c r="O55" s="305"/>
      <c r="P55" s="282"/>
      <c r="Q55" s="325"/>
      <c r="R55" s="267"/>
    </row>
    <row r="56" spans="1:18" ht="33">
      <c r="A56" s="314"/>
      <c r="B56" s="158" t="s">
        <v>477</v>
      </c>
      <c r="C56" s="164" t="s">
        <v>607</v>
      </c>
      <c r="D56" s="91">
        <f>2352989+105029890</f>
        <v>107382879</v>
      </c>
      <c r="E56" s="127"/>
      <c r="F56" s="98"/>
      <c r="G56" s="138"/>
      <c r="H56" s="139"/>
      <c r="I56" s="127"/>
      <c r="J56" s="127">
        <f>D56</f>
        <v>107382879</v>
      </c>
      <c r="K56" s="319"/>
      <c r="L56" s="305"/>
      <c r="M56" s="282"/>
      <c r="N56" s="325"/>
      <c r="O56" s="305"/>
      <c r="P56" s="282"/>
      <c r="Q56" s="325"/>
      <c r="R56" s="267"/>
    </row>
    <row r="57" spans="1:18" ht="17" thickBot="1">
      <c r="A57" s="315"/>
      <c r="B57" s="159" t="s">
        <v>475</v>
      </c>
      <c r="C57" s="165" t="s">
        <v>598</v>
      </c>
      <c r="D57" s="110">
        <v>4500000</v>
      </c>
      <c r="E57" s="128"/>
      <c r="F57" s="107"/>
      <c r="G57" s="140"/>
      <c r="H57" s="141"/>
      <c r="I57" s="128"/>
      <c r="J57" s="128">
        <f>D57</f>
        <v>4500000</v>
      </c>
      <c r="K57" s="320"/>
      <c r="L57" s="306"/>
      <c r="M57" s="283"/>
      <c r="N57" s="326"/>
      <c r="O57" s="306"/>
      <c r="P57" s="283"/>
      <c r="Q57" s="326"/>
      <c r="R57" s="268"/>
    </row>
    <row r="58" spans="1:18" ht="16.5">
      <c r="A58" s="313" t="str">
        <f>Variables!G15</f>
        <v>Estancia media en la UCI</v>
      </c>
      <c r="B58" s="299" t="s">
        <v>476</v>
      </c>
      <c r="C58" s="161" t="s">
        <v>608</v>
      </c>
      <c r="D58" s="114">
        <f>11456667*12*1.52</f>
        <v>208969606.08000001</v>
      </c>
      <c r="E58" s="124">
        <f>D58/2496</f>
        <v>83721.797307692308</v>
      </c>
      <c r="F58" s="112">
        <v>45</v>
      </c>
      <c r="G58" s="136">
        <f>60/F58</f>
        <v>1.3333333333333333</v>
      </c>
      <c r="H58" s="137">
        <f>F58/60</f>
        <v>0.75</v>
      </c>
      <c r="I58" s="121">
        <f>E58/G58</f>
        <v>62791.347980769235</v>
      </c>
      <c r="J58" s="124">
        <f>I58*R58</f>
        <v>7534961.7576923082</v>
      </c>
      <c r="K58" s="307">
        <f>J58+J59+J60+J61+J62</f>
        <v>565763871.29615378</v>
      </c>
      <c r="L58" s="275">
        <v>103</v>
      </c>
      <c r="M58" s="257">
        <f>(K58*N58)/100</f>
        <v>485613989.52919859</v>
      </c>
      <c r="N58" s="269">
        <f>(L58*100)/R58</f>
        <v>85.833333333333329</v>
      </c>
      <c r="O58" s="275">
        <f>120-103</f>
        <v>17</v>
      </c>
      <c r="P58" s="257">
        <f>(K58*Q58)/100</f>
        <v>80149881.766955122</v>
      </c>
      <c r="Q58" s="269">
        <f>(O58*100)/R58</f>
        <v>14.166666666666666</v>
      </c>
      <c r="R58" s="266">
        <f>SUM(L58+O58)</f>
        <v>120</v>
      </c>
    </row>
    <row r="59" spans="1:18" ht="17.25" customHeight="1">
      <c r="A59" s="314"/>
      <c r="B59" s="300"/>
      <c r="C59" s="164" t="s">
        <v>546</v>
      </c>
      <c r="D59" s="92">
        <f>1800000*12*1.52</f>
        <v>32832000</v>
      </c>
      <c r="E59" s="125">
        <f>D59/2496</f>
        <v>13153.846153846154</v>
      </c>
      <c r="F59" s="98">
        <v>60</v>
      </c>
      <c r="G59" s="138">
        <f>60/F59</f>
        <v>1</v>
      </c>
      <c r="H59" s="139">
        <f>F59/60</f>
        <v>1</v>
      </c>
      <c r="I59" s="122">
        <f>E59/G59</f>
        <v>13153.846153846154</v>
      </c>
      <c r="J59" s="125">
        <f>I59*R58</f>
        <v>1578461.5384615385</v>
      </c>
      <c r="K59" s="308"/>
      <c r="L59" s="276"/>
      <c r="M59" s="258"/>
      <c r="N59" s="270"/>
      <c r="O59" s="276"/>
      <c r="P59" s="258"/>
      <c r="Q59" s="270"/>
      <c r="R59" s="267"/>
    </row>
    <row r="60" spans="1:18" ht="16.5">
      <c r="A60" s="314"/>
      <c r="B60" s="158" t="s">
        <v>475</v>
      </c>
      <c r="C60" s="164" t="s">
        <v>442</v>
      </c>
      <c r="D60" s="92">
        <v>1454500</v>
      </c>
      <c r="E60" s="129"/>
      <c r="F60" s="100"/>
      <c r="G60" s="146"/>
      <c r="H60" s="147"/>
      <c r="I60" s="129"/>
      <c r="J60" s="129">
        <f>D60</f>
        <v>1454500</v>
      </c>
      <c r="K60" s="308"/>
      <c r="L60" s="276"/>
      <c r="M60" s="258"/>
      <c r="N60" s="270"/>
      <c r="O60" s="276"/>
      <c r="P60" s="258"/>
      <c r="Q60" s="270"/>
      <c r="R60" s="267"/>
    </row>
    <row r="61" spans="1:18" ht="16.5">
      <c r="A61" s="314"/>
      <c r="B61" s="300" t="s">
        <v>477</v>
      </c>
      <c r="C61" s="164" t="s">
        <v>609</v>
      </c>
      <c r="D61" s="92">
        <v>240000000</v>
      </c>
      <c r="E61" s="130"/>
      <c r="F61" s="101"/>
      <c r="G61" s="148"/>
      <c r="H61" s="147"/>
      <c r="I61" s="130"/>
      <c r="J61" s="130">
        <f>D61</f>
        <v>240000000</v>
      </c>
      <c r="K61" s="308"/>
      <c r="L61" s="276"/>
      <c r="M61" s="258"/>
      <c r="N61" s="270"/>
      <c r="O61" s="276"/>
      <c r="P61" s="258"/>
      <c r="Q61" s="270"/>
      <c r="R61" s="267"/>
    </row>
    <row r="62" spans="1:18" ht="17" thickBot="1">
      <c r="A62" s="315"/>
      <c r="B62" s="301"/>
      <c r="C62" s="165" t="s">
        <v>610</v>
      </c>
      <c r="D62" s="115">
        <v>315195948</v>
      </c>
      <c r="E62" s="131"/>
      <c r="F62" s="116"/>
      <c r="G62" s="149"/>
      <c r="H62" s="150"/>
      <c r="I62" s="131"/>
      <c r="J62" s="131">
        <f>D62</f>
        <v>315195948</v>
      </c>
      <c r="K62" s="309"/>
      <c r="L62" s="277"/>
      <c r="M62" s="259"/>
      <c r="N62" s="271"/>
      <c r="O62" s="277"/>
      <c r="P62" s="259"/>
      <c r="Q62" s="271"/>
      <c r="R62" s="268"/>
    </row>
    <row r="63" spans="1:18" ht="16.5">
      <c r="A63" s="327" t="str">
        <f>Variables!G16</f>
        <v>Porcentaje de ocupación en la UCI</v>
      </c>
      <c r="B63" s="299" t="s">
        <v>476</v>
      </c>
      <c r="C63" s="161" t="s">
        <v>608</v>
      </c>
      <c r="D63" s="114">
        <f>11456667*12*1.54</f>
        <v>211719206.16</v>
      </c>
      <c r="E63" s="124">
        <f>D63/2496</f>
        <v>84823.399903846148</v>
      </c>
      <c r="F63" s="117">
        <f>$F$58</f>
        <v>45</v>
      </c>
      <c r="G63" s="136">
        <f>60/F63</f>
        <v>1.3333333333333333</v>
      </c>
      <c r="H63" s="137">
        <f>F63/60</f>
        <v>0.75</v>
      </c>
      <c r="I63" s="121">
        <f>E63/G63</f>
        <v>63617.549927884611</v>
      </c>
      <c r="J63" s="124">
        <f>I63*R63</f>
        <v>55538121.087043263</v>
      </c>
      <c r="K63" s="307">
        <f>J63+J64+J65+J66+J67</f>
        <v>623822972.93319714</v>
      </c>
      <c r="L63" s="272">
        <v>458</v>
      </c>
      <c r="M63" s="257">
        <f>(K63*N63)/100</f>
        <v>327274824.2879774</v>
      </c>
      <c r="N63" s="278">
        <f>(L63*100)/R63</f>
        <v>52.462772050400915</v>
      </c>
      <c r="O63" s="272">
        <v>415</v>
      </c>
      <c r="P63" s="257">
        <f>(K63*Q63)/100</f>
        <v>296548148.64521974</v>
      </c>
      <c r="Q63" s="278">
        <f>(O63*100)/R63</f>
        <v>47.537227949599085</v>
      </c>
      <c r="R63" s="266">
        <f>L63+O63</f>
        <v>873</v>
      </c>
    </row>
    <row r="64" spans="1:18" ht="16.5">
      <c r="A64" s="328"/>
      <c r="B64" s="300"/>
      <c r="C64" s="164" t="s">
        <v>546</v>
      </c>
      <c r="D64" s="92">
        <f>1800000*12*1.54</f>
        <v>33264000</v>
      </c>
      <c r="E64" s="125">
        <f>D64/2496</f>
        <v>13326.923076923076</v>
      </c>
      <c r="F64" s="101">
        <f>$F$59</f>
        <v>60</v>
      </c>
      <c r="G64" s="138">
        <f>60/F64</f>
        <v>1</v>
      </c>
      <c r="H64" s="139">
        <f>F64/60</f>
        <v>1</v>
      </c>
      <c r="I64" s="122">
        <f>E64/G64</f>
        <v>13326.923076923076</v>
      </c>
      <c r="J64" s="125">
        <f>I64*R63</f>
        <v>11634403.846153846</v>
      </c>
      <c r="K64" s="308"/>
      <c r="L64" s="273"/>
      <c r="M64" s="258"/>
      <c r="N64" s="279"/>
      <c r="O64" s="273"/>
      <c r="P64" s="258"/>
      <c r="Q64" s="279"/>
      <c r="R64" s="267"/>
    </row>
    <row r="65" spans="1:21" ht="15" customHeight="1">
      <c r="A65" s="328"/>
      <c r="B65" s="158" t="s">
        <v>475</v>
      </c>
      <c r="C65" s="164" t="s">
        <v>442</v>
      </c>
      <c r="D65" s="92">
        <v>1454500</v>
      </c>
      <c r="E65" s="130"/>
      <c r="F65" s="101"/>
      <c r="G65" s="148"/>
      <c r="H65" s="147"/>
      <c r="I65" s="130"/>
      <c r="J65" s="130">
        <f>D65</f>
        <v>1454500</v>
      </c>
      <c r="K65" s="308"/>
      <c r="L65" s="273"/>
      <c r="M65" s="258"/>
      <c r="N65" s="279"/>
      <c r="O65" s="273"/>
      <c r="P65" s="258"/>
      <c r="Q65" s="279"/>
      <c r="R65" s="267"/>
    </row>
    <row r="66" spans="1:21" ht="16.5">
      <c r="A66" s="328"/>
      <c r="B66" s="300" t="s">
        <v>477</v>
      </c>
      <c r="C66" s="164" t="s">
        <v>609</v>
      </c>
      <c r="D66" s="92">
        <v>240000000</v>
      </c>
      <c r="E66" s="130"/>
      <c r="F66" s="101"/>
      <c r="G66" s="148"/>
      <c r="H66" s="147"/>
      <c r="I66" s="130"/>
      <c r="J66" s="130">
        <f>D66</f>
        <v>240000000</v>
      </c>
      <c r="K66" s="308"/>
      <c r="L66" s="273"/>
      <c r="M66" s="258"/>
      <c r="N66" s="279"/>
      <c r="O66" s="273"/>
      <c r="P66" s="258"/>
      <c r="Q66" s="279"/>
      <c r="R66" s="267"/>
    </row>
    <row r="67" spans="1:21" ht="17" thickBot="1">
      <c r="A67" s="329"/>
      <c r="B67" s="301"/>
      <c r="C67" s="165" t="s">
        <v>611</v>
      </c>
      <c r="D67" s="115">
        <v>315195948</v>
      </c>
      <c r="E67" s="131"/>
      <c r="F67" s="116"/>
      <c r="G67" s="149"/>
      <c r="H67" s="150"/>
      <c r="I67" s="131"/>
      <c r="J67" s="131">
        <f>D67</f>
        <v>315195948</v>
      </c>
      <c r="K67" s="309"/>
      <c r="L67" s="274"/>
      <c r="M67" s="259"/>
      <c r="N67" s="280"/>
      <c r="O67" s="274"/>
      <c r="P67" s="259"/>
      <c r="Q67" s="280"/>
      <c r="R67" s="268"/>
    </row>
    <row r="68" spans="1:21" ht="41.5" customHeight="1">
      <c r="A68" s="321" t="str">
        <f>Variables!G17</f>
        <v>Tasa de reingreso de pacientes hospitalizados en menos de 15 días</v>
      </c>
      <c r="B68" s="299" t="s">
        <v>477</v>
      </c>
      <c r="C68" s="161" t="s">
        <v>612</v>
      </c>
      <c r="D68" s="108">
        <f>2352989+105029890</f>
        <v>107382879</v>
      </c>
      <c r="E68" s="124"/>
      <c r="F68" s="118"/>
      <c r="G68" s="151"/>
      <c r="H68" s="152"/>
      <c r="I68" s="124"/>
      <c r="J68" s="124">
        <f>D68</f>
        <v>107382879</v>
      </c>
      <c r="K68" s="284">
        <f>J68+J69+J70+J71+J72+J73+J74</f>
        <v>300968652.40736377</v>
      </c>
      <c r="L68" s="263">
        <v>1681</v>
      </c>
      <c r="M68" s="254">
        <f>(K68*N68)/100</f>
        <v>300610995.0664162</v>
      </c>
      <c r="N68" s="260">
        <f>(L68*100)/R68</f>
        <v>99.881164587046939</v>
      </c>
      <c r="O68" s="263">
        <v>2</v>
      </c>
      <c r="P68" s="254">
        <f>(K68*Q68)/100</f>
        <v>357657.34094755055</v>
      </c>
      <c r="Q68" s="260">
        <f>(O68*100)/R68</f>
        <v>0.11883541295306001</v>
      </c>
      <c r="R68" s="266">
        <f>L68+O68</f>
        <v>1683</v>
      </c>
    </row>
    <row r="69" spans="1:21" ht="34.5" customHeight="1">
      <c r="A69" s="322"/>
      <c r="B69" s="300"/>
      <c r="C69" s="164" t="s">
        <v>606</v>
      </c>
      <c r="D69" s="90">
        <f>732138766/6</f>
        <v>122023127.66666667</v>
      </c>
      <c r="E69" s="125"/>
      <c r="F69" s="99"/>
      <c r="G69" s="142"/>
      <c r="H69" s="143"/>
      <c r="I69" s="125"/>
      <c r="J69" s="125">
        <f>D69</f>
        <v>122023127.66666667</v>
      </c>
      <c r="K69" s="285"/>
      <c r="L69" s="264"/>
      <c r="M69" s="255"/>
      <c r="N69" s="261"/>
      <c r="O69" s="264"/>
      <c r="P69" s="255"/>
      <c r="Q69" s="261"/>
      <c r="R69" s="267"/>
    </row>
    <row r="70" spans="1:21" ht="16.5">
      <c r="A70" s="322"/>
      <c r="B70" s="300" t="s">
        <v>476</v>
      </c>
      <c r="C70" s="166" t="s">
        <v>547</v>
      </c>
      <c r="D70" s="91">
        <f>2897692*12*1.54</f>
        <v>53549348.160000004</v>
      </c>
      <c r="E70" s="125">
        <f>D70/2496</f>
        <v>21454.065769230772</v>
      </c>
      <c r="F70" s="97">
        <v>15</v>
      </c>
      <c r="G70" s="138">
        <f>60/F70</f>
        <v>4</v>
      </c>
      <c r="H70" s="139">
        <f>F70/60</f>
        <v>0.25</v>
      </c>
      <c r="I70" s="122">
        <f>E70/G70</f>
        <v>5363.5164423076931</v>
      </c>
      <c r="J70" s="125">
        <f>I70*R68</f>
        <v>9026798.1724038478</v>
      </c>
      <c r="K70" s="285"/>
      <c r="L70" s="264"/>
      <c r="M70" s="255"/>
      <c r="N70" s="261"/>
      <c r="O70" s="264"/>
      <c r="P70" s="255"/>
      <c r="Q70" s="261"/>
      <c r="R70" s="267"/>
    </row>
    <row r="71" spans="1:21" ht="33">
      <c r="A71" s="322"/>
      <c r="B71" s="300"/>
      <c r="C71" s="166" t="s">
        <v>605</v>
      </c>
      <c r="D71" s="90">
        <f>1471951*12*1.54</f>
        <v>27201654.48</v>
      </c>
      <c r="E71" s="125">
        <f>D71/2496</f>
        <v>10898.098750000001</v>
      </c>
      <c r="F71" s="97">
        <v>15</v>
      </c>
      <c r="G71" s="138">
        <f>60/F71</f>
        <v>4</v>
      </c>
      <c r="H71" s="139">
        <f>F71/60</f>
        <v>0.25</v>
      </c>
      <c r="I71" s="122">
        <f>E71/G71</f>
        <v>2724.5246875000003</v>
      </c>
      <c r="J71" s="125">
        <f>I71*R68</f>
        <v>4585375.0490625007</v>
      </c>
      <c r="K71" s="285"/>
      <c r="L71" s="264"/>
      <c r="M71" s="255"/>
      <c r="N71" s="261"/>
      <c r="O71" s="264"/>
      <c r="P71" s="255"/>
      <c r="Q71" s="261"/>
      <c r="R71" s="267"/>
    </row>
    <row r="72" spans="1:21" ht="16.5">
      <c r="A72" s="322"/>
      <c r="B72" s="300"/>
      <c r="C72" s="166" t="s">
        <v>536</v>
      </c>
      <c r="D72" s="90">
        <f>4930000*12*1.54</f>
        <v>91106400</v>
      </c>
      <c r="E72" s="125">
        <f>D72/2496</f>
        <v>36500.961538461539</v>
      </c>
      <c r="F72" s="97">
        <v>18.8</v>
      </c>
      <c r="G72" s="138">
        <f>60/F72</f>
        <v>3.1914893617021276</v>
      </c>
      <c r="H72" s="139">
        <f>F72/60</f>
        <v>0.31333333333333335</v>
      </c>
      <c r="I72" s="122">
        <f>E72/G72</f>
        <v>11436.967948717949</v>
      </c>
      <c r="J72" s="125">
        <f>I72*R68</f>
        <v>19248417.057692308</v>
      </c>
      <c r="K72" s="285"/>
      <c r="L72" s="264"/>
      <c r="M72" s="255"/>
      <c r="N72" s="261"/>
      <c r="O72" s="264"/>
      <c r="P72" s="255"/>
      <c r="Q72" s="261"/>
      <c r="R72" s="267"/>
    </row>
    <row r="73" spans="1:21" ht="16.5">
      <c r="A73" s="322"/>
      <c r="B73" s="300"/>
      <c r="C73" s="166" t="s">
        <v>613</v>
      </c>
      <c r="D73" s="90">
        <f>8760000*12*1.54</f>
        <v>161884800</v>
      </c>
      <c r="E73" s="125">
        <f>D73/2496</f>
        <v>64857.692307692305</v>
      </c>
      <c r="F73" s="97">
        <v>18.8</v>
      </c>
      <c r="G73" s="138">
        <f>60/F73</f>
        <v>3.1914893617021276</v>
      </c>
      <c r="H73" s="139">
        <f>F73/60</f>
        <v>0.31333333333333335</v>
      </c>
      <c r="I73" s="122">
        <f>E73/G73</f>
        <v>20322.076923076922</v>
      </c>
      <c r="J73" s="125">
        <f>I73*R68</f>
        <v>34202055.461538456</v>
      </c>
      <c r="K73" s="285"/>
      <c r="L73" s="264"/>
      <c r="M73" s="255"/>
      <c r="N73" s="261"/>
      <c r="O73" s="264"/>
      <c r="P73" s="255"/>
      <c r="Q73" s="261"/>
      <c r="R73" s="267"/>
    </row>
    <row r="74" spans="1:21" ht="17" thickBot="1">
      <c r="A74" s="323"/>
      <c r="B74" s="159" t="s">
        <v>475</v>
      </c>
      <c r="C74" s="167" t="s">
        <v>598</v>
      </c>
      <c r="D74" s="109">
        <v>4500000</v>
      </c>
      <c r="E74" s="126"/>
      <c r="F74" s="104"/>
      <c r="G74" s="144"/>
      <c r="H74" s="145"/>
      <c r="I74" s="126"/>
      <c r="J74" s="126">
        <f>D74</f>
        <v>4500000</v>
      </c>
      <c r="K74" s="286"/>
      <c r="L74" s="265"/>
      <c r="M74" s="256"/>
      <c r="N74" s="262"/>
      <c r="O74" s="265"/>
      <c r="P74" s="256"/>
      <c r="Q74" s="262"/>
      <c r="R74" s="268"/>
    </row>
    <row r="75" spans="1:21" ht="16.5">
      <c r="A75" s="313" t="str">
        <f>Variables!G18</f>
        <v>Reingresos no programados a la UCI en menos de 48 horas</v>
      </c>
      <c r="B75" s="299" t="s">
        <v>476</v>
      </c>
      <c r="C75" s="161" t="s">
        <v>608</v>
      </c>
      <c r="D75" s="114">
        <f>11456667*12*1.54</f>
        <v>211719206.16</v>
      </c>
      <c r="E75" s="124">
        <f>D75/2496</f>
        <v>84823.399903846148</v>
      </c>
      <c r="F75" s="117">
        <f>$F$58</f>
        <v>45</v>
      </c>
      <c r="G75" s="136">
        <f>60/F75</f>
        <v>1.3333333333333333</v>
      </c>
      <c r="H75" s="137">
        <f>F75/60</f>
        <v>0.75</v>
      </c>
      <c r="I75" s="121">
        <f>E75/G75</f>
        <v>63617.549927884611</v>
      </c>
      <c r="J75" s="124">
        <f>I75*R75</f>
        <v>55538121.087043263</v>
      </c>
      <c r="K75" s="307">
        <f>J75+J76+J77+J78+J79</f>
        <v>623822972.93319714</v>
      </c>
      <c r="L75" s="275">
        <v>873</v>
      </c>
      <c r="M75" s="257">
        <f>(K75*N75)/100</f>
        <v>623822972.93319714</v>
      </c>
      <c r="N75" s="269">
        <f>(L75*100)/R75</f>
        <v>100</v>
      </c>
      <c r="O75" s="275">
        <v>0</v>
      </c>
      <c r="P75" s="257">
        <f>(K75*Q75)/100</f>
        <v>0</v>
      </c>
      <c r="Q75" s="269">
        <f>(O75*100)/R75</f>
        <v>0</v>
      </c>
      <c r="R75" s="266">
        <f>L75+O75</f>
        <v>873</v>
      </c>
    </row>
    <row r="76" spans="1:21" ht="21" customHeight="1">
      <c r="A76" s="314"/>
      <c r="B76" s="300"/>
      <c r="C76" s="166" t="s">
        <v>546</v>
      </c>
      <c r="D76" s="92">
        <f>1800000*12*1.54</f>
        <v>33264000</v>
      </c>
      <c r="E76" s="125">
        <f>D76/2496</f>
        <v>13326.923076923076</v>
      </c>
      <c r="F76" s="101">
        <f>$F$59</f>
        <v>60</v>
      </c>
      <c r="G76" s="138">
        <f>60/F76</f>
        <v>1</v>
      </c>
      <c r="H76" s="139">
        <f>F76/60</f>
        <v>1</v>
      </c>
      <c r="I76" s="122">
        <f>E76/G76</f>
        <v>13326.923076923076</v>
      </c>
      <c r="J76" s="125">
        <f>I76*R75</f>
        <v>11634403.846153846</v>
      </c>
      <c r="K76" s="308"/>
      <c r="L76" s="276"/>
      <c r="M76" s="258"/>
      <c r="N76" s="270"/>
      <c r="O76" s="276"/>
      <c r="P76" s="258"/>
      <c r="Q76" s="270"/>
      <c r="R76" s="267"/>
      <c r="T76" s="53">
        <v>873</v>
      </c>
      <c r="U76" s="53">
        <v>100</v>
      </c>
    </row>
    <row r="77" spans="1:21" ht="16.5">
      <c r="A77" s="314"/>
      <c r="B77" s="158" t="s">
        <v>475</v>
      </c>
      <c r="C77" s="166" t="s">
        <v>442</v>
      </c>
      <c r="D77" s="93">
        <v>1454500</v>
      </c>
      <c r="E77" s="132"/>
      <c r="F77" s="102"/>
      <c r="G77" s="153"/>
      <c r="H77" s="154"/>
      <c r="I77" s="132"/>
      <c r="J77" s="132">
        <f>D77</f>
        <v>1454500</v>
      </c>
      <c r="K77" s="308"/>
      <c r="L77" s="276"/>
      <c r="M77" s="258"/>
      <c r="N77" s="270"/>
      <c r="O77" s="276"/>
      <c r="P77" s="258"/>
      <c r="Q77" s="270"/>
      <c r="R77" s="267"/>
      <c r="T77" s="53">
        <v>32</v>
      </c>
    </row>
    <row r="78" spans="1:21" ht="16.5">
      <c r="A78" s="314"/>
      <c r="B78" s="300" t="s">
        <v>477</v>
      </c>
      <c r="C78" s="166" t="s">
        <v>609</v>
      </c>
      <c r="D78" s="93">
        <v>240000000</v>
      </c>
      <c r="E78" s="132"/>
      <c r="F78" s="102"/>
      <c r="G78" s="153"/>
      <c r="H78" s="154"/>
      <c r="I78" s="132"/>
      <c r="J78" s="132">
        <f>D78</f>
        <v>240000000</v>
      </c>
      <c r="K78" s="308"/>
      <c r="L78" s="276"/>
      <c r="M78" s="258"/>
      <c r="N78" s="270"/>
      <c r="O78" s="276"/>
      <c r="P78" s="258"/>
      <c r="Q78" s="270"/>
      <c r="R78" s="267"/>
      <c r="T78" s="53">
        <f>(T77*100)/T76</f>
        <v>3.665521191294387</v>
      </c>
    </row>
    <row r="79" spans="1:21" ht="17" thickBot="1">
      <c r="A79" s="315"/>
      <c r="B79" s="301"/>
      <c r="C79" s="167" t="s">
        <v>611</v>
      </c>
      <c r="D79" s="119">
        <v>315195948</v>
      </c>
      <c r="E79" s="133"/>
      <c r="F79" s="120"/>
      <c r="G79" s="155"/>
      <c r="H79" s="156"/>
      <c r="I79" s="133"/>
      <c r="J79" s="133">
        <f>D79</f>
        <v>315195948</v>
      </c>
      <c r="K79" s="309"/>
      <c r="L79" s="277"/>
      <c r="M79" s="259"/>
      <c r="N79" s="271"/>
      <c r="O79" s="277"/>
      <c r="P79" s="259"/>
      <c r="Q79" s="271"/>
      <c r="R79" s="268"/>
    </row>
    <row r="80" spans="1:21" ht="16.5">
      <c r="A80" s="313" t="str">
        <f>Variables!G19</f>
        <v>Porcentaje de mortalidad en la UCI</v>
      </c>
      <c r="B80" s="299" t="s">
        <v>476</v>
      </c>
      <c r="C80" s="161" t="s">
        <v>614</v>
      </c>
      <c r="D80" s="114">
        <f>11456667*12*1.54</f>
        <v>211719206.16</v>
      </c>
      <c r="E80" s="124">
        <f>D80/2496</f>
        <v>84823.399903846148</v>
      </c>
      <c r="F80" s="117">
        <f>$F$58</f>
        <v>45</v>
      </c>
      <c r="G80" s="136">
        <f>60/F80</f>
        <v>1.3333333333333333</v>
      </c>
      <c r="H80" s="137">
        <f>F80/60</f>
        <v>0.75</v>
      </c>
      <c r="I80" s="121">
        <f>E80/G80</f>
        <v>63617.549927884611</v>
      </c>
      <c r="J80" s="124">
        <f>I80*R80</f>
        <v>55538121.087043263</v>
      </c>
      <c r="K80" s="307">
        <f>J80+J81+J82+J83+J84</f>
        <v>623822972.93319714</v>
      </c>
      <c r="L80" s="275">
        <f>873-O80</f>
        <v>861</v>
      </c>
      <c r="M80" s="257">
        <f>(K80*N80)/100</f>
        <v>615248086.70731127</v>
      </c>
      <c r="N80" s="269">
        <f>(L80*100)/R80</f>
        <v>98.62542955326461</v>
      </c>
      <c r="O80" s="275">
        <v>12</v>
      </c>
      <c r="P80" s="257">
        <f>(K80*Q80)/100</f>
        <v>8574886.2258858718</v>
      </c>
      <c r="Q80" s="269">
        <f>(O80*100)/R80</f>
        <v>1.3745704467353952</v>
      </c>
      <c r="R80" s="266">
        <f>L80+O80</f>
        <v>873</v>
      </c>
    </row>
    <row r="81" spans="1:20" ht="14.25" customHeight="1">
      <c r="A81" s="314"/>
      <c r="B81" s="300"/>
      <c r="C81" s="166" t="s">
        <v>546</v>
      </c>
      <c r="D81" s="92">
        <f>1800000*12*1.54</f>
        <v>33264000</v>
      </c>
      <c r="E81" s="125">
        <f>D81/2496</f>
        <v>13326.923076923076</v>
      </c>
      <c r="F81" s="101">
        <f>$F$59</f>
        <v>60</v>
      </c>
      <c r="G81" s="138">
        <f>60/F81</f>
        <v>1</v>
      </c>
      <c r="H81" s="139">
        <f>F81/60</f>
        <v>1</v>
      </c>
      <c r="I81" s="122">
        <f>E81/G81</f>
        <v>13326.923076923076</v>
      </c>
      <c r="J81" s="125">
        <f>I81*R80</f>
        <v>11634403.846153846</v>
      </c>
      <c r="K81" s="308"/>
      <c r="L81" s="276"/>
      <c r="M81" s="258"/>
      <c r="N81" s="270"/>
      <c r="O81" s="276"/>
      <c r="P81" s="258"/>
      <c r="Q81" s="270"/>
      <c r="R81" s="267"/>
    </row>
    <row r="82" spans="1:20" ht="16.5">
      <c r="A82" s="314"/>
      <c r="B82" s="158" t="s">
        <v>475</v>
      </c>
      <c r="C82" s="166" t="s">
        <v>442</v>
      </c>
      <c r="D82" s="93">
        <v>1454500</v>
      </c>
      <c r="E82" s="132"/>
      <c r="F82" s="102"/>
      <c r="G82" s="153"/>
      <c r="H82" s="154"/>
      <c r="I82" s="132"/>
      <c r="J82" s="132">
        <f>D82</f>
        <v>1454500</v>
      </c>
      <c r="K82" s="308"/>
      <c r="L82" s="276"/>
      <c r="M82" s="258"/>
      <c r="N82" s="270"/>
      <c r="O82" s="276"/>
      <c r="P82" s="258"/>
      <c r="Q82" s="270"/>
      <c r="R82" s="267"/>
    </row>
    <row r="83" spans="1:20" ht="16.5">
      <c r="A83" s="314"/>
      <c r="B83" s="300" t="s">
        <v>477</v>
      </c>
      <c r="C83" s="166" t="s">
        <v>609</v>
      </c>
      <c r="D83" s="93">
        <v>240000000</v>
      </c>
      <c r="E83" s="132"/>
      <c r="F83" s="102"/>
      <c r="G83" s="153"/>
      <c r="H83" s="154"/>
      <c r="I83" s="132"/>
      <c r="J83" s="132">
        <f>D83</f>
        <v>240000000</v>
      </c>
      <c r="K83" s="308"/>
      <c r="L83" s="276"/>
      <c r="M83" s="258"/>
      <c r="N83" s="270"/>
      <c r="O83" s="276"/>
      <c r="P83" s="258"/>
      <c r="Q83" s="270"/>
      <c r="R83" s="267"/>
    </row>
    <row r="84" spans="1:20" ht="17" thickBot="1">
      <c r="A84" s="315"/>
      <c r="B84" s="301"/>
      <c r="C84" s="167" t="s">
        <v>611</v>
      </c>
      <c r="D84" s="119">
        <v>315195948</v>
      </c>
      <c r="E84" s="133"/>
      <c r="F84" s="120"/>
      <c r="G84" s="155"/>
      <c r="H84" s="156"/>
      <c r="I84" s="133"/>
      <c r="J84" s="133">
        <f>D84</f>
        <v>315195948</v>
      </c>
      <c r="K84" s="309"/>
      <c r="L84" s="277"/>
      <c r="M84" s="259"/>
      <c r="N84" s="271"/>
      <c r="O84" s="277"/>
      <c r="P84" s="259"/>
      <c r="Q84" s="271"/>
      <c r="R84" s="268"/>
    </row>
    <row r="85" spans="1:20" ht="33">
      <c r="A85" s="313" t="str">
        <f>Variables!G20</f>
        <v xml:space="preserve">Proporción de eventos adversos relacionados con la administración de medicamentos en hospitalización </v>
      </c>
      <c r="B85" s="299" t="s">
        <v>477</v>
      </c>
      <c r="C85" s="161" t="s">
        <v>615</v>
      </c>
      <c r="D85" s="108">
        <f>2352989+105029890</f>
        <v>107382879</v>
      </c>
      <c r="E85" s="124"/>
      <c r="F85" s="118"/>
      <c r="G85" s="151"/>
      <c r="H85" s="152"/>
      <c r="I85" s="124"/>
      <c r="J85" s="124">
        <f>D85</f>
        <v>107382879</v>
      </c>
      <c r="K85" s="284">
        <f>J85+J86+J87+J88+J89+J90</f>
        <v>1524594363.2501764</v>
      </c>
      <c r="L85" s="330">
        <v>22733</v>
      </c>
      <c r="M85" s="254">
        <f>(K85*N85)/100</f>
        <v>1524527300.9486346</v>
      </c>
      <c r="N85" s="333">
        <f>(L85*100)/R85</f>
        <v>99.995601302014606</v>
      </c>
      <c r="O85" s="330">
        <v>1</v>
      </c>
      <c r="P85" s="254">
        <f>(K85*Q85)/100</f>
        <v>67062.301541751411</v>
      </c>
      <c r="Q85" s="336">
        <f>(O85*100)/R85</f>
        <v>4.3986979853963227E-3</v>
      </c>
      <c r="R85" s="266">
        <f>L85+O85</f>
        <v>22734</v>
      </c>
      <c r="T85" s="75"/>
    </row>
    <row r="86" spans="1:20" ht="33">
      <c r="A86" s="314"/>
      <c r="B86" s="300"/>
      <c r="C86" s="164" t="s">
        <v>606</v>
      </c>
      <c r="D86" s="90">
        <f>732138766/6</f>
        <v>122023127.66666667</v>
      </c>
      <c r="E86" s="125"/>
      <c r="F86" s="99"/>
      <c r="G86" s="142"/>
      <c r="H86" s="143"/>
      <c r="I86" s="125"/>
      <c r="J86" s="125">
        <f>D86</f>
        <v>122023127.66666667</v>
      </c>
      <c r="K86" s="285"/>
      <c r="L86" s="331"/>
      <c r="M86" s="255"/>
      <c r="N86" s="334"/>
      <c r="O86" s="331"/>
      <c r="P86" s="255"/>
      <c r="Q86" s="337"/>
      <c r="R86" s="267"/>
    </row>
    <row r="87" spans="1:20" ht="16.5">
      <c r="A87" s="314"/>
      <c r="B87" s="300" t="s">
        <v>476</v>
      </c>
      <c r="C87" s="166" t="s">
        <v>536</v>
      </c>
      <c r="D87" s="90">
        <f>4930000*12*1.54</f>
        <v>91106400</v>
      </c>
      <c r="E87" s="122">
        <f>D87/2496</f>
        <v>36500.961538461539</v>
      </c>
      <c r="F87" s="98">
        <v>20</v>
      </c>
      <c r="G87" s="138">
        <f>60/F87</f>
        <v>3</v>
      </c>
      <c r="H87" s="139">
        <f>F87/60</f>
        <v>0.33333333333333331</v>
      </c>
      <c r="I87" s="122">
        <f>E87/G87</f>
        <v>12166.98717948718</v>
      </c>
      <c r="J87" s="122">
        <f>I87*R85</f>
        <v>276604286.53846157</v>
      </c>
      <c r="K87" s="285"/>
      <c r="L87" s="331"/>
      <c r="M87" s="255"/>
      <c r="N87" s="334"/>
      <c r="O87" s="331"/>
      <c r="P87" s="255"/>
      <c r="Q87" s="337"/>
      <c r="R87" s="267"/>
    </row>
    <row r="88" spans="1:20" ht="33">
      <c r="A88" s="314"/>
      <c r="B88" s="300"/>
      <c r="C88" s="166" t="s">
        <v>605</v>
      </c>
      <c r="D88" s="90">
        <f>1471951*12*1.54</f>
        <v>27201654.48</v>
      </c>
      <c r="E88" s="122">
        <f>D88/2496</f>
        <v>10898.098750000001</v>
      </c>
      <c r="F88" s="98">
        <v>15</v>
      </c>
      <c r="G88" s="138">
        <f>60/F88</f>
        <v>4</v>
      </c>
      <c r="H88" s="139">
        <f>F88/60</f>
        <v>0.25</v>
      </c>
      <c r="I88" s="122">
        <f>E88/G88</f>
        <v>2724.5246875000003</v>
      </c>
      <c r="J88" s="122">
        <f>I88*R85</f>
        <v>61939344.245625004</v>
      </c>
      <c r="K88" s="285"/>
      <c r="L88" s="331"/>
      <c r="M88" s="255"/>
      <c r="N88" s="334"/>
      <c r="O88" s="331"/>
      <c r="P88" s="255"/>
      <c r="Q88" s="337"/>
      <c r="R88" s="267"/>
    </row>
    <row r="89" spans="1:20" ht="18.75" customHeight="1">
      <c r="A89" s="314"/>
      <c r="B89" s="300"/>
      <c r="C89" s="166" t="s">
        <v>547</v>
      </c>
      <c r="D89" s="91">
        <f>2897692*12*1.54</f>
        <v>53549348.160000004</v>
      </c>
      <c r="E89" s="122">
        <f>D89/2496</f>
        <v>21454.065769230772</v>
      </c>
      <c r="F89" s="98">
        <v>15</v>
      </c>
      <c r="G89" s="138">
        <f>60/F89</f>
        <v>4</v>
      </c>
      <c r="H89" s="139">
        <f>F89/60</f>
        <v>0.25</v>
      </c>
      <c r="I89" s="122">
        <f>E89/G89</f>
        <v>5363.5164423076931</v>
      </c>
      <c r="J89" s="122">
        <f>I89*R85</f>
        <v>121934182.7994231</v>
      </c>
      <c r="K89" s="285"/>
      <c r="L89" s="331"/>
      <c r="M89" s="255"/>
      <c r="N89" s="334"/>
      <c r="O89" s="331"/>
      <c r="P89" s="255"/>
      <c r="Q89" s="337"/>
      <c r="R89" s="267"/>
    </row>
    <row r="90" spans="1:20" ht="24.5" customHeight="1" thickBot="1">
      <c r="A90" s="315"/>
      <c r="B90" s="159" t="s">
        <v>475</v>
      </c>
      <c r="C90" s="167" t="s">
        <v>616</v>
      </c>
      <c r="D90" s="109">
        <v>834710543</v>
      </c>
      <c r="E90" s="126"/>
      <c r="F90" s="104"/>
      <c r="G90" s="144"/>
      <c r="H90" s="145"/>
      <c r="I90" s="126"/>
      <c r="J90" s="126">
        <f>D90</f>
        <v>834710543</v>
      </c>
      <c r="K90" s="286"/>
      <c r="L90" s="332"/>
      <c r="M90" s="256"/>
      <c r="N90" s="335"/>
      <c r="O90" s="332"/>
      <c r="P90" s="256"/>
      <c r="Q90" s="338"/>
      <c r="R90" s="268"/>
    </row>
    <row r="91" spans="1:20" ht="33">
      <c r="A91" s="313" t="str">
        <f>Variables!G21</f>
        <v>Tasa de reingreso de pacientes hospitalizados en menos de 15 días por IRA (Infección respiratoria aguda)</v>
      </c>
      <c r="B91" s="299" t="s">
        <v>476</v>
      </c>
      <c r="C91" s="161" t="s">
        <v>605</v>
      </c>
      <c r="D91" s="108">
        <f>1471951*12*1.54</f>
        <v>27201654.48</v>
      </c>
      <c r="E91" s="121">
        <f>D91/2496</f>
        <v>10898.098750000001</v>
      </c>
      <c r="F91" s="112">
        <v>15</v>
      </c>
      <c r="G91" s="136">
        <f>60/F91</f>
        <v>4</v>
      </c>
      <c r="H91" s="137">
        <f>F91/60</f>
        <v>0.25</v>
      </c>
      <c r="I91" s="121">
        <f>E91/G91</f>
        <v>2724.5246875000003</v>
      </c>
      <c r="J91" s="121">
        <f>I91*R91</f>
        <v>247931.74656250002</v>
      </c>
      <c r="K91" s="284">
        <f>J91+J92+J93+J94+J95+J96+J97</f>
        <v>1068089800.5748957</v>
      </c>
      <c r="L91" s="330">
        <v>89</v>
      </c>
      <c r="M91" s="254">
        <f>(K91*N91)/100</f>
        <v>1044615299.4633595</v>
      </c>
      <c r="N91" s="260">
        <f>(L91*100)/R91</f>
        <v>97.802197802197796</v>
      </c>
      <c r="O91" s="330">
        <v>2</v>
      </c>
      <c r="P91" s="254">
        <f>(K91*Q91)/100</f>
        <v>23474501.111536175</v>
      </c>
      <c r="Q91" s="260">
        <f>(O91*100)/R91</f>
        <v>2.197802197802198</v>
      </c>
      <c r="R91" s="266">
        <f>L91+O91</f>
        <v>91</v>
      </c>
    </row>
    <row r="92" spans="1:20" ht="16.5">
      <c r="A92" s="314"/>
      <c r="B92" s="300"/>
      <c r="C92" s="164" t="s">
        <v>547</v>
      </c>
      <c r="D92" s="91">
        <f>2897692*12*1.54</f>
        <v>53549348.160000004</v>
      </c>
      <c r="E92" s="122">
        <f>D92/2496</f>
        <v>21454.065769230772</v>
      </c>
      <c r="F92" s="98">
        <v>20</v>
      </c>
      <c r="G92" s="138">
        <f>60/F92</f>
        <v>3</v>
      </c>
      <c r="H92" s="139">
        <f>F92/60</f>
        <v>0.33333333333333331</v>
      </c>
      <c r="I92" s="122">
        <f>E92/G92</f>
        <v>7151.3552564102574</v>
      </c>
      <c r="J92" s="122">
        <f>I92*R91</f>
        <v>650773.32833333337</v>
      </c>
      <c r="K92" s="285"/>
      <c r="L92" s="331"/>
      <c r="M92" s="255"/>
      <c r="N92" s="261"/>
      <c r="O92" s="331"/>
      <c r="P92" s="255"/>
      <c r="Q92" s="261"/>
      <c r="R92" s="267"/>
    </row>
    <row r="93" spans="1:20" ht="16.5">
      <c r="A93" s="314"/>
      <c r="B93" s="300"/>
      <c r="C93" s="166" t="s">
        <v>536</v>
      </c>
      <c r="D93" s="90">
        <f>4930000*12*1.54</f>
        <v>91106400</v>
      </c>
      <c r="E93" s="122">
        <f>D93/2496</f>
        <v>36500.961538461539</v>
      </c>
      <c r="F93" s="98">
        <v>20</v>
      </c>
      <c r="G93" s="138">
        <f>60/F93</f>
        <v>3</v>
      </c>
      <c r="H93" s="139">
        <f>F93/60</f>
        <v>0.33333333333333331</v>
      </c>
      <c r="I93" s="122">
        <f>E93/G93</f>
        <v>12166.98717948718</v>
      </c>
      <c r="J93" s="122">
        <f>I93*R91</f>
        <v>1107195.8333333333</v>
      </c>
      <c r="K93" s="285"/>
      <c r="L93" s="331"/>
      <c r="M93" s="255"/>
      <c r="N93" s="261"/>
      <c r="O93" s="331"/>
      <c r="P93" s="255"/>
      <c r="Q93" s="261"/>
      <c r="R93" s="267"/>
    </row>
    <row r="94" spans="1:20" ht="16.5">
      <c r="A94" s="314"/>
      <c r="B94" s="300"/>
      <c r="C94" s="166" t="s">
        <v>617</v>
      </c>
      <c r="D94" s="90">
        <f>8760000*12*1.54</f>
        <v>161884800</v>
      </c>
      <c r="E94" s="122">
        <f>D94/2496</f>
        <v>64857.692307692305</v>
      </c>
      <c r="F94" s="98">
        <v>20</v>
      </c>
      <c r="G94" s="138">
        <f>60/F94</f>
        <v>3</v>
      </c>
      <c r="H94" s="139">
        <f>F94/60</f>
        <v>0.33333333333333331</v>
      </c>
      <c r="I94" s="122">
        <f>E94/G94</f>
        <v>21619.23076923077</v>
      </c>
      <c r="J94" s="122">
        <f>I94*R91</f>
        <v>1967350</v>
      </c>
      <c r="K94" s="285"/>
      <c r="L94" s="331"/>
      <c r="M94" s="255"/>
      <c r="N94" s="261"/>
      <c r="O94" s="331"/>
      <c r="P94" s="255"/>
      <c r="Q94" s="261"/>
      <c r="R94" s="267"/>
    </row>
    <row r="95" spans="1:20" ht="16.5">
      <c r="A95" s="314"/>
      <c r="B95" s="158" t="s">
        <v>475</v>
      </c>
      <c r="C95" s="166" t="s">
        <v>616</v>
      </c>
      <c r="D95" s="94">
        <v>834710543</v>
      </c>
      <c r="E95" s="134"/>
      <c r="F95" s="103"/>
      <c r="G95" s="157"/>
      <c r="H95" s="154"/>
      <c r="I95" s="134"/>
      <c r="J95" s="134">
        <f>D95</f>
        <v>834710543</v>
      </c>
      <c r="K95" s="285"/>
      <c r="L95" s="331"/>
      <c r="M95" s="255"/>
      <c r="N95" s="261"/>
      <c r="O95" s="331"/>
      <c r="P95" s="255"/>
      <c r="Q95" s="261"/>
      <c r="R95" s="267"/>
    </row>
    <row r="96" spans="1:20" ht="33">
      <c r="A96" s="314"/>
      <c r="B96" s="302" t="s">
        <v>477</v>
      </c>
      <c r="C96" s="164" t="s">
        <v>615</v>
      </c>
      <c r="D96" s="90">
        <f>2352989+105029890</f>
        <v>107382879</v>
      </c>
      <c r="E96" s="125"/>
      <c r="F96" s="99"/>
      <c r="G96" s="142"/>
      <c r="H96" s="143"/>
      <c r="I96" s="125"/>
      <c r="J96" s="125">
        <f>D96</f>
        <v>107382879</v>
      </c>
      <c r="K96" s="285"/>
      <c r="L96" s="331"/>
      <c r="M96" s="255"/>
      <c r="N96" s="261"/>
      <c r="O96" s="331"/>
      <c r="P96" s="255"/>
      <c r="Q96" s="261"/>
      <c r="R96" s="267"/>
    </row>
    <row r="97" spans="1:18" ht="33.5" thickBot="1">
      <c r="A97" s="315"/>
      <c r="B97" s="303"/>
      <c r="C97" s="167" t="s">
        <v>606</v>
      </c>
      <c r="D97" s="95">
        <f>732138766/6</f>
        <v>122023127.66666667</v>
      </c>
      <c r="E97" s="135"/>
      <c r="F97" s="104"/>
      <c r="G97" s="144"/>
      <c r="H97" s="145"/>
      <c r="I97" s="135"/>
      <c r="J97" s="135">
        <f>D97</f>
        <v>122023127.66666667</v>
      </c>
      <c r="K97" s="286"/>
      <c r="L97" s="332"/>
      <c r="M97" s="256"/>
      <c r="N97" s="262"/>
      <c r="O97" s="332"/>
      <c r="P97" s="256"/>
      <c r="Q97" s="262"/>
      <c r="R97" s="268"/>
    </row>
    <row r="98" spans="1:18" ht="16.5">
      <c r="A98" s="313" t="str">
        <f>Variables!G22</f>
        <v>Proporción de satisfacción global de los usuarios en la IPS</v>
      </c>
      <c r="B98" s="160" t="s">
        <v>476</v>
      </c>
      <c r="C98" s="161" t="s">
        <v>618</v>
      </c>
      <c r="D98" s="108">
        <f>2200000*12*1.54</f>
        <v>40656000</v>
      </c>
      <c r="E98" s="121">
        <f>D98/2496</f>
        <v>16288.461538461539</v>
      </c>
      <c r="F98" s="112">
        <f>30</f>
        <v>30</v>
      </c>
      <c r="G98" s="136">
        <f>60/F98</f>
        <v>2</v>
      </c>
      <c r="H98" s="137">
        <f>F98/60</f>
        <v>0.5</v>
      </c>
      <c r="I98" s="121">
        <f>E98/G98</f>
        <v>8144.2307692307695</v>
      </c>
      <c r="J98" s="121">
        <f>I98*R98</f>
        <v>76262576.923076928</v>
      </c>
      <c r="K98" s="284">
        <f>J98+J99+J100+J101</f>
        <v>818386112.92307687</v>
      </c>
      <c r="L98" s="263">
        <v>9279</v>
      </c>
      <c r="M98" s="254">
        <f>(K98*N98)/100</f>
        <v>810957362.43199813</v>
      </c>
      <c r="N98" s="260">
        <f>(L98*100)/R98</f>
        <v>99.092268261426739</v>
      </c>
      <c r="O98" s="263">
        <f>9364-L98</f>
        <v>85</v>
      </c>
      <c r="P98" s="254">
        <f>(K98*Q98)/100</f>
        <v>7428750.4910787633</v>
      </c>
      <c r="Q98" s="260">
        <f>(O98*100)/R98</f>
        <v>0.90773173857325928</v>
      </c>
      <c r="R98" s="266">
        <f>L98+O98</f>
        <v>9364</v>
      </c>
    </row>
    <row r="99" spans="1:18" ht="16.5">
      <c r="A99" s="314"/>
      <c r="B99" s="300" t="s">
        <v>475</v>
      </c>
      <c r="C99" s="168" t="s">
        <v>598</v>
      </c>
      <c r="D99" s="90">
        <v>4500000</v>
      </c>
      <c r="E99" s="125"/>
      <c r="F99" s="99"/>
      <c r="G99" s="142"/>
      <c r="H99" s="143"/>
      <c r="I99" s="125"/>
      <c r="J99" s="125">
        <f>D99</f>
        <v>4500000</v>
      </c>
      <c r="K99" s="255"/>
      <c r="L99" s="264"/>
      <c r="M99" s="255"/>
      <c r="N99" s="261"/>
      <c r="O99" s="264"/>
      <c r="P99" s="255"/>
      <c r="Q99" s="261"/>
      <c r="R99" s="267"/>
    </row>
    <row r="100" spans="1:18" ht="16.5">
      <c r="A100" s="314"/>
      <c r="B100" s="300"/>
      <c r="C100" s="168" t="s">
        <v>619</v>
      </c>
      <c r="D100" s="90">
        <v>5484770</v>
      </c>
      <c r="E100" s="125"/>
      <c r="F100" s="99"/>
      <c r="G100" s="142"/>
      <c r="H100" s="143"/>
      <c r="I100" s="125"/>
      <c r="J100" s="125">
        <f>D100</f>
        <v>5484770</v>
      </c>
      <c r="K100" s="255"/>
      <c r="L100" s="264"/>
      <c r="M100" s="255"/>
      <c r="N100" s="261"/>
      <c r="O100" s="264"/>
      <c r="P100" s="255"/>
      <c r="Q100" s="261"/>
      <c r="R100" s="267"/>
    </row>
    <row r="101" spans="1:18" ht="17" thickBot="1">
      <c r="A101" s="315"/>
      <c r="B101" s="159" t="s">
        <v>477</v>
      </c>
      <c r="C101" s="169" t="s">
        <v>620</v>
      </c>
      <c r="D101" s="95">
        <v>732138766</v>
      </c>
      <c r="E101" s="135"/>
      <c r="F101" s="104"/>
      <c r="G101" s="144"/>
      <c r="H101" s="145"/>
      <c r="I101" s="135"/>
      <c r="J101" s="135">
        <f>D101</f>
        <v>732138766</v>
      </c>
      <c r="K101" s="256"/>
      <c r="L101" s="265"/>
      <c r="M101" s="256"/>
      <c r="N101" s="262"/>
      <c r="O101" s="265"/>
      <c r="P101" s="256"/>
      <c r="Q101" s="262"/>
      <c r="R101" s="268"/>
    </row>
  </sheetData>
  <sheetProtection algorithmName="SHA-512" hashValue="Gkkn7aH/DLgrRolVY0g6YeRqbBGHK+E3Mohd2xoxoAjC21vyTGxUtBkPgXV2gR10Pk+/xTHg+uNdkIgHN3IKMQ==" saltValue="eYK46zvbzncaTgPa9nIKkw==" spinCount="100000" sheet="1" objects="1" scenarios="1"/>
  <protectedRanges>
    <protectedRange algorithmName="SHA-512" hashValue="TQ4YEA/d5YbkKsNWkdgseQ9+4IC53gBz0eKrhFvnKsy+5gmKjOwmybBaOeOOjvwyx3+yg4yp8upO+bnLM2VW4Q==" saltValue="cF+3QgNy5svFdgTItw8tlA==" spinCount="100000" sqref="K1:K101 M1:N101 P1:R101 A1:C101" name="Rango1"/>
  </protectedRanges>
  <autoFilter ref="A1:R101" xr:uid="{00000000-0001-0000-0600-000000000000}"/>
  <mergeCells count="219">
    <mergeCell ref="Q52:Q57"/>
    <mergeCell ref="M52:M57"/>
    <mergeCell ref="L98:L101"/>
    <mergeCell ref="O91:O97"/>
    <mergeCell ref="K80:K84"/>
    <mergeCell ref="N80:N84"/>
    <mergeCell ref="O80:O84"/>
    <mergeCell ref="Q80:Q84"/>
    <mergeCell ref="N85:N90"/>
    <mergeCell ref="O85:O90"/>
    <mergeCell ref="Q85:Q90"/>
    <mergeCell ref="L85:L90"/>
    <mergeCell ref="L91:L97"/>
    <mergeCell ref="N98:N101"/>
    <mergeCell ref="K91:K97"/>
    <mergeCell ref="N91:N97"/>
    <mergeCell ref="Q91:Q97"/>
    <mergeCell ref="P91:P97"/>
    <mergeCell ref="L80:L84"/>
    <mergeCell ref="K85:K90"/>
    <mergeCell ref="K98:K101"/>
    <mergeCell ref="K68:K74"/>
    <mergeCell ref="K75:K79"/>
    <mergeCell ref="M91:M97"/>
    <mergeCell ref="A98:A101"/>
    <mergeCell ref="A75:A79"/>
    <mergeCell ref="A80:A84"/>
    <mergeCell ref="A85:A90"/>
    <mergeCell ref="A91:A97"/>
    <mergeCell ref="N31:N34"/>
    <mergeCell ref="L52:L57"/>
    <mergeCell ref="L58:L62"/>
    <mergeCell ref="L63:L67"/>
    <mergeCell ref="N35:N38"/>
    <mergeCell ref="N58:N62"/>
    <mergeCell ref="N63:N67"/>
    <mergeCell ref="B47:B48"/>
    <mergeCell ref="K52:K57"/>
    <mergeCell ref="A68:A74"/>
    <mergeCell ref="A47:A51"/>
    <mergeCell ref="M35:M38"/>
    <mergeCell ref="A52:A57"/>
    <mergeCell ref="N52:N57"/>
    <mergeCell ref="A58:A62"/>
    <mergeCell ref="A63:A67"/>
    <mergeCell ref="B83:B84"/>
    <mergeCell ref="B85:B86"/>
    <mergeCell ref="B87:B89"/>
    <mergeCell ref="A2:A5"/>
    <mergeCell ref="A6:A9"/>
    <mergeCell ref="A10:A13"/>
    <mergeCell ref="A14:A17"/>
    <mergeCell ref="A18:A22"/>
    <mergeCell ref="L14:L17"/>
    <mergeCell ref="L18:L22"/>
    <mergeCell ref="L23:L26"/>
    <mergeCell ref="K23:K26"/>
    <mergeCell ref="K14:K17"/>
    <mergeCell ref="K18:K22"/>
    <mergeCell ref="B2:B3"/>
    <mergeCell ref="B6:B7"/>
    <mergeCell ref="B21:B22"/>
    <mergeCell ref="B23:B24"/>
    <mergeCell ref="L2:L5"/>
    <mergeCell ref="L6:L9"/>
    <mergeCell ref="A23:A26"/>
    <mergeCell ref="K6:K9"/>
    <mergeCell ref="K10:K13"/>
    <mergeCell ref="B10:B11"/>
    <mergeCell ref="B14:B15"/>
    <mergeCell ref="B18:B19"/>
    <mergeCell ref="A27:A30"/>
    <mergeCell ref="A31:A34"/>
    <mergeCell ref="A35:A38"/>
    <mergeCell ref="A39:A42"/>
    <mergeCell ref="B66:B67"/>
    <mergeCell ref="A43:A46"/>
    <mergeCell ref="N27:N30"/>
    <mergeCell ref="B49:B50"/>
    <mergeCell ref="B63:B64"/>
    <mergeCell ref="B35:B36"/>
    <mergeCell ref="B39:B40"/>
    <mergeCell ref="B43:B44"/>
    <mergeCell ref="B27:B28"/>
    <mergeCell ref="M27:M30"/>
    <mergeCell ref="L35:L38"/>
    <mergeCell ref="L39:L42"/>
    <mergeCell ref="B31:B32"/>
    <mergeCell ref="K35:K38"/>
    <mergeCell ref="K63:K67"/>
    <mergeCell ref="Q39:Q42"/>
    <mergeCell ref="K39:K42"/>
    <mergeCell ref="O39:O42"/>
    <mergeCell ref="O43:O46"/>
    <mergeCell ref="M39:M42"/>
    <mergeCell ref="M43:M46"/>
    <mergeCell ref="M47:M51"/>
    <mergeCell ref="K47:K51"/>
    <mergeCell ref="N47:N51"/>
    <mergeCell ref="O47:O51"/>
    <mergeCell ref="Q47:Q51"/>
    <mergeCell ref="K43:K46"/>
    <mergeCell ref="N39:N42"/>
    <mergeCell ref="P47:P51"/>
    <mergeCell ref="L43:L46"/>
    <mergeCell ref="L47:L51"/>
    <mergeCell ref="B91:B94"/>
    <mergeCell ref="B99:B100"/>
    <mergeCell ref="B75:B76"/>
    <mergeCell ref="B78:B79"/>
    <mergeCell ref="B80:B81"/>
    <mergeCell ref="B96:B97"/>
    <mergeCell ref="Q27:Q30"/>
    <mergeCell ref="O27:O30"/>
    <mergeCell ref="L27:L30"/>
    <mergeCell ref="L31:L34"/>
    <mergeCell ref="K27:K30"/>
    <mergeCell ref="P31:P34"/>
    <mergeCell ref="M31:M34"/>
    <mergeCell ref="B68:B69"/>
    <mergeCell ref="B70:B73"/>
    <mergeCell ref="B52:B54"/>
    <mergeCell ref="B58:B59"/>
    <mergeCell ref="B61:B62"/>
    <mergeCell ref="L68:L74"/>
    <mergeCell ref="M58:M62"/>
    <mergeCell ref="K31:K34"/>
    <mergeCell ref="O52:O57"/>
    <mergeCell ref="L75:L79"/>
    <mergeCell ref="K58:K62"/>
    <mergeCell ref="Q10:Q13"/>
    <mergeCell ref="Q14:Q17"/>
    <mergeCell ref="N18:N22"/>
    <mergeCell ref="Q18:Q22"/>
    <mergeCell ref="N23:N26"/>
    <mergeCell ref="Q23:Q26"/>
    <mergeCell ref="L10:L13"/>
    <mergeCell ref="Q31:Q34"/>
    <mergeCell ref="O10:O13"/>
    <mergeCell ref="O14:O17"/>
    <mergeCell ref="O18:O22"/>
    <mergeCell ref="O23:O26"/>
    <mergeCell ref="N10:N13"/>
    <mergeCell ref="M23:M26"/>
    <mergeCell ref="O31:O34"/>
    <mergeCell ref="P14:P17"/>
    <mergeCell ref="P18:P22"/>
    <mergeCell ref="P35:P38"/>
    <mergeCell ref="P39:P42"/>
    <mergeCell ref="P23:P26"/>
    <mergeCell ref="P27:P30"/>
    <mergeCell ref="O35:O38"/>
    <mergeCell ref="N2:N5"/>
    <mergeCell ref="N6:N9"/>
    <mergeCell ref="O6:O9"/>
    <mergeCell ref="N14:N17"/>
    <mergeCell ref="R2:R5"/>
    <mergeCell ref="R6:R9"/>
    <mergeCell ref="K2:K5"/>
    <mergeCell ref="O2:O5"/>
    <mergeCell ref="R31:R34"/>
    <mergeCell ref="R35:R38"/>
    <mergeCell ref="R39:R42"/>
    <mergeCell ref="R43:R46"/>
    <mergeCell ref="R10:R13"/>
    <mergeCell ref="R14:R17"/>
    <mergeCell ref="R18:R22"/>
    <mergeCell ref="R23:R26"/>
    <mergeCell ref="R27:R30"/>
    <mergeCell ref="Q35:Q38"/>
    <mergeCell ref="P2:P5"/>
    <mergeCell ref="P6:P9"/>
    <mergeCell ref="P10:P13"/>
    <mergeCell ref="Q2:Q5"/>
    <mergeCell ref="Q6:Q9"/>
    <mergeCell ref="M2:M5"/>
    <mergeCell ref="M6:M9"/>
    <mergeCell ref="M10:M13"/>
    <mergeCell ref="M14:M17"/>
    <mergeCell ref="M18:M22"/>
    <mergeCell ref="R91:R97"/>
    <mergeCell ref="R98:R101"/>
    <mergeCell ref="R68:R74"/>
    <mergeCell ref="R75:R79"/>
    <mergeCell ref="R80:R84"/>
    <mergeCell ref="R85:R90"/>
    <mergeCell ref="N43:N46"/>
    <mergeCell ref="Q43:Q46"/>
    <mergeCell ref="R47:R51"/>
    <mergeCell ref="R52:R57"/>
    <mergeCell ref="R58:R62"/>
    <mergeCell ref="R63:R67"/>
    <mergeCell ref="N75:N79"/>
    <mergeCell ref="O68:O74"/>
    <mergeCell ref="Q68:Q74"/>
    <mergeCell ref="O63:O67"/>
    <mergeCell ref="O58:O62"/>
    <mergeCell ref="Q58:Q62"/>
    <mergeCell ref="Q63:Q67"/>
    <mergeCell ref="P52:P57"/>
    <mergeCell ref="P43:P46"/>
    <mergeCell ref="Q98:Q101"/>
    <mergeCell ref="O75:O79"/>
    <mergeCell ref="Q75:Q79"/>
    <mergeCell ref="M98:M101"/>
    <mergeCell ref="P58:P62"/>
    <mergeCell ref="P63:P67"/>
    <mergeCell ref="P68:P74"/>
    <mergeCell ref="P75:P79"/>
    <mergeCell ref="P80:P84"/>
    <mergeCell ref="P85:P90"/>
    <mergeCell ref="P98:P101"/>
    <mergeCell ref="N68:N74"/>
    <mergeCell ref="M63:M67"/>
    <mergeCell ref="M68:M74"/>
    <mergeCell ref="M75:M79"/>
    <mergeCell ref="M80:M84"/>
    <mergeCell ref="M85:M90"/>
    <mergeCell ref="O98:O101"/>
  </mergeCells>
  <pageMargins left="0.7" right="0.7" top="0.75" bottom="0.75" header="0.3" footer="0.3"/>
  <pageSetup paperSize="9" scale="1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2"/>
  <sheetViews>
    <sheetView view="pageBreakPreview" zoomScale="60" zoomScaleNormal="5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7" sqref="D7:D10"/>
    </sheetView>
  </sheetViews>
  <sheetFormatPr baseColWidth="10" defaultColWidth="10.81640625" defaultRowHeight="14.5"/>
  <cols>
    <col min="1" max="1" width="72.90625" style="53" customWidth="1"/>
    <col min="2" max="2" width="50.1796875" style="57" customWidth="1"/>
    <col min="3" max="3" width="24.1796875" style="54" customWidth="1"/>
    <col min="4" max="4" width="22.1796875" style="53" customWidth="1"/>
    <col min="5" max="5" width="29.54296875" style="53" bestFit="1" customWidth="1"/>
    <col min="6" max="6" width="27.453125" style="73" customWidth="1"/>
    <col min="7" max="7" width="16.7265625" style="53" bestFit="1" customWidth="1"/>
    <col min="8" max="8" width="11.453125" style="53" bestFit="1" customWidth="1"/>
    <col min="9" max="9" width="20.36328125" style="178" bestFit="1" customWidth="1"/>
    <col min="10" max="10" width="16.81640625" style="53" bestFit="1" customWidth="1"/>
    <col min="11" max="16384" width="10.81640625" style="53"/>
  </cols>
  <sheetData>
    <row r="1" spans="1:10" ht="24" customHeight="1">
      <c r="A1" s="339" t="s">
        <v>479</v>
      </c>
      <c r="B1" s="340"/>
      <c r="C1" s="340"/>
      <c r="D1" s="340"/>
      <c r="E1" s="340"/>
      <c r="F1" s="340"/>
      <c r="G1" s="340"/>
      <c r="H1" s="340"/>
      <c r="I1" s="341"/>
    </row>
    <row r="2" spans="1:10" ht="60.75" customHeight="1">
      <c r="A2" s="179" t="s">
        <v>465</v>
      </c>
      <c r="B2" s="180" t="s">
        <v>481</v>
      </c>
      <c r="C2" s="181" t="s">
        <v>533</v>
      </c>
      <c r="D2" s="58" t="s">
        <v>485</v>
      </c>
      <c r="E2" s="59" t="s">
        <v>490</v>
      </c>
      <c r="F2" s="60" t="s">
        <v>486</v>
      </c>
      <c r="G2" s="59" t="s">
        <v>491</v>
      </c>
      <c r="H2" s="59" t="s">
        <v>487</v>
      </c>
      <c r="I2" s="61" t="s">
        <v>492</v>
      </c>
    </row>
    <row r="3" spans="1:10" ht="15" customHeight="1">
      <c r="A3" s="342" t="str">
        <f>Variables!G2</f>
        <v>Tiempo promedio de espera para la asignación de las citas por primera vez - Medicina General</v>
      </c>
      <c r="B3" s="369" t="s">
        <v>468</v>
      </c>
      <c r="C3" s="351">
        <v>32100</v>
      </c>
      <c r="D3" s="362">
        <f>'Entradas (Ic-Inc)'!$L$2</f>
        <v>225510</v>
      </c>
      <c r="E3" s="255">
        <f>D3*C3</f>
        <v>7238871000</v>
      </c>
      <c r="F3" s="349">
        <f>'Entradas (Ic-Inc)'!$O$2</f>
        <v>13668</v>
      </c>
      <c r="G3" s="255">
        <f>C3*F3</f>
        <v>438742800</v>
      </c>
      <c r="H3" s="345">
        <f>D3+F3</f>
        <v>239178</v>
      </c>
      <c r="I3" s="372">
        <f>H3*C3</f>
        <v>7677613800</v>
      </c>
      <c r="J3" s="54"/>
    </row>
    <row r="4" spans="1:10" ht="15" customHeight="1">
      <c r="A4" s="343"/>
      <c r="B4" s="369"/>
      <c r="C4" s="351"/>
      <c r="D4" s="362"/>
      <c r="E4" s="255"/>
      <c r="F4" s="349"/>
      <c r="G4" s="255"/>
      <c r="H4" s="350"/>
      <c r="I4" s="372"/>
    </row>
    <row r="5" spans="1:10" ht="15" customHeight="1">
      <c r="A5" s="343"/>
      <c r="B5" s="369"/>
      <c r="C5" s="351"/>
      <c r="D5" s="362"/>
      <c r="E5" s="255"/>
      <c r="F5" s="349"/>
      <c r="G5" s="255"/>
      <c r="H5" s="350"/>
      <c r="I5" s="372"/>
    </row>
    <row r="6" spans="1:10" ht="15" customHeight="1">
      <c r="A6" s="344"/>
      <c r="B6" s="369"/>
      <c r="C6" s="351"/>
      <c r="D6" s="362"/>
      <c r="E6" s="255"/>
      <c r="F6" s="349"/>
      <c r="G6" s="255"/>
      <c r="H6" s="350"/>
      <c r="I6" s="372"/>
    </row>
    <row r="7" spans="1:10" ht="21.5" customHeight="1">
      <c r="A7" s="342" t="str">
        <f>Variables!G3</f>
        <v>Tiempo promedio de espera para la asignación de cita Promoción y detección (Cardiología, dermatología, enfermería general, gastroenterología, endoscopia, higiene oral, nutrición, optometría y terapias respiratorias)</v>
      </c>
      <c r="B7" s="369" t="s">
        <v>469</v>
      </c>
      <c r="C7" s="351">
        <v>11200</v>
      </c>
      <c r="D7" s="349">
        <f>'Entradas (Ic-Inc)'!$L$6</f>
        <v>12364</v>
      </c>
      <c r="E7" s="255">
        <f>D7*C7</f>
        <v>138476800</v>
      </c>
      <c r="F7" s="349">
        <f>'Entradas (Ic-Inc)'!$O$6</f>
        <v>10095</v>
      </c>
      <c r="G7" s="255">
        <f>F7*C7</f>
        <v>113064000</v>
      </c>
      <c r="H7" s="350">
        <f t="shared" ref="H7" si="0">D7+F7</f>
        <v>22459</v>
      </c>
      <c r="I7" s="346">
        <f>H7*C7</f>
        <v>251540800</v>
      </c>
    </row>
    <row r="8" spans="1:10" ht="23.5" customHeight="1">
      <c r="A8" s="343"/>
      <c r="B8" s="369"/>
      <c r="C8" s="351"/>
      <c r="D8" s="349"/>
      <c r="E8" s="255"/>
      <c r="F8" s="349"/>
      <c r="G8" s="255"/>
      <c r="H8" s="350"/>
      <c r="I8" s="346"/>
    </row>
    <row r="9" spans="1:10" ht="15" customHeight="1">
      <c r="A9" s="343"/>
      <c r="B9" s="369"/>
      <c r="C9" s="351"/>
      <c r="D9" s="349"/>
      <c r="E9" s="255"/>
      <c r="F9" s="349"/>
      <c r="G9" s="255"/>
      <c r="H9" s="350"/>
      <c r="I9" s="346"/>
    </row>
    <row r="10" spans="1:10" ht="15" customHeight="1">
      <c r="A10" s="344"/>
      <c r="B10" s="369"/>
      <c r="C10" s="351"/>
      <c r="D10" s="349"/>
      <c r="E10" s="255"/>
      <c r="F10" s="349"/>
      <c r="G10" s="255"/>
      <c r="H10" s="350"/>
      <c r="I10" s="346"/>
    </row>
    <row r="11" spans="1:10" ht="15" customHeight="1">
      <c r="A11" s="342" t="str">
        <f>Variables!G4</f>
        <v>Tiempo promedio de espera para la asignación de cita de Ortopedia</v>
      </c>
      <c r="B11" s="369" t="s">
        <v>470</v>
      </c>
      <c r="C11" s="351">
        <v>57800</v>
      </c>
      <c r="D11" s="349">
        <f>'Entradas (Ic-Inc)'!$L$10</f>
        <v>802</v>
      </c>
      <c r="E11" s="255">
        <f>D11*C11</f>
        <v>46355600</v>
      </c>
      <c r="F11" s="349">
        <f>'Entradas (Ic-Inc)'!$O$10</f>
        <v>593</v>
      </c>
      <c r="G11" s="255">
        <f>F11*C11</f>
        <v>34275400</v>
      </c>
      <c r="H11" s="350">
        <f t="shared" ref="H11" si="1">D11+F11</f>
        <v>1395</v>
      </c>
      <c r="I11" s="346">
        <f>H11*C11</f>
        <v>80631000</v>
      </c>
    </row>
    <row r="12" spans="1:10" ht="15" customHeight="1">
      <c r="A12" s="343"/>
      <c r="B12" s="369"/>
      <c r="C12" s="351"/>
      <c r="D12" s="349"/>
      <c r="E12" s="255"/>
      <c r="F12" s="349"/>
      <c r="G12" s="255"/>
      <c r="H12" s="350"/>
      <c r="I12" s="346"/>
    </row>
    <row r="13" spans="1:10" ht="15" customHeight="1">
      <c r="A13" s="343"/>
      <c r="B13" s="369"/>
      <c r="C13" s="351"/>
      <c r="D13" s="349"/>
      <c r="E13" s="255"/>
      <c r="F13" s="349"/>
      <c r="G13" s="255"/>
      <c r="H13" s="350"/>
      <c r="I13" s="346"/>
    </row>
    <row r="14" spans="1:10" ht="15" customHeight="1">
      <c r="A14" s="344"/>
      <c r="B14" s="369"/>
      <c r="C14" s="351"/>
      <c r="D14" s="349"/>
      <c r="E14" s="255"/>
      <c r="F14" s="349"/>
      <c r="G14" s="255"/>
      <c r="H14" s="350"/>
      <c r="I14" s="346"/>
    </row>
    <row r="15" spans="1:10" ht="15" customHeight="1">
      <c r="A15" s="342" t="str">
        <f>Variables!G5</f>
        <v>Tiempo promedio de espera para la asignación de cita de Medicina Familiar</v>
      </c>
      <c r="B15" s="369" t="s">
        <v>471</v>
      </c>
      <c r="C15" s="351">
        <v>57800</v>
      </c>
      <c r="D15" s="349">
        <f>'Entradas (Ic-Inc)'!$L$14</f>
        <v>181</v>
      </c>
      <c r="E15" s="255">
        <f>D15*C15</f>
        <v>10461800</v>
      </c>
      <c r="F15" s="349">
        <f>'Entradas (Ic-Inc)'!$O$14</f>
        <v>953</v>
      </c>
      <c r="G15" s="255">
        <f>F15*C15</f>
        <v>55083400</v>
      </c>
      <c r="H15" s="350">
        <f>D15+F15</f>
        <v>1134</v>
      </c>
      <c r="I15" s="346">
        <f>H15*C15</f>
        <v>65545200</v>
      </c>
    </row>
    <row r="16" spans="1:10" ht="15" customHeight="1">
      <c r="A16" s="343"/>
      <c r="B16" s="369"/>
      <c r="C16" s="351"/>
      <c r="D16" s="349"/>
      <c r="E16" s="255"/>
      <c r="F16" s="349"/>
      <c r="G16" s="255"/>
      <c r="H16" s="350"/>
      <c r="I16" s="346"/>
    </row>
    <row r="17" spans="1:9" ht="15" customHeight="1">
      <c r="A17" s="343"/>
      <c r="B17" s="369"/>
      <c r="C17" s="351"/>
      <c r="D17" s="349"/>
      <c r="E17" s="255"/>
      <c r="F17" s="349"/>
      <c r="G17" s="255"/>
      <c r="H17" s="350"/>
      <c r="I17" s="346"/>
    </row>
    <row r="18" spans="1:9" ht="15" customHeight="1">
      <c r="A18" s="344"/>
      <c r="B18" s="369"/>
      <c r="C18" s="351"/>
      <c r="D18" s="349"/>
      <c r="E18" s="255"/>
      <c r="F18" s="349"/>
      <c r="G18" s="255"/>
      <c r="H18" s="350"/>
      <c r="I18" s="346"/>
    </row>
    <row r="19" spans="1:9" ht="15" customHeight="1">
      <c r="A19" s="342" t="str">
        <f>Variables!G6</f>
        <v>Tiempo promedio de espera para la toma de Ecografía</v>
      </c>
      <c r="B19" s="369" t="s">
        <v>472</v>
      </c>
      <c r="C19" s="351">
        <v>52400</v>
      </c>
      <c r="D19" s="349">
        <f>'Entradas (Ic-Inc)'!$L$18</f>
        <v>2306</v>
      </c>
      <c r="E19" s="255">
        <f>D19*C19</f>
        <v>120834400</v>
      </c>
      <c r="F19" s="349">
        <f>'Entradas (Ic-Inc)'!$O$18</f>
        <v>119</v>
      </c>
      <c r="G19" s="255">
        <f>F19*C19</f>
        <v>6235600</v>
      </c>
      <c r="H19" s="350">
        <f>D19+F19</f>
        <v>2425</v>
      </c>
      <c r="I19" s="346">
        <f>H19*C19</f>
        <v>127070000</v>
      </c>
    </row>
    <row r="20" spans="1:9" ht="15" customHeight="1">
      <c r="A20" s="343"/>
      <c r="B20" s="369"/>
      <c r="C20" s="351"/>
      <c r="D20" s="349"/>
      <c r="E20" s="255"/>
      <c r="F20" s="349"/>
      <c r="G20" s="255"/>
      <c r="H20" s="350"/>
      <c r="I20" s="346"/>
    </row>
    <row r="21" spans="1:9" ht="15" customHeight="1">
      <c r="A21" s="343"/>
      <c r="B21" s="369"/>
      <c r="C21" s="351"/>
      <c r="D21" s="349"/>
      <c r="E21" s="255"/>
      <c r="F21" s="349"/>
      <c r="G21" s="255"/>
      <c r="H21" s="350"/>
      <c r="I21" s="346"/>
    </row>
    <row r="22" spans="1:9" ht="15" customHeight="1">
      <c r="A22" s="343"/>
      <c r="B22" s="369"/>
      <c r="C22" s="351"/>
      <c r="D22" s="349"/>
      <c r="E22" s="255"/>
      <c r="F22" s="349"/>
      <c r="G22" s="255"/>
      <c r="H22" s="350"/>
      <c r="I22" s="346"/>
    </row>
    <row r="23" spans="1:9" ht="15" customHeight="1">
      <c r="A23" s="344"/>
      <c r="B23" s="369"/>
      <c r="C23" s="351"/>
      <c r="D23" s="349"/>
      <c r="E23" s="255"/>
      <c r="F23" s="349"/>
      <c r="G23" s="255"/>
      <c r="H23" s="350"/>
      <c r="I23" s="346"/>
    </row>
    <row r="24" spans="1:9" ht="15" customHeight="1">
      <c r="A24" s="342" t="str">
        <f>Variables!G7</f>
        <v>Tiempo promedio de espera para la asignación de cita de Cirugía General</v>
      </c>
      <c r="B24" s="369" t="s">
        <v>473</v>
      </c>
      <c r="C24" s="351">
        <v>52400</v>
      </c>
      <c r="D24" s="374">
        <f>'Entradas (Ic-Inc)'!$L$23</f>
        <v>14</v>
      </c>
      <c r="E24" s="255">
        <f>D24*C24</f>
        <v>733600</v>
      </c>
      <c r="F24" s="349">
        <f>'Entradas (Ic-Inc)'!$O$23</f>
        <v>11</v>
      </c>
      <c r="G24" s="255">
        <f>F24*C24</f>
        <v>576400</v>
      </c>
      <c r="H24" s="350">
        <f>D24+F24</f>
        <v>25</v>
      </c>
      <c r="I24" s="346">
        <f>H24*C24</f>
        <v>1310000</v>
      </c>
    </row>
    <row r="25" spans="1:9" ht="15" customHeight="1">
      <c r="A25" s="343"/>
      <c r="B25" s="369"/>
      <c r="C25" s="351"/>
      <c r="D25" s="374"/>
      <c r="E25" s="255"/>
      <c r="F25" s="349"/>
      <c r="G25" s="255"/>
      <c r="H25" s="350"/>
      <c r="I25" s="346"/>
    </row>
    <row r="26" spans="1:9" ht="15" customHeight="1">
      <c r="A26" s="343"/>
      <c r="B26" s="369"/>
      <c r="C26" s="351"/>
      <c r="D26" s="374"/>
      <c r="E26" s="255"/>
      <c r="F26" s="349"/>
      <c r="G26" s="255"/>
      <c r="H26" s="350"/>
      <c r="I26" s="346"/>
    </row>
    <row r="27" spans="1:9" ht="15" customHeight="1">
      <c r="A27" s="344"/>
      <c r="B27" s="369"/>
      <c r="C27" s="351"/>
      <c r="D27" s="374"/>
      <c r="E27" s="255"/>
      <c r="F27" s="349"/>
      <c r="G27" s="255"/>
      <c r="H27" s="350"/>
      <c r="I27" s="346"/>
    </row>
    <row r="28" spans="1:9" ht="15" customHeight="1">
      <c r="A28" s="342" t="str">
        <f>Variables!G8</f>
        <v>Tiempo promedio de espera para la asignación de cita de pediatría</v>
      </c>
      <c r="B28" s="369" t="s">
        <v>625</v>
      </c>
      <c r="C28" s="351">
        <v>61800</v>
      </c>
      <c r="D28" s="374">
        <f>'Entradas (Ic-Inc)'!$L$27</f>
        <v>614</v>
      </c>
      <c r="E28" s="255">
        <f>D28*C28</f>
        <v>37945200</v>
      </c>
      <c r="F28" s="349">
        <f>'Entradas (Ic-Inc)'!$O$27</f>
        <v>861</v>
      </c>
      <c r="G28" s="255">
        <f>F28*C28</f>
        <v>53209800</v>
      </c>
      <c r="H28" s="350">
        <f>D28+F28</f>
        <v>1475</v>
      </c>
      <c r="I28" s="346">
        <f>H28*C28</f>
        <v>91155000</v>
      </c>
    </row>
    <row r="29" spans="1:9" ht="15" customHeight="1">
      <c r="A29" s="343"/>
      <c r="B29" s="369"/>
      <c r="C29" s="351"/>
      <c r="D29" s="374"/>
      <c r="E29" s="255"/>
      <c r="F29" s="349"/>
      <c r="G29" s="255"/>
      <c r="H29" s="350"/>
      <c r="I29" s="346"/>
    </row>
    <row r="30" spans="1:9" ht="15" customHeight="1">
      <c r="A30" s="343"/>
      <c r="B30" s="369"/>
      <c r="C30" s="351"/>
      <c r="D30" s="374"/>
      <c r="E30" s="255"/>
      <c r="F30" s="349"/>
      <c r="G30" s="255"/>
      <c r="H30" s="350"/>
      <c r="I30" s="346"/>
    </row>
    <row r="31" spans="1:9" ht="15" customHeight="1">
      <c r="A31" s="344"/>
      <c r="B31" s="369"/>
      <c r="C31" s="351"/>
      <c r="D31" s="374"/>
      <c r="E31" s="255"/>
      <c r="F31" s="349"/>
      <c r="G31" s="255"/>
      <c r="H31" s="350"/>
      <c r="I31" s="346"/>
    </row>
    <row r="32" spans="1:9" ht="15" customHeight="1">
      <c r="A32" s="342" t="str">
        <f>Variables!G9</f>
        <v>Tiempo promedio de espera para la asignación de cita de Ginecología y obstetricia</v>
      </c>
      <c r="B32" s="369" t="s">
        <v>626</v>
      </c>
      <c r="C32" s="351">
        <v>52400</v>
      </c>
      <c r="D32" s="374">
        <f>'Entradas (Ic-Inc)'!$L$31</f>
        <v>1804</v>
      </c>
      <c r="E32" s="255">
        <f>D32*C32</f>
        <v>94529600</v>
      </c>
      <c r="F32" s="349">
        <f>'Entradas (Ic-Inc)'!$O$31</f>
        <v>1308</v>
      </c>
      <c r="G32" s="255">
        <f>F32*C32</f>
        <v>68539200</v>
      </c>
      <c r="H32" s="350">
        <f>D32+F32</f>
        <v>3112</v>
      </c>
      <c r="I32" s="346">
        <f>H32*C32</f>
        <v>163068800</v>
      </c>
    </row>
    <row r="33" spans="1:9" ht="15" customHeight="1">
      <c r="A33" s="343"/>
      <c r="B33" s="369"/>
      <c r="C33" s="351"/>
      <c r="D33" s="374"/>
      <c r="E33" s="255"/>
      <c r="F33" s="349"/>
      <c r="G33" s="255"/>
      <c r="H33" s="350"/>
      <c r="I33" s="346"/>
    </row>
    <row r="34" spans="1:9" ht="15" customHeight="1">
      <c r="A34" s="343"/>
      <c r="B34" s="369"/>
      <c r="C34" s="351"/>
      <c r="D34" s="374"/>
      <c r="E34" s="255"/>
      <c r="F34" s="349"/>
      <c r="G34" s="255"/>
      <c r="H34" s="350"/>
      <c r="I34" s="346"/>
    </row>
    <row r="35" spans="1:9" ht="15" customHeight="1">
      <c r="A35" s="344"/>
      <c r="B35" s="369"/>
      <c r="C35" s="351"/>
      <c r="D35" s="374"/>
      <c r="E35" s="255"/>
      <c r="F35" s="349"/>
      <c r="G35" s="255"/>
      <c r="H35" s="350"/>
      <c r="I35" s="346"/>
    </row>
    <row r="36" spans="1:9" ht="15" customHeight="1">
      <c r="A36" s="342" t="str">
        <f>Variables!G10</f>
        <v>Tiempo promedio de espera para la asignación de cita de Medicina Interna</v>
      </c>
      <c r="B36" s="369" t="s">
        <v>474</v>
      </c>
      <c r="C36" s="351">
        <v>57800</v>
      </c>
      <c r="D36" s="374">
        <f>'Entradas (Ic-Inc)'!$L$35</f>
        <v>2306</v>
      </c>
      <c r="E36" s="255">
        <f>D36*C36</f>
        <v>133286800</v>
      </c>
      <c r="F36" s="349">
        <f>'Entradas (Ic-Inc)'!$O$35</f>
        <v>372</v>
      </c>
      <c r="G36" s="255">
        <f>F36*C36</f>
        <v>21501600</v>
      </c>
      <c r="H36" s="350">
        <f t="shared" ref="H36" si="2">D36+F36</f>
        <v>2678</v>
      </c>
      <c r="I36" s="346">
        <f>H36*C36</f>
        <v>154788400</v>
      </c>
    </row>
    <row r="37" spans="1:9" ht="15" customHeight="1">
      <c r="A37" s="343"/>
      <c r="B37" s="369"/>
      <c r="C37" s="351"/>
      <c r="D37" s="374"/>
      <c r="E37" s="255"/>
      <c r="F37" s="349"/>
      <c r="G37" s="255"/>
      <c r="H37" s="350"/>
      <c r="I37" s="346"/>
    </row>
    <row r="38" spans="1:9" ht="15" customHeight="1">
      <c r="A38" s="343"/>
      <c r="B38" s="369"/>
      <c r="C38" s="351"/>
      <c r="D38" s="374"/>
      <c r="E38" s="255"/>
      <c r="F38" s="349"/>
      <c r="G38" s="255"/>
      <c r="H38" s="350"/>
      <c r="I38" s="346"/>
    </row>
    <row r="39" spans="1:9" ht="15" customHeight="1">
      <c r="A39" s="344"/>
      <c r="B39" s="369"/>
      <c r="C39" s="351"/>
      <c r="D39" s="374"/>
      <c r="E39" s="255"/>
      <c r="F39" s="349"/>
      <c r="G39" s="255"/>
      <c r="H39" s="350"/>
      <c r="I39" s="346"/>
    </row>
    <row r="40" spans="1:9" ht="15" customHeight="1">
      <c r="A40" s="342" t="str">
        <f>Variables!G11</f>
        <v>Proporción de gestantes con consulta de control prenatal de primera vez antes de las 12 semanas de gestación</v>
      </c>
      <c r="B40" s="369" t="s">
        <v>467</v>
      </c>
      <c r="C40" s="351">
        <v>52400</v>
      </c>
      <c r="D40" s="349">
        <f>'Entradas (Ic-Inc)'!$L$39</f>
        <v>229</v>
      </c>
      <c r="E40" s="255">
        <f>D40*C40</f>
        <v>11999600</v>
      </c>
      <c r="F40" s="349">
        <f>'Entradas (Ic-Inc)'!$O$39</f>
        <v>1992</v>
      </c>
      <c r="G40" s="255">
        <f>F40*C40</f>
        <v>104380800</v>
      </c>
      <c r="H40" s="345">
        <f>D40+F40</f>
        <v>2221</v>
      </c>
      <c r="I40" s="346">
        <f>H40*C40</f>
        <v>116380400</v>
      </c>
    </row>
    <row r="41" spans="1:9" ht="15" customHeight="1">
      <c r="A41" s="343"/>
      <c r="B41" s="369"/>
      <c r="C41" s="351"/>
      <c r="D41" s="349"/>
      <c r="E41" s="255"/>
      <c r="F41" s="349"/>
      <c r="G41" s="255"/>
      <c r="H41" s="350"/>
      <c r="I41" s="346"/>
    </row>
    <row r="42" spans="1:9" ht="15" customHeight="1">
      <c r="A42" s="343"/>
      <c r="B42" s="369"/>
      <c r="C42" s="351"/>
      <c r="D42" s="349"/>
      <c r="E42" s="255"/>
      <c r="F42" s="349"/>
      <c r="G42" s="255"/>
      <c r="H42" s="350"/>
      <c r="I42" s="346"/>
    </row>
    <row r="43" spans="1:9" ht="15" customHeight="1">
      <c r="A43" s="344"/>
      <c r="B43" s="369"/>
      <c r="C43" s="351"/>
      <c r="D43" s="349"/>
      <c r="E43" s="255"/>
      <c r="F43" s="349"/>
      <c r="G43" s="255"/>
      <c r="H43" s="350"/>
      <c r="I43" s="346"/>
    </row>
    <row r="44" spans="1:9" ht="15" customHeight="1">
      <c r="A44" s="342" t="str">
        <f>Variables!G12</f>
        <v>Tiempo promedio de espera para la asignación de las citas por primera vez - Odontología General</v>
      </c>
      <c r="B44" s="369" t="s">
        <v>627</v>
      </c>
      <c r="C44" s="351">
        <v>24800</v>
      </c>
      <c r="D44" s="374">
        <f>'Entradas (Ic-Inc)'!$L$43</f>
        <v>10581</v>
      </c>
      <c r="E44" s="282">
        <f>D44*C44</f>
        <v>262408800</v>
      </c>
      <c r="F44" s="349">
        <f>'Entradas (Ic-Inc)'!$O$43</f>
        <v>4441</v>
      </c>
      <c r="G44" s="255">
        <f>F44*C44</f>
        <v>110136800</v>
      </c>
      <c r="H44" s="345">
        <f>D44+F44</f>
        <v>15022</v>
      </c>
      <c r="I44" s="346">
        <f>H44*C44</f>
        <v>372545600</v>
      </c>
    </row>
    <row r="45" spans="1:9" ht="15" customHeight="1">
      <c r="A45" s="343"/>
      <c r="B45" s="369"/>
      <c r="C45" s="351"/>
      <c r="D45" s="374"/>
      <c r="E45" s="282"/>
      <c r="F45" s="349"/>
      <c r="G45" s="255"/>
      <c r="H45" s="350"/>
      <c r="I45" s="346"/>
    </row>
    <row r="46" spans="1:9" ht="15" customHeight="1">
      <c r="A46" s="343"/>
      <c r="B46" s="369"/>
      <c r="C46" s="351"/>
      <c r="D46" s="374"/>
      <c r="E46" s="282"/>
      <c r="F46" s="349"/>
      <c r="G46" s="255"/>
      <c r="H46" s="350"/>
      <c r="I46" s="346"/>
    </row>
    <row r="47" spans="1:9" ht="15" customHeight="1">
      <c r="A47" s="344"/>
      <c r="B47" s="369"/>
      <c r="C47" s="351"/>
      <c r="D47" s="374"/>
      <c r="E47" s="282"/>
      <c r="F47" s="349"/>
      <c r="G47" s="255"/>
      <c r="H47" s="350"/>
      <c r="I47" s="346"/>
    </row>
    <row r="48" spans="1:9" ht="15" customHeight="1">
      <c r="A48" s="342" t="str">
        <f>Variables!G13</f>
        <v xml:space="preserve">Tiempo promedio de espera para la entrega de resultados Imágenes Diagnosticas	</v>
      </c>
      <c r="B48" s="347" t="s">
        <v>628</v>
      </c>
      <c r="C48" s="348">
        <v>76843</v>
      </c>
      <c r="D48" s="349">
        <f>'Entradas (Ic-Inc)'!$L$47</f>
        <v>21331</v>
      </c>
      <c r="E48" s="282">
        <f>D48*C48</f>
        <v>1639138033</v>
      </c>
      <c r="F48" s="261">
        <f>'Entradas (Ic-Inc)'!$O$47</f>
        <v>3</v>
      </c>
      <c r="G48" s="255">
        <f>F48*C48</f>
        <v>230529</v>
      </c>
      <c r="H48" s="345">
        <f>D48+F48</f>
        <v>21334</v>
      </c>
      <c r="I48" s="346">
        <f>H48*C48</f>
        <v>1639368562</v>
      </c>
    </row>
    <row r="49" spans="1:11" ht="15" customHeight="1">
      <c r="A49" s="343"/>
      <c r="B49" s="347"/>
      <c r="C49" s="348"/>
      <c r="D49" s="349"/>
      <c r="E49" s="282"/>
      <c r="F49" s="261"/>
      <c r="G49" s="255"/>
      <c r="H49" s="345"/>
      <c r="I49" s="346"/>
    </row>
    <row r="50" spans="1:11" ht="15" customHeight="1">
      <c r="A50" s="343"/>
      <c r="B50" s="347"/>
      <c r="C50" s="348"/>
      <c r="D50" s="349"/>
      <c r="E50" s="282"/>
      <c r="F50" s="261"/>
      <c r="G50" s="255"/>
      <c r="H50" s="345"/>
      <c r="I50" s="346"/>
    </row>
    <row r="51" spans="1:11" ht="15" customHeight="1">
      <c r="A51" s="344"/>
      <c r="B51" s="347"/>
      <c r="C51" s="348"/>
      <c r="D51" s="349"/>
      <c r="E51" s="282"/>
      <c r="F51" s="261"/>
      <c r="G51" s="255"/>
      <c r="H51" s="345"/>
      <c r="I51" s="346"/>
      <c r="K51" s="53">
        <f>(0.001*21334)/100</f>
        <v>0.21334</v>
      </c>
    </row>
    <row r="52" spans="1:11" ht="15" customHeight="1">
      <c r="A52" s="342" t="str">
        <f>Variables!G14</f>
        <v>Letalidad en menores de 5 años por enfermedad diarreica aguda (EDA)</v>
      </c>
      <c r="B52" s="369" t="s">
        <v>629</v>
      </c>
      <c r="C52" s="371">
        <f>E52/H52</f>
        <v>38934</v>
      </c>
      <c r="D52" s="349">
        <f>'Entradas (Ic-Inc)'!$L$52</f>
        <v>330</v>
      </c>
      <c r="E52" s="282">
        <f>38934*H52</f>
        <v>12848220</v>
      </c>
      <c r="F52" s="349">
        <f>'Entradas (Ic-Inc)'!$O$52</f>
        <v>0</v>
      </c>
      <c r="G52" s="255">
        <f>F52*C52</f>
        <v>0</v>
      </c>
      <c r="H52" s="345">
        <f>D52+F52</f>
        <v>330</v>
      </c>
      <c r="I52" s="346">
        <f>H52*C52</f>
        <v>12848220</v>
      </c>
    </row>
    <row r="53" spans="1:11" ht="15" customHeight="1">
      <c r="A53" s="343"/>
      <c r="B53" s="369"/>
      <c r="C53" s="371"/>
      <c r="D53" s="349"/>
      <c r="E53" s="282"/>
      <c r="F53" s="349"/>
      <c r="G53" s="255"/>
      <c r="H53" s="350"/>
      <c r="I53" s="346"/>
    </row>
    <row r="54" spans="1:11" ht="15" customHeight="1">
      <c r="A54" s="343"/>
      <c r="B54" s="369"/>
      <c r="C54" s="371"/>
      <c r="D54" s="349"/>
      <c r="E54" s="282"/>
      <c r="F54" s="349"/>
      <c r="G54" s="255"/>
      <c r="H54" s="350"/>
      <c r="I54" s="346"/>
    </row>
    <row r="55" spans="1:11" ht="15" customHeight="1">
      <c r="A55" s="343"/>
      <c r="B55" s="369"/>
      <c r="C55" s="371"/>
      <c r="D55" s="349"/>
      <c r="E55" s="282"/>
      <c r="F55" s="349"/>
      <c r="G55" s="255"/>
      <c r="H55" s="350"/>
      <c r="I55" s="346"/>
    </row>
    <row r="56" spans="1:11" ht="15" customHeight="1">
      <c r="A56" s="343"/>
      <c r="B56" s="369"/>
      <c r="C56" s="371"/>
      <c r="D56" s="349"/>
      <c r="E56" s="282"/>
      <c r="F56" s="349"/>
      <c r="G56" s="255"/>
      <c r="H56" s="350"/>
      <c r="I56" s="346"/>
    </row>
    <row r="57" spans="1:11" ht="15" customHeight="1">
      <c r="A57" s="344"/>
      <c r="B57" s="369"/>
      <c r="C57" s="371"/>
      <c r="D57" s="349"/>
      <c r="E57" s="282"/>
      <c r="F57" s="349"/>
      <c r="G57" s="255"/>
      <c r="H57" s="350"/>
      <c r="I57" s="346"/>
    </row>
    <row r="58" spans="1:11" ht="15" customHeight="1">
      <c r="A58" s="342" t="str">
        <f>Variables!G15</f>
        <v>Estancia media en la UCI</v>
      </c>
      <c r="B58" s="369" t="s">
        <v>630</v>
      </c>
      <c r="C58" s="351">
        <v>10581488</v>
      </c>
      <c r="D58" s="349">
        <f>'Entradas (Ic-Inc)'!$L$58</f>
        <v>103</v>
      </c>
      <c r="E58" s="282">
        <f>D58*C58</f>
        <v>1089893264</v>
      </c>
      <c r="F58" s="349">
        <f>'Entradas (Ic-Inc)'!$O$58</f>
        <v>17</v>
      </c>
      <c r="G58" s="255">
        <f>F58*C58</f>
        <v>179885296</v>
      </c>
      <c r="H58" s="345">
        <f>SUM(D58+F58)</f>
        <v>120</v>
      </c>
      <c r="I58" s="346">
        <f>H58*C58</f>
        <v>1269778560</v>
      </c>
    </row>
    <row r="59" spans="1:11" ht="15" customHeight="1">
      <c r="A59" s="343"/>
      <c r="B59" s="373"/>
      <c r="C59" s="351"/>
      <c r="D59" s="349"/>
      <c r="E59" s="282"/>
      <c r="F59" s="349"/>
      <c r="G59" s="255"/>
      <c r="H59" s="350"/>
      <c r="I59" s="346"/>
      <c r="J59" s="55"/>
    </row>
    <row r="60" spans="1:11" ht="15" customHeight="1">
      <c r="A60" s="343"/>
      <c r="B60" s="373"/>
      <c r="C60" s="351"/>
      <c r="D60" s="349"/>
      <c r="E60" s="282"/>
      <c r="F60" s="349"/>
      <c r="G60" s="255"/>
      <c r="H60" s="350"/>
      <c r="I60" s="346"/>
    </row>
    <row r="61" spans="1:11" ht="15" customHeight="1">
      <c r="A61" s="343"/>
      <c r="B61" s="373"/>
      <c r="C61" s="351"/>
      <c r="D61" s="349"/>
      <c r="E61" s="282"/>
      <c r="F61" s="349"/>
      <c r="G61" s="255"/>
      <c r="H61" s="350"/>
      <c r="I61" s="346"/>
    </row>
    <row r="62" spans="1:11" ht="15" customHeight="1">
      <c r="A62" s="344"/>
      <c r="B62" s="373"/>
      <c r="C62" s="351"/>
      <c r="D62" s="349"/>
      <c r="E62" s="282"/>
      <c r="F62" s="349"/>
      <c r="G62" s="255"/>
      <c r="H62" s="350"/>
      <c r="I62" s="346"/>
    </row>
    <row r="63" spans="1:11" ht="15" customHeight="1">
      <c r="A63" s="356" t="str">
        <f>Variables!G16</f>
        <v>Porcentaje de ocupación en la UCI</v>
      </c>
      <c r="B63" s="369" t="s">
        <v>631</v>
      </c>
      <c r="C63" s="351">
        <v>1454500</v>
      </c>
      <c r="D63" s="349">
        <f>'Entradas (Ic-Inc)'!$L$63</f>
        <v>458</v>
      </c>
      <c r="E63" s="255">
        <f>D63*C63</f>
        <v>666161000</v>
      </c>
      <c r="F63" s="349">
        <f>'Entradas (Ic-Inc)'!$O$63</f>
        <v>415</v>
      </c>
      <c r="G63" s="255">
        <f>F63*C63</f>
        <v>603617500</v>
      </c>
      <c r="H63" s="345">
        <f>F63+D63</f>
        <v>873</v>
      </c>
      <c r="I63" s="346">
        <f>H63*C63</f>
        <v>1269778500</v>
      </c>
    </row>
    <row r="64" spans="1:11" ht="15" customHeight="1">
      <c r="A64" s="357"/>
      <c r="B64" s="369"/>
      <c r="C64" s="351"/>
      <c r="D64" s="349"/>
      <c r="E64" s="255"/>
      <c r="F64" s="349"/>
      <c r="G64" s="255"/>
      <c r="H64" s="350"/>
      <c r="I64" s="346"/>
    </row>
    <row r="65" spans="1:9" ht="15" customHeight="1">
      <c r="A65" s="357"/>
      <c r="B65" s="369"/>
      <c r="C65" s="351"/>
      <c r="D65" s="349"/>
      <c r="E65" s="255"/>
      <c r="F65" s="349"/>
      <c r="G65" s="255"/>
      <c r="H65" s="350"/>
      <c r="I65" s="346"/>
    </row>
    <row r="66" spans="1:9" ht="15" customHeight="1">
      <c r="A66" s="357"/>
      <c r="B66" s="369"/>
      <c r="C66" s="351"/>
      <c r="D66" s="349"/>
      <c r="E66" s="255"/>
      <c r="F66" s="349"/>
      <c r="G66" s="255"/>
      <c r="H66" s="350"/>
      <c r="I66" s="346"/>
    </row>
    <row r="67" spans="1:9" ht="15" customHeight="1">
      <c r="A67" s="358"/>
      <c r="B67" s="369"/>
      <c r="C67" s="351"/>
      <c r="D67" s="349"/>
      <c r="E67" s="255"/>
      <c r="F67" s="349"/>
      <c r="G67" s="255"/>
      <c r="H67" s="350"/>
      <c r="I67" s="346"/>
    </row>
    <row r="68" spans="1:9" ht="15" customHeight="1">
      <c r="A68" s="353" t="str">
        <f>Variables!G17</f>
        <v>Tasa de reingreso de pacientes hospitalizados en menos de 15 días</v>
      </c>
      <c r="B68" s="369" t="s">
        <v>632</v>
      </c>
      <c r="C68" s="351">
        <v>51488</v>
      </c>
      <c r="D68" s="349">
        <f>'Entradas (Ic-Inc)'!$L$68</f>
        <v>1681</v>
      </c>
      <c r="E68" s="255">
        <f>D68*C68</f>
        <v>86551328</v>
      </c>
      <c r="F68" s="261">
        <f>'Entradas (Ic-Inc)'!$O$68</f>
        <v>2</v>
      </c>
      <c r="G68" s="255">
        <f>F68*C68</f>
        <v>102976</v>
      </c>
      <c r="H68" s="345">
        <f>F68+D68</f>
        <v>1683</v>
      </c>
      <c r="I68" s="346">
        <f>H68*C68</f>
        <v>86654304</v>
      </c>
    </row>
    <row r="69" spans="1:9" ht="15" customHeight="1">
      <c r="A69" s="354"/>
      <c r="B69" s="369"/>
      <c r="C69" s="351"/>
      <c r="D69" s="349"/>
      <c r="E69" s="255"/>
      <c r="F69" s="261"/>
      <c r="G69" s="255"/>
      <c r="H69" s="345"/>
      <c r="I69" s="346"/>
    </row>
    <row r="70" spans="1:9" ht="15" customHeight="1">
      <c r="A70" s="354"/>
      <c r="B70" s="369"/>
      <c r="C70" s="351"/>
      <c r="D70" s="349"/>
      <c r="E70" s="255"/>
      <c r="F70" s="261"/>
      <c r="G70" s="255"/>
      <c r="H70" s="345"/>
      <c r="I70" s="346"/>
    </row>
    <row r="71" spans="1:9" ht="15" customHeight="1">
      <c r="A71" s="354"/>
      <c r="B71" s="369"/>
      <c r="C71" s="351"/>
      <c r="D71" s="349"/>
      <c r="E71" s="255"/>
      <c r="F71" s="261"/>
      <c r="G71" s="255"/>
      <c r="H71" s="345"/>
      <c r="I71" s="346"/>
    </row>
    <row r="72" spans="1:9" ht="15" customHeight="1">
      <c r="A72" s="354"/>
      <c r="B72" s="369"/>
      <c r="C72" s="351"/>
      <c r="D72" s="349"/>
      <c r="E72" s="255"/>
      <c r="F72" s="261"/>
      <c r="G72" s="255"/>
      <c r="H72" s="345"/>
      <c r="I72" s="346"/>
    </row>
    <row r="73" spans="1:9" ht="15" customHeight="1">
      <c r="A73" s="354"/>
      <c r="B73" s="369"/>
      <c r="C73" s="351"/>
      <c r="D73" s="349"/>
      <c r="E73" s="255"/>
      <c r="F73" s="261"/>
      <c r="G73" s="255"/>
      <c r="H73" s="345"/>
      <c r="I73" s="346"/>
    </row>
    <row r="74" spans="1:9" ht="15" customHeight="1">
      <c r="A74" s="355"/>
      <c r="B74" s="369"/>
      <c r="C74" s="351"/>
      <c r="D74" s="349"/>
      <c r="E74" s="255"/>
      <c r="F74" s="261"/>
      <c r="G74" s="255"/>
      <c r="H74" s="345"/>
      <c r="I74" s="346"/>
    </row>
    <row r="75" spans="1:9" ht="15" customHeight="1">
      <c r="A75" s="342" t="str">
        <f>Variables!G18</f>
        <v>Reingresos no programados a la UCI en menos de 48 horas</v>
      </c>
      <c r="B75" s="369" t="s">
        <v>633</v>
      </c>
      <c r="C75" s="351">
        <v>1454500</v>
      </c>
      <c r="D75" s="349">
        <f>'Entradas (Ic-Inc)'!$L$75</f>
        <v>873</v>
      </c>
      <c r="E75" s="255">
        <f>D75*C75</f>
        <v>1269778500</v>
      </c>
      <c r="F75" s="349">
        <f>'Entradas (Ic-Inc)'!$O$75</f>
        <v>0</v>
      </c>
      <c r="G75" s="255">
        <f>F75*C75</f>
        <v>0</v>
      </c>
      <c r="H75" s="345">
        <f>D75+F75</f>
        <v>873</v>
      </c>
      <c r="I75" s="372">
        <f>H75*C75</f>
        <v>1269778500</v>
      </c>
    </row>
    <row r="76" spans="1:9" ht="15" customHeight="1">
      <c r="A76" s="343"/>
      <c r="B76" s="369"/>
      <c r="C76" s="351"/>
      <c r="D76" s="349"/>
      <c r="E76" s="255"/>
      <c r="F76" s="349"/>
      <c r="G76" s="255"/>
      <c r="H76" s="350"/>
      <c r="I76" s="372"/>
    </row>
    <row r="77" spans="1:9" ht="15" customHeight="1">
      <c r="A77" s="343"/>
      <c r="B77" s="369"/>
      <c r="C77" s="351"/>
      <c r="D77" s="349"/>
      <c r="E77" s="255"/>
      <c r="F77" s="349"/>
      <c r="G77" s="255"/>
      <c r="H77" s="350"/>
      <c r="I77" s="372"/>
    </row>
    <row r="78" spans="1:9" ht="15" customHeight="1">
      <c r="A78" s="343"/>
      <c r="B78" s="369"/>
      <c r="C78" s="351"/>
      <c r="D78" s="349"/>
      <c r="E78" s="255"/>
      <c r="F78" s="349"/>
      <c r="G78" s="255"/>
      <c r="H78" s="350"/>
      <c r="I78" s="372"/>
    </row>
    <row r="79" spans="1:9" ht="15" customHeight="1">
      <c r="A79" s="344"/>
      <c r="B79" s="369"/>
      <c r="C79" s="351"/>
      <c r="D79" s="349"/>
      <c r="E79" s="255"/>
      <c r="F79" s="349"/>
      <c r="G79" s="255"/>
      <c r="H79" s="350"/>
      <c r="I79" s="372"/>
    </row>
    <row r="80" spans="1:9" ht="15" customHeight="1">
      <c r="A80" s="342" t="str">
        <f>Variables!G19</f>
        <v>Porcentaje de mortalidad en la UCI</v>
      </c>
      <c r="B80" s="369" t="s">
        <v>634</v>
      </c>
      <c r="C80" s="371">
        <f>C75</f>
        <v>1454500</v>
      </c>
      <c r="D80" s="349">
        <f>'Entradas (Ic-Inc)'!$L$80</f>
        <v>861</v>
      </c>
      <c r="E80" s="255">
        <f>C80*D80</f>
        <v>1252324500</v>
      </c>
      <c r="F80" s="349">
        <f>'Entradas (Ic-Inc)'!$O$80</f>
        <v>12</v>
      </c>
      <c r="G80" s="255">
        <f>F80*C80</f>
        <v>17454000</v>
      </c>
      <c r="H80" s="345">
        <f>D80+F80</f>
        <v>873</v>
      </c>
      <c r="I80" s="346">
        <f>H80*C80</f>
        <v>1269778500</v>
      </c>
    </row>
    <row r="81" spans="1:9" ht="15" customHeight="1">
      <c r="A81" s="343"/>
      <c r="B81" s="369"/>
      <c r="C81" s="371"/>
      <c r="D81" s="349"/>
      <c r="E81" s="255"/>
      <c r="F81" s="349"/>
      <c r="G81" s="255"/>
      <c r="H81" s="345"/>
      <c r="I81" s="346"/>
    </row>
    <row r="82" spans="1:9" ht="15" customHeight="1">
      <c r="A82" s="343"/>
      <c r="B82" s="369"/>
      <c r="C82" s="371"/>
      <c r="D82" s="349"/>
      <c r="E82" s="255"/>
      <c r="F82" s="349"/>
      <c r="G82" s="255"/>
      <c r="H82" s="345"/>
      <c r="I82" s="346"/>
    </row>
    <row r="83" spans="1:9" ht="15" customHeight="1">
      <c r="A83" s="343"/>
      <c r="B83" s="369"/>
      <c r="C83" s="371"/>
      <c r="D83" s="349"/>
      <c r="E83" s="255"/>
      <c r="F83" s="349"/>
      <c r="G83" s="255"/>
      <c r="H83" s="345"/>
      <c r="I83" s="346"/>
    </row>
    <row r="84" spans="1:9" ht="15" customHeight="1">
      <c r="A84" s="344"/>
      <c r="B84" s="369"/>
      <c r="C84" s="371"/>
      <c r="D84" s="349"/>
      <c r="E84" s="255"/>
      <c r="F84" s="349"/>
      <c r="G84" s="255"/>
      <c r="H84" s="345"/>
      <c r="I84" s="346"/>
    </row>
    <row r="85" spans="1:9" ht="15" customHeight="1">
      <c r="A85" s="342" t="str">
        <f>Variables!G20</f>
        <v xml:space="preserve">Proporción de eventos adversos relacionados con la administración de medicamentos en hospitalización </v>
      </c>
      <c r="B85" s="370" t="s">
        <v>635</v>
      </c>
      <c r="C85" s="351">
        <v>55013.440000000002</v>
      </c>
      <c r="D85" s="349">
        <f>'Entradas (Ic-Inc)'!$L$85</f>
        <v>22733</v>
      </c>
      <c r="E85" s="255">
        <f>D85*C85</f>
        <v>1250620531.52</v>
      </c>
      <c r="F85" s="349">
        <f>'Entradas (Ic-Inc)'!$O$85</f>
        <v>1</v>
      </c>
      <c r="G85" s="255">
        <f>F85*C85</f>
        <v>55013.440000000002</v>
      </c>
      <c r="H85" s="345">
        <f>D85+F85</f>
        <v>22734</v>
      </c>
      <c r="I85" s="346">
        <f>H85*C85</f>
        <v>1250675544.96</v>
      </c>
    </row>
    <row r="86" spans="1:9" ht="15" customHeight="1">
      <c r="A86" s="343"/>
      <c r="B86" s="370"/>
      <c r="C86" s="351"/>
      <c r="D86" s="349"/>
      <c r="E86" s="255"/>
      <c r="F86" s="349"/>
      <c r="G86" s="255"/>
      <c r="H86" s="350"/>
      <c r="I86" s="346"/>
    </row>
    <row r="87" spans="1:9" ht="15" customHeight="1">
      <c r="A87" s="343"/>
      <c r="B87" s="370"/>
      <c r="C87" s="351"/>
      <c r="D87" s="349"/>
      <c r="E87" s="255"/>
      <c r="F87" s="349"/>
      <c r="G87" s="255"/>
      <c r="H87" s="350"/>
      <c r="I87" s="346"/>
    </row>
    <row r="88" spans="1:9" ht="15" customHeight="1">
      <c r="A88" s="343"/>
      <c r="B88" s="370"/>
      <c r="C88" s="351"/>
      <c r="D88" s="349"/>
      <c r="E88" s="255"/>
      <c r="F88" s="349"/>
      <c r="G88" s="255"/>
      <c r="H88" s="350"/>
      <c r="I88" s="346"/>
    </row>
    <row r="89" spans="1:9" ht="15" customHeight="1">
      <c r="A89" s="343"/>
      <c r="B89" s="370"/>
      <c r="C89" s="351"/>
      <c r="D89" s="349"/>
      <c r="E89" s="255"/>
      <c r="F89" s="349"/>
      <c r="G89" s="255"/>
      <c r="H89" s="350"/>
      <c r="I89" s="346"/>
    </row>
    <row r="90" spans="1:9" ht="15" customHeight="1">
      <c r="A90" s="344"/>
      <c r="B90" s="370"/>
      <c r="C90" s="351"/>
      <c r="D90" s="349"/>
      <c r="E90" s="255"/>
      <c r="F90" s="349"/>
      <c r="G90" s="255"/>
      <c r="H90" s="350"/>
      <c r="I90" s="346"/>
    </row>
    <row r="91" spans="1:9" ht="15" customHeight="1">
      <c r="A91" s="342" t="str">
        <f>Variables!G21</f>
        <v>Tasa de reingreso de pacientes hospitalizados en menos de 15 días por IRA (Infección respiratoria aguda)</v>
      </c>
      <c r="B91" s="369" t="s">
        <v>636</v>
      </c>
      <c r="C91" s="351">
        <v>1464182</v>
      </c>
      <c r="D91" s="349">
        <f>'Entradas (Ic-Inc)'!$L$91</f>
        <v>89</v>
      </c>
      <c r="E91" s="282">
        <f>D91*C91</f>
        <v>130312198</v>
      </c>
      <c r="F91" s="349">
        <f>'Entradas (Ic-Inc)'!$O$91</f>
        <v>2</v>
      </c>
      <c r="G91" s="255">
        <f>C91*F91</f>
        <v>2928364</v>
      </c>
      <c r="H91" s="345">
        <f>D91+F91</f>
        <v>91</v>
      </c>
      <c r="I91" s="346">
        <f>H91*C91</f>
        <v>133240562</v>
      </c>
    </row>
    <row r="92" spans="1:9" ht="15" customHeight="1">
      <c r="A92" s="343"/>
      <c r="B92" s="369"/>
      <c r="C92" s="351"/>
      <c r="D92" s="349"/>
      <c r="E92" s="282"/>
      <c r="F92" s="349"/>
      <c r="G92" s="255"/>
      <c r="H92" s="345"/>
      <c r="I92" s="346"/>
    </row>
    <row r="93" spans="1:9" ht="15" customHeight="1">
      <c r="A93" s="343"/>
      <c r="B93" s="369"/>
      <c r="C93" s="351"/>
      <c r="D93" s="349"/>
      <c r="E93" s="282"/>
      <c r="F93" s="349"/>
      <c r="G93" s="255"/>
      <c r="H93" s="345"/>
      <c r="I93" s="346"/>
    </row>
    <row r="94" spans="1:9" ht="15" customHeight="1">
      <c r="A94" s="343"/>
      <c r="B94" s="369"/>
      <c r="C94" s="351"/>
      <c r="D94" s="349"/>
      <c r="E94" s="282"/>
      <c r="F94" s="349"/>
      <c r="G94" s="255"/>
      <c r="H94" s="345"/>
      <c r="I94" s="346"/>
    </row>
    <row r="95" spans="1:9" ht="15" customHeight="1">
      <c r="A95" s="343"/>
      <c r="B95" s="369"/>
      <c r="C95" s="351"/>
      <c r="D95" s="349"/>
      <c r="E95" s="282"/>
      <c r="F95" s="349"/>
      <c r="G95" s="255"/>
      <c r="H95" s="345"/>
      <c r="I95" s="346"/>
    </row>
    <row r="96" spans="1:9" ht="15" customHeight="1">
      <c r="A96" s="343"/>
      <c r="B96" s="369"/>
      <c r="C96" s="351"/>
      <c r="D96" s="349"/>
      <c r="E96" s="282"/>
      <c r="F96" s="349"/>
      <c r="G96" s="255"/>
      <c r="H96" s="345"/>
      <c r="I96" s="346"/>
    </row>
    <row r="97" spans="1:9" ht="15" customHeight="1">
      <c r="A97" s="344"/>
      <c r="B97" s="369"/>
      <c r="C97" s="351"/>
      <c r="D97" s="349"/>
      <c r="E97" s="282"/>
      <c r="F97" s="349"/>
      <c r="G97" s="255"/>
      <c r="H97" s="345"/>
      <c r="I97" s="346"/>
    </row>
    <row r="98" spans="1:9" ht="15" customHeight="1">
      <c r="A98" s="342" t="str">
        <f>Variables!G22</f>
        <v>Proporción de satisfacción global de los usuarios en la IPS</v>
      </c>
      <c r="B98" s="366" t="s">
        <v>343</v>
      </c>
      <c r="C98" s="351">
        <v>8144</v>
      </c>
      <c r="D98" s="349">
        <f>'Entradas (Ic-Inc)'!$L$98</f>
        <v>9279</v>
      </c>
      <c r="E98" s="359">
        <f>D98*C98</f>
        <v>75568176</v>
      </c>
      <c r="F98" s="349">
        <f>'Entradas (Ic-Inc)'!$O$98</f>
        <v>85</v>
      </c>
      <c r="G98" s="362">
        <f>C98*F98</f>
        <v>692240</v>
      </c>
      <c r="H98" s="345">
        <f>D98+F98</f>
        <v>9364</v>
      </c>
      <c r="I98" s="364">
        <f>H98*C98</f>
        <v>76260416</v>
      </c>
    </row>
    <row r="99" spans="1:9" ht="15" customHeight="1">
      <c r="A99" s="343"/>
      <c r="B99" s="366"/>
      <c r="C99" s="351"/>
      <c r="D99" s="349"/>
      <c r="E99" s="359"/>
      <c r="F99" s="349"/>
      <c r="G99" s="255"/>
      <c r="H99" s="345"/>
      <c r="I99" s="364"/>
    </row>
    <row r="100" spans="1:9" ht="15" customHeight="1">
      <c r="A100" s="343"/>
      <c r="B100" s="366"/>
      <c r="C100" s="351"/>
      <c r="D100" s="349"/>
      <c r="E100" s="359"/>
      <c r="F100" s="349"/>
      <c r="G100" s="255"/>
      <c r="H100" s="345"/>
      <c r="I100" s="364"/>
    </row>
    <row r="101" spans="1:9" ht="15" customHeight="1" thickBot="1">
      <c r="A101" s="352"/>
      <c r="B101" s="367"/>
      <c r="C101" s="368"/>
      <c r="D101" s="361"/>
      <c r="E101" s="360"/>
      <c r="F101" s="361"/>
      <c r="G101" s="256"/>
      <c r="H101" s="363"/>
      <c r="I101" s="365"/>
    </row>
    <row r="102" spans="1:9">
      <c r="A102" s="56"/>
    </row>
  </sheetData>
  <sheetProtection algorithmName="SHA-512" hashValue="9/Kx4OIVNhkjZfSGYXtsZ+fFFEhfxmXRoFGsPKc3O2CcqhNB6ybViIpMUOOA3krHCBqp/oK8O6kPmByfH99NlA==" saltValue="2kmEJAUNtF06agGsqdzUeA==" spinCount="100000" sheet="1" objects="1" scenarios="1"/>
  <mergeCells count="190">
    <mergeCell ref="D3:D6"/>
    <mergeCell ref="E3:E6"/>
    <mergeCell ref="F3:F6"/>
    <mergeCell ref="G3:G6"/>
    <mergeCell ref="H3:H6"/>
    <mergeCell ref="I3:I6"/>
    <mergeCell ref="B3:B6"/>
    <mergeCell ref="C3:C6"/>
    <mergeCell ref="H7:H10"/>
    <mergeCell ref="I7:I10"/>
    <mergeCell ref="B7:B10"/>
    <mergeCell ref="C7:C10"/>
    <mergeCell ref="D7:D10"/>
    <mergeCell ref="E7:E10"/>
    <mergeCell ref="F7:F10"/>
    <mergeCell ref="G7:G10"/>
    <mergeCell ref="D15:D18"/>
    <mergeCell ref="E15:E18"/>
    <mergeCell ref="F15:F18"/>
    <mergeCell ref="G15:G18"/>
    <mergeCell ref="H15:H18"/>
    <mergeCell ref="I15:I18"/>
    <mergeCell ref="I11:I14"/>
    <mergeCell ref="B15:B18"/>
    <mergeCell ref="C15:C18"/>
    <mergeCell ref="C11:C14"/>
    <mergeCell ref="D11:D14"/>
    <mergeCell ref="E11:E14"/>
    <mergeCell ref="F11:F14"/>
    <mergeCell ref="G11:G14"/>
    <mergeCell ref="H11:H14"/>
    <mergeCell ref="B11:B14"/>
    <mergeCell ref="H19:H23"/>
    <mergeCell ref="I19:I23"/>
    <mergeCell ref="B19:B23"/>
    <mergeCell ref="C19:C23"/>
    <mergeCell ref="D19:D23"/>
    <mergeCell ref="E19:E23"/>
    <mergeCell ref="F19:F23"/>
    <mergeCell ref="G19:G23"/>
    <mergeCell ref="A19:A23"/>
    <mergeCell ref="H24:H27"/>
    <mergeCell ref="I24:I27"/>
    <mergeCell ref="B28:B31"/>
    <mergeCell ref="B24:B27"/>
    <mergeCell ref="C24:C27"/>
    <mergeCell ref="D24:D27"/>
    <mergeCell ref="E24:E27"/>
    <mergeCell ref="F24:F27"/>
    <mergeCell ref="G24:G27"/>
    <mergeCell ref="D32:D35"/>
    <mergeCell ref="E32:E35"/>
    <mergeCell ref="F32:F35"/>
    <mergeCell ref="G32:G35"/>
    <mergeCell ref="H32:H35"/>
    <mergeCell ref="I32:I35"/>
    <mergeCell ref="I28:I31"/>
    <mergeCell ref="B32:B35"/>
    <mergeCell ref="C32:C35"/>
    <mergeCell ref="C28:C31"/>
    <mergeCell ref="D28:D31"/>
    <mergeCell ref="E28:E31"/>
    <mergeCell ref="F28:F31"/>
    <mergeCell ref="G28:G31"/>
    <mergeCell ref="H28:H31"/>
    <mergeCell ref="D40:D43"/>
    <mergeCell ref="E40:E43"/>
    <mergeCell ref="F40:F43"/>
    <mergeCell ref="G40:G43"/>
    <mergeCell ref="H40:H43"/>
    <mergeCell ref="H36:H39"/>
    <mergeCell ref="I36:I39"/>
    <mergeCell ref="B40:B43"/>
    <mergeCell ref="B36:B39"/>
    <mergeCell ref="C36:C39"/>
    <mergeCell ref="D36:D39"/>
    <mergeCell ref="E36:E39"/>
    <mergeCell ref="F36:F39"/>
    <mergeCell ref="G36:G39"/>
    <mergeCell ref="B58:B62"/>
    <mergeCell ref="B52:B57"/>
    <mergeCell ref="C52:C57"/>
    <mergeCell ref="D52:D57"/>
    <mergeCell ref="E52:E57"/>
    <mergeCell ref="F52:F57"/>
    <mergeCell ref="G52:G57"/>
    <mergeCell ref="D44:D47"/>
    <mergeCell ref="E44:E47"/>
    <mergeCell ref="F44:F47"/>
    <mergeCell ref="G44:G47"/>
    <mergeCell ref="B44:B47"/>
    <mergeCell ref="C44:C47"/>
    <mergeCell ref="I58:I62"/>
    <mergeCell ref="C58:C62"/>
    <mergeCell ref="D58:D62"/>
    <mergeCell ref="E58:E62"/>
    <mergeCell ref="F58:F62"/>
    <mergeCell ref="G58:G62"/>
    <mergeCell ref="H58:H62"/>
    <mergeCell ref="H52:H57"/>
    <mergeCell ref="I52:I57"/>
    <mergeCell ref="I68:I74"/>
    <mergeCell ref="C68:C74"/>
    <mergeCell ref="D68:D74"/>
    <mergeCell ref="E68:E74"/>
    <mergeCell ref="F68:F74"/>
    <mergeCell ref="G68:G74"/>
    <mergeCell ref="H68:H74"/>
    <mergeCell ref="I63:I67"/>
    <mergeCell ref="B68:B74"/>
    <mergeCell ref="C63:C67"/>
    <mergeCell ref="D63:D67"/>
    <mergeCell ref="E63:E67"/>
    <mergeCell ref="F63:F67"/>
    <mergeCell ref="G63:G67"/>
    <mergeCell ref="H63:H67"/>
    <mergeCell ref="B63:B67"/>
    <mergeCell ref="I75:I79"/>
    <mergeCell ref="B80:B84"/>
    <mergeCell ref="C75:C79"/>
    <mergeCell ref="D75:D79"/>
    <mergeCell ref="E75:E79"/>
    <mergeCell ref="F75:F79"/>
    <mergeCell ref="G75:G79"/>
    <mergeCell ref="H75:H79"/>
    <mergeCell ref="B75:B79"/>
    <mergeCell ref="I85:I90"/>
    <mergeCell ref="B91:B97"/>
    <mergeCell ref="C85:C90"/>
    <mergeCell ref="D85:D90"/>
    <mergeCell ref="E85:E90"/>
    <mergeCell ref="F85:F90"/>
    <mergeCell ref="G85:G90"/>
    <mergeCell ref="H85:H90"/>
    <mergeCell ref="I80:I84"/>
    <mergeCell ref="B85:B90"/>
    <mergeCell ref="C80:C84"/>
    <mergeCell ref="D80:D84"/>
    <mergeCell ref="E80:E84"/>
    <mergeCell ref="F80:F84"/>
    <mergeCell ref="G80:G84"/>
    <mergeCell ref="H80:H84"/>
    <mergeCell ref="E98:E101"/>
    <mergeCell ref="F98:F101"/>
    <mergeCell ref="G98:G101"/>
    <mergeCell ref="H98:H101"/>
    <mergeCell ref="I98:I101"/>
    <mergeCell ref="I91:I97"/>
    <mergeCell ref="B98:B101"/>
    <mergeCell ref="C98:C101"/>
    <mergeCell ref="D98:D101"/>
    <mergeCell ref="C91:C97"/>
    <mergeCell ref="D91:D97"/>
    <mergeCell ref="E91:E97"/>
    <mergeCell ref="F91:F97"/>
    <mergeCell ref="G91:G97"/>
    <mergeCell ref="H91:H97"/>
    <mergeCell ref="A98:A101"/>
    <mergeCell ref="A91:A97"/>
    <mergeCell ref="A85:A90"/>
    <mergeCell ref="A80:A84"/>
    <mergeCell ref="A75:A79"/>
    <mergeCell ref="A68:A74"/>
    <mergeCell ref="A63:A67"/>
    <mergeCell ref="A58:A62"/>
    <mergeCell ref="A11:A14"/>
    <mergeCell ref="A1:I1"/>
    <mergeCell ref="A3:A6"/>
    <mergeCell ref="A15:A18"/>
    <mergeCell ref="A7:A10"/>
    <mergeCell ref="A52:A57"/>
    <mergeCell ref="A44:A47"/>
    <mergeCell ref="A48:A51"/>
    <mergeCell ref="A40:A43"/>
    <mergeCell ref="A32:A35"/>
    <mergeCell ref="A36:A39"/>
    <mergeCell ref="A28:A31"/>
    <mergeCell ref="A24:A27"/>
    <mergeCell ref="H48:H51"/>
    <mergeCell ref="I48:I51"/>
    <mergeCell ref="B48:B51"/>
    <mergeCell ref="C48:C51"/>
    <mergeCell ref="D48:D51"/>
    <mergeCell ref="E48:E51"/>
    <mergeCell ref="F48:F51"/>
    <mergeCell ref="G48:G51"/>
    <mergeCell ref="H44:H47"/>
    <mergeCell ref="I44:I47"/>
    <mergeCell ref="I40:I43"/>
    <mergeCell ref="C40:C43"/>
  </mergeCells>
  <pageMargins left="0.7" right="0.7" top="0.75" bottom="0.75" header="0.3" footer="0.3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5"/>
  <sheetViews>
    <sheetView view="pageBreakPreview" zoomScale="70" zoomScaleNormal="60" zoomScaleSheetLayoutView="7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baseColWidth="10" defaultColWidth="10.81640625" defaultRowHeight="14.5"/>
  <cols>
    <col min="1" max="1" width="10.81640625" style="53"/>
    <col min="2" max="2" width="52.81640625" style="53" customWidth="1"/>
    <col min="3" max="3" width="18.453125" style="53" customWidth="1"/>
    <col min="4" max="5" width="20" style="53" customWidth="1"/>
    <col min="6" max="6" width="38.26953125" style="53" customWidth="1"/>
    <col min="7" max="7" width="39.7265625" style="53" customWidth="1"/>
    <col min="8" max="9" width="35.1796875" style="53" customWidth="1"/>
    <col min="10" max="10" width="30.453125" style="53" customWidth="1"/>
    <col min="11" max="11" width="23.26953125" style="53" bestFit="1" customWidth="1"/>
    <col min="12" max="12" width="22.453125" style="53" bestFit="1" customWidth="1"/>
    <col min="13" max="13" width="15.1796875" style="53" bestFit="1" customWidth="1"/>
    <col min="14" max="14" width="22.1796875" style="53" customWidth="1"/>
    <col min="15" max="15" width="25.453125" style="53" customWidth="1"/>
    <col min="16" max="16" width="26.453125" style="53" customWidth="1"/>
    <col min="17" max="17" width="15.1796875" style="53" bestFit="1" customWidth="1"/>
    <col min="18" max="18" width="16.26953125" style="53" bestFit="1" customWidth="1"/>
    <col min="19" max="16384" width="10.81640625" style="53"/>
  </cols>
  <sheetData>
    <row r="1" spans="1:18">
      <c r="A1" s="375" t="s">
        <v>571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8" ht="29.5" customHeight="1">
      <c r="A2" s="376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</row>
    <row r="3" spans="1:18" ht="76.5" customHeight="1">
      <c r="A3" s="62" t="s">
        <v>2</v>
      </c>
      <c r="B3" s="62" t="s">
        <v>1</v>
      </c>
      <c r="C3" s="62" t="s">
        <v>32</v>
      </c>
      <c r="D3" s="63" t="s">
        <v>337</v>
      </c>
      <c r="E3" s="63" t="s">
        <v>345</v>
      </c>
      <c r="F3" s="63" t="s">
        <v>338</v>
      </c>
      <c r="G3" s="63" t="s">
        <v>339</v>
      </c>
      <c r="H3" s="63" t="s">
        <v>340</v>
      </c>
      <c r="I3" s="63" t="s">
        <v>499</v>
      </c>
      <c r="J3" s="63" t="s">
        <v>366</v>
      </c>
      <c r="K3" s="63" t="s">
        <v>367</v>
      </c>
      <c r="L3" s="63" t="s">
        <v>421</v>
      </c>
      <c r="M3" s="64" t="s">
        <v>489</v>
      </c>
      <c r="N3" s="64" t="s">
        <v>510</v>
      </c>
      <c r="O3" s="63" t="s">
        <v>488</v>
      </c>
      <c r="P3" s="63" t="s">
        <v>508</v>
      </c>
    </row>
    <row r="4" spans="1:18" s="66" customFormat="1" ht="60" customHeight="1">
      <c r="A4" s="195">
        <v>1</v>
      </c>
      <c r="B4" s="196" t="str">
        <f>Variables!G2</f>
        <v>Tiempo promedio de espera para la asignación de las citas por primera vez - Medicina General</v>
      </c>
      <c r="C4" s="197" t="str">
        <f>Variables!H2</f>
        <v>MENSUAL</v>
      </c>
      <c r="D4" s="197" t="str">
        <f>Variables!I2</f>
        <v>Resolución 1552</v>
      </c>
      <c r="E4" s="197" t="str">
        <f>Variables!J2</f>
        <v>Financiera, física y talento humano.</v>
      </c>
      <c r="F4" s="182" t="s">
        <v>678</v>
      </c>
      <c r="G4" s="182" t="s">
        <v>679</v>
      </c>
      <c r="H4" s="182" t="s">
        <v>680</v>
      </c>
      <c r="I4" s="186">
        <f>'Entradas (Ic-Inc)'!K2</f>
        <v>2549181071.8204575</v>
      </c>
      <c r="J4" s="186">
        <f>'Entradas (Ic-Inc)'!$M$2</f>
        <v>2403506273.596365</v>
      </c>
      <c r="K4" s="186">
        <f>'Entradas (Ic-Inc)'!$P$2</f>
        <v>145674798.22409257</v>
      </c>
      <c r="L4" s="186">
        <f>'Salidas(Ot)'!$I$3</f>
        <v>7677613800</v>
      </c>
      <c r="M4" s="187">
        <f>J4/L4</f>
        <v>0.31305381283913564</v>
      </c>
      <c r="N4" s="187">
        <f>K4/L4</f>
        <v>1.8973967956566477E-2</v>
      </c>
      <c r="O4" s="188">
        <f>M4+N4</f>
        <v>0.33202778079570211</v>
      </c>
      <c r="P4" s="189">
        <f>1/O4</f>
        <v>3.0117961744150064</v>
      </c>
      <c r="Q4" s="65"/>
    </row>
    <row r="5" spans="1:18" s="66" customFormat="1" ht="68.150000000000006" customHeight="1">
      <c r="A5" s="195">
        <v>2</v>
      </c>
      <c r="B5" s="198" t="str">
        <f>Variables!G3</f>
        <v>Tiempo promedio de espera para la asignación de cita Promoción y detección (Cardiología, dermatología, enfermería general, gastroenterología, endoscopia, higiene oral, nutrición, optometría y terapias respiratorias)</v>
      </c>
      <c r="C5" s="197" t="str">
        <f>Variables!H3</f>
        <v>MENSUAL</v>
      </c>
      <c r="D5" s="197" t="str">
        <f>Variables!I3</f>
        <v>Resolución 1552</v>
      </c>
      <c r="E5" s="197" t="str">
        <f>Variables!J3</f>
        <v>Financiera, física y talento humano.</v>
      </c>
      <c r="F5" s="182" t="s">
        <v>637</v>
      </c>
      <c r="G5" s="182" t="s">
        <v>638</v>
      </c>
      <c r="H5" s="182" t="s">
        <v>639</v>
      </c>
      <c r="I5" s="186">
        <f>'Entradas (Ic-Inc)'!K6</f>
        <v>249609004.13924208</v>
      </c>
      <c r="J5" s="186">
        <f>'Entradas (Ic-Inc)'!$M$6</f>
        <v>137413318.81105965</v>
      </c>
      <c r="K5" s="186">
        <f>'Entradas (Ic-Inc)'!$P$6</f>
        <v>112195685.32818241</v>
      </c>
      <c r="L5" s="186">
        <f>'Salidas(Ot)'!$I$7</f>
        <v>251540800</v>
      </c>
      <c r="M5" s="187">
        <f t="shared" ref="M5:M22" si="0">J5/L5</f>
        <v>0.54628640288597174</v>
      </c>
      <c r="N5" s="187">
        <f t="shared" ref="N5:N22" si="1">K5/L5</f>
        <v>0.44603374612858993</v>
      </c>
      <c r="O5" s="188">
        <f t="shared" ref="O5:O22" si="2">M5+N5</f>
        <v>0.99232014901456167</v>
      </c>
      <c r="P5" s="189">
        <f>1/O5</f>
        <v>1.0077392875606375</v>
      </c>
      <c r="R5" s="68"/>
    </row>
    <row r="6" spans="1:18" s="66" customFormat="1" ht="68.150000000000006" customHeight="1">
      <c r="A6" s="195">
        <v>3</v>
      </c>
      <c r="B6" s="199" t="str">
        <f>Variables!G4</f>
        <v>Tiempo promedio de espera para la asignación de cita de Ortopedia</v>
      </c>
      <c r="C6" s="197" t="str">
        <f>Variables!H4</f>
        <v>MENSUAL</v>
      </c>
      <c r="D6" s="197" t="str">
        <f>Variables!I4</f>
        <v>Resolución 1552</v>
      </c>
      <c r="E6" s="197" t="str">
        <f>Variables!J4</f>
        <v>Financiera, física y talento humano.</v>
      </c>
      <c r="F6" s="182" t="s">
        <v>637</v>
      </c>
      <c r="G6" s="182" t="s">
        <v>640</v>
      </c>
      <c r="H6" s="182" t="s">
        <v>641</v>
      </c>
      <c r="I6" s="186">
        <f>'Entradas (Ic-Inc)'!K10</f>
        <v>26174336.765268266</v>
      </c>
      <c r="J6" s="186">
        <f>'Entradas (Ic-Inc)'!$M$10</f>
        <v>15047898.269351363</v>
      </c>
      <c r="K6" s="186">
        <f>'Entradas (Ic-Inc)'!$P$10</f>
        <v>11126438.495916903</v>
      </c>
      <c r="L6" s="186">
        <f>'Salidas(Ot)'!$I$11</f>
        <v>80631000</v>
      </c>
      <c r="M6" s="187">
        <f t="shared" si="0"/>
        <v>0.1866267101902663</v>
      </c>
      <c r="N6" s="187">
        <f t="shared" si="1"/>
        <v>0.13799206875664327</v>
      </c>
      <c r="O6" s="188">
        <f t="shared" si="2"/>
        <v>0.3246187789469096</v>
      </c>
      <c r="P6" s="189">
        <f>1/O6</f>
        <v>3.0805365088368681</v>
      </c>
    </row>
    <row r="7" spans="1:18" s="66" customFormat="1" ht="68.150000000000006" customHeight="1">
      <c r="A7" s="195">
        <v>4</v>
      </c>
      <c r="B7" s="198" t="str">
        <f>Variables!G5</f>
        <v>Tiempo promedio de espera para la asignación de cita de Medicina Familiar</v>
      </c>
      <c r="C7" s="197" t="str">
        <f>Variables!H5</f>
        <v>MENSUAL</v>
      </c>
      <c r="D7" s="197" t="str">
        <f>Variables!I5</f>
        <v>Resolución 1552</v>
      </c>
      <c r="E7" s="197" t="str">
        <f>Variables!J5</f>
        <v>Financiera, física y talento humano.</v>
      </c>
      <c r="F7" s="182" t="s">
        <v>637</v>
      </c>
      <c r="G7" s="182" t="s">
        <v>642</v>
      </c>
      <c r="H7" s="182" t="s">
        <v>643</v>
      </c>
      <c r="I7" s="186">
        <f>'Entradas (Ic-Inc)'!K14</f>
        <v>21181550.184371926</v>
      </c>
      <c r="J7" s="190">
        <f>'Entradas (Ic-Inc)'!$M$14</f>
        <v>3380829.4385990463</v>
      </c>
      <c r="K7" s="186">
        <f>'Entradas (Ic-Inc)'!$P$14</f>
        <v>17800720.74577288</v>
      </c>
      <c r="L7" s="186">
        <f>'Salidas(Ot)'!$I$15</f>
        <v>65545200</v>
      </c>
      <c r="M7" s="187">
        <f t="shared" si="0"/>
        <v>5.1580122397964251E-2</v>
      </c>
      <c r="N7" s="187">
        <f t="shared" si="1"/>
        <v>0.27157931848209904</v>
      </c>
      <c r="O7" s="188">
        <f t="shared" si="2"/>
        <v>0.32315944088006332</v>
      </c>
      <c r="P7" s="189">
        <f>1/O7</f>
        <v>3.0944477353862543</v>
      </c>
    </row>
    <row r="8" spans="1:18" s="66" customFormat="1" ht="68.150000000000006" customHeight="1">
      <c r="A8" s="195">
        <v>5</v>
      </c>
      <c r="B8" s="199" t="str">
        <f>Variables!G6</f>
        <v>Tiempo promedio de espera para la toma de Ecografía</v>
      </c>
      <c r="C8" s="197" t="str">
        <f>Variables!H6</f>
        <v>MENSUAL</v>
      </c>
      <c r="D8" s="197" t="str">
        <f>Variables!I6</f>
        <v>Resolución 1552</v>
      </c>
      <c r="E8" s="197" t="str">
        <f>Variables!J6</f>
        <v>Financiera, física y talento humano.</v>
      </c>
      <c r="F8" s="182" t="s">
        <v>637</v>
      </c>
      <c r="G8" s="182" t="s">
        <v>644</v>
      </c>
      <c r="H8" s="182" t="s">
        <v>645</v>
      </c>
      <c r="I8" s="186">
        <f>'Entradas (Ic-Inc)'!K18</f>
        <v>73177845.632517621</v>
      </c>
      <c r="J8" s="186">
        <f>'Entradas (Ic-Inc)'!$M$18</f>
        <v>69586850.321066245</v>
      </c>
      <c r="K8" s="186">
        <f>'Entradas (Ic-Inc)'!$P$18</f>
        <v>3590995.3114513801</v>
      </c>
      <c r="L8" s="186">
        <f>'Salidas(Ot)'!$I$19</f>
        <v>127070000</v>
      </c>
      <c r="M8" s="187">
        <f t="shared" si="0"/>
        <v>0.54762611411872386</v>
      </c>
      <c r="N8" s="187">
        <f t="shared" si="1"/>
        <v>2.82599772680521E-2</v>
      </c>
      <c r="O8" s="188">
        <f t="shared" si="2"/>
        <v>0.57588609138677593</v>
      </c>
      <c r="P8" s="189">
        <f t="shared" ref="P8:P23" si="3">1/O8</f>
        <v>1.7364545088976306</v>
      </c>
    </row>
    <row r="9" spans="1:18" s="66" customFormat="1" ht="68.150000000000006" customHeight="1">
      <c r="A9" s="195">
        <v>6</v>
      </c>
      <c r="B9" s="198" t="str">
        <f>Variables!G7</f>
        <v>Tiempo promedio de espera para la asignación de cita de Cirugía General</v>
      </c>
      <c r="C9" s="197" t="str">
        <f>Variables!H7</f>
        <v>MENSUAL</v>
      </c>
      <c r="D9" s="197" t="str">
        <f>Variables!I7</f>
        <v>Resolución 1552</v>
      </c>
      <c r="E9" s="197" t="str">
        <f>Variables!J7</f>
        <v>Financiera, física y talento humano.</v>
      </c>
      <c r="F9" s="182" t="s">
        <v>637</v>
      </c>
      <c r="G9" s="182" t="s">
        <v>646</v>
      </c>
      <c r="H9" s="182" t="s">
        <v>647</v>
      </c>
      <c r="I9" s="186">
        <f>'Entradas (Ic-Inc)'!K23</f>
        <v>11767526.713466346</v>
      </c>
      <c r="J9" s="186">
        <f>'Entradas (Ic-Inc)'!$M$23</f>
        <v>6589814.9595411541</v>
      </c>
      <c r="K9" s="186">
        <f>'Entradas (Ic-Inc)'!$P$23</f>
        <v>5177711.7539251922</v>
      </c>
      <c r="L9" s="186">
        <f>'Salidas(Ot)'!$I$24</f>
        <v>1310000</v>
      </c>
      <c r="M9" s="187">
        <f>J9/L9</f>
        <v>5.0303930988863774</v>
      </c>
      <c r="N9" s="187">
        <f t="shared" si="1"/>
        <v>3.9524517205535816</v>
      </c>
      <c r="O9" s="188">
        <f t="shared" si="2"/>
        <v>8.9828448194399595</v>
      </c>
      <c r="P9" s="191">
        <f t="shared" si="3"/>
        <v>0.11132330793869213</v>
      </c>
    </row>
    <row r="10" spans="1:18" s="66" customFormat="1" ht="68.150000000000006" customHeight="1">
      <c r="A10" s="195">
        <v>7</v>
      </c>
      <c r="B10" s="199" t="str">
        <f>Variables!G8</f>
        <v>Tiempo promedio de espera para la asignación de cita de pediatría</v>
      </c>
      <c r="C10" s="197" t="str">
        <f>Variables!H8</f>
        <v>MENSUAL</v>
      </c>
      <c r="D10" s="197" t="str">
        <f>Variables!I8</f>
        <v>Resolución 1552</v>
      </c>
      <c r="E10" s="197" t="str">
        <f>Variables!J8</f>
        <v>Financiera, física y talento humano.</v>
      </c>
      <c r="F10" s="182" t="s">
        <v>637</v>
      </c>
      <c r="G10" s="182" t="s">
        <v>648</v>
      </c>
      <c r="H10" s="182" t="s">
        <v>649</v>
      </c>
      <c r="I10" s="186">
        <f>'Entradas (Ic-Inc)'!K27</f>
        <v>39423018.402206734</v>
      </c>
      <c r="J10" s="186">
        <f>'Entradas (Ic-Inc)'!$M$27</f>
        <v>16410666.643359279</v>
      </c>
      <c r="K10" s="186">
        <f>'Entradas (Ic-Inc)'!$P$27</f>
        <v>23012351.758847456</v>
      </c>
      <c r="L10" s="186">
        <f>'Salidas(Ot)'!$I$28</f>
        <v>91155000</v>
      </c>
      <c r="M10" s="187">
        <f t="shared" si="0"/>
        <v>0.18003035097755779</v>
      </c>
      <c r="N10" s="187">
        <f t="shared" si="1"/>
        <v>0.25245298402553296</v>
      </c>
      <c r="O10" s="188">
        <f t="shared" si="2"/>
        <v>0.43248333500309077</v>
      </c>
      <c r="P10" s="189">
        <f t="shared" si="3"/>
        <v>2.3122278225884783</v>
      </c>
    </row>
    <row r="11" spans="1:18" s="66" customFormat="1" ht="68.150000000000006" customHeight="1">
      <c r="A11" s="195">
        <v>8</v>
      </c>
      <c r="B11" s="198" t="str">
        <f>Variables!G9</f>
        <v>Tiempo promedio de espera para la asignación de cita de Ginecología y obstetricia</v>
      </c>
      <c r="C11" s="197" t="str">
        <f>Variables!H9</f>
        <v>MENSUAL</v>
      </c>
      <c r="D11" s="197" t="str">
        <f>Variables!I9</f>
        <v>Resolución 1552</v>
      </c>
      <c r="E11" s="197" t="str">
        <f>Variables!J9</f>
        <v>Financiera, física y talento humano.</v>
      </c>
      <c r="F11" s="182" t="s">
        <v>637</v>
      </c>
      <c r="G11" s="182" t="s">
        <v>650</v>
      </c>
      <c r="H11" s="182" t="s">
        <v>651</v>
      </c>
      <c r="I11" s="186">
        <f>'Entradas (Ic-Inc)'!K31</f>
        <v>73374122.859983087</v>
      </c>
      <c r="J11" s="186">
        <f>'Entradas (Ic-Inc)'!$M$31</f>
        <v>42534356.567933641</v>
      </c>
      <c r="K11" s="186">
        <f>'Entradas (Ic-Inc)'!$P$31</f>
        <v>30839766.292049445</v>
      </c>
      <c r="L11" s="186">
        <f>'Salidas(Ot)'!$I$32</f>
        <v>163068800</v>
      </c>
      <c r="M11" s="187">
        <f t="shared" si="0"/>
        <v>0.26083687724404447</v>
      </c>
      <c r="N11" s="187">
        <f t="shared" si="1"/>
        <v>0.18912119480887482</v>
      </c>
      <c r="O11" s="188">
        <f t="shared" si="2"/>
        <v>0.44995807205291927</v>
      </c>
      <c r="P11" s="189">
        <f t="shared" si="3"/>
        <v>2.2224292931062046</v>
      </c>
    </row>
    <row r="12" spans="1:18" s="66" customFormat="1" ht="68.150000000000006" customHeight="1">
      <c r="A12" s="195">
        <v>9</v>
      </c>
      <c r="B12" s="198" t="str">
        <f>Variables!G10</f>
        <v>Tiempo promedio de espera para la asignación de cita de Medicina Interna</v>
      </c>
      <c r="C12" s="197" t="str">
        <f>Variables!H10</f>
        <v>MENSUAL</v>
      </c>
      <c r="D12" s="197" t="str">
        <f>Variables!I10</f>
        <v>Resolución 1552</v>
      </c>
      <c r="E12" s="197" t="str">
        <f>Variables!J10</f>
        <v>Financiera, física y talento humano.</v>
      </c>
      <c r="F12" s="182" t="s">
        <v>637</v>
      </c>
      <c r="G12" s="182" t="s">
        <v>652</v>
      </c>
      <c r="H12" s="182" t="s">
        <v>653</v>
      </c>
      <c r="I12" s="186">
        <f>'Entradas (Ic-Inc)'!K35</f>
        <v>87192119.276515007</v>
      </c>
      <c r="J12" s="186">
        <f>'Entradas (Ic-Inc)'!$M$35</f>
        <v>75080293.895311296</v>
      </c>
      <c r="K12" s="186">
        <f>'Entradas (Ic-Inc)'!$P$35</f>
        <v>12111825.381203728</v>
      </c>
      <c r="L12" s="186">
        <f>'Salidas(Ot)'!$I$36</f>
        <v>154788400</v>
      </c>
      <c r="M12" s="187">
        <f t="shared" si="0"/>
        <v>0.48505116594855491</v>
      </c>
      <c r="N12" s="187">
        <f t="shared" si="1"/>
        <v>7.824762954590736E-2</v>
      </c>
      <c r="O12" s="188">
        <f t="shared" si="2"/>
        <v>0.56329879549446227</v>
      </c>
      <c r="P12" s="189">
        <f t="shared" si="3"/>
        <v>1.7752567695838981</v>
      </c>
    </row>
    <row r="13" spans="1:18" s="66" customFormat="1" ht="68.150000000000006" customHeight="1">
      <c r="A13" s="195">
        <v>10</v>
      </c>
      <c r="B13" s="199" t="str">
        <f>Variables!G11</f>
        <v>Proporción de gestantes con consulta de control prenatal de primera vez antes de las 12 semanas de gestación</v>
      </c>
      <c r="C13" s="197" t="str">
        <f>Variables!H11</f>
        <v>MENSUAL</v>
      </c>
      <c r="D13" s="197" t="str">
        <f>Variables!I11</f>
        <v>Resolución 1552</v>
      </c>
      <c r="E13" s="197" t="str">
        <f>Variables!J11</f>
        <v>Financiera, física y talento humano.</v>
      </c>
      <c r="F13" s="182" t="s">
        <v>637</v>
      </c>
      <c r="G13" s="182" t="s">
        <v>404</v>
      </c>
      <c r="H13" s="182" t="s">
        <v>654</v>
      </c>
      <c r="I13" s="186">
        <f>'Entradas (Ic-Inc)'!K39</f>
        <v>36957769.806016862</v>
      </c>
      <c r="J13" s="186">
        <f>'Entradas (Ic-Inc)'!$M$39</f>
        <v>3810594.0052129049</v>
      </c>
      <c r="K13" s="186">
        <f>'Entradas (Ic-Inc)'!$P$39</f>
        <v>33147175.800803956</v>
      </c>
      <c r="L13" s="186">
        <f>'Salidas(Ot)'!$I$40</f>
        <v>116380400</v>
      </c>
      <c r="M13" s="187">
        <f t="shared" si="0"/>
        <v>3.274257525505072E-2</v>
      </c>
      <c r="N13" s="187">
        <f t="shared" si="1"/>
        <v>0.28481751051555032</v>
      </c>
      <c r="O13" s="188">
        <f t="shared" si="2"/>
        <v>0.31756008577060102</v>
      </c>
      <c r="P13" s="189">
        <f t="shared" si="3"/>
        <v>3.1490103599555637</v>
      </c>
    </row>
    <row r="14" spans="1:18" s="66" customFormat="1" ht="68.150000000000006" customHeight="1">
      <c r="A14" s="195">
        <v>11</v>
      </c>
      <c r="B14" s="196" t="str">
        <f>Variables!G12</f>
        <v>Tiempo promedio de espera para la asignación de las citas por primera vez - Odontología General</v>
      </c>
      <c r="C14" s="197" t="str">
        <f>Variables!H12</f>
        <v>MENSUAL</v>
      </c>
      <c r="D14" s="197" t="str">
        <f>Variables!I12</f>
        <v>Resolución 1552</v>
      </c>
      <c r="E14" s="197" t="str">
        <f>Variables!J12</f>
        <v>Financiera, física y talento humano.</v>
      </c>
      <c r="F14" s="182" t="s">
        <v>655</v>
      </c>
      <c r="G14" s="182" t="s">
        <v>656</v>
      </c>
      <c r="H14" s="182" t="s">
        <v>657</v>
      </c>
      <c r="I14" s="186">
        <f>'Entradas (Ic-Inc)'!K43</f>
        <v>197819959.27996579</v>
      </c>
      <c r="J14" s="186">
        <f>'Entradas (Ic-Inc)'!$M$43</f>
        <v>139337837.11498588</v>
      </c>
      <c r="K14" s="186">
        <f>'Entradas (Ic-Inc)'!$P$43</f>
        <v>58482122.164979897</v>
      </c>
      <c r="L14" s="186">
        <f>'Salidas(Ot)'!$I$44</f>
        <v>372545600</v>
      </c>
      <c r="M14" s="187">
        <f>J14/L14</f>
        <v>0.37401552216691297</v>
      </c>
      <c r="N14" s="187">
        <f t="shared" si="1"/>
        <v>0.15697976882556094</v>
      </c>
      <c r="O14" s="188">
        <f t="shared" si="2"/>
        <v>0.53099529099247389</v>
      </c>
      <c r="P14" s="189">
        <f t="shared" si="3"/>
        <v>1.8832558724408228</v>
      </c>
    </row>
    <row r="15" spans="1:18" s="66" customFormat="1" ht="68.150000000000006" customHeight="1">
      <c r="A15" s="195">
        <v>12</v>
      </c>
      <c r="B15" s="196" t="str">
        <f>Variables!G13</f>
        <v xml:space="preserve">Tiempo promedio de espera para la entrega de resultados Imágenes Diagnosticas	</v>
      </c>
      <c r="C15" s="197" t="str">
        <f>Variables!H13</f>
        <v>MENSUAL</v>
      </c>
      <c r="D15" s="197" t="str">
        <f>Variables!I13</f>
        <v>Resolución 256</v>
      </c>
      <c r="E15" s="197" t="str">
        <f>Variables!J13</f>
        <v>Financiera, física y talento humano.</v>
      </c>
      <c r="F15" s="182" t="s">
        <v>658</v>
      </c>
      <c r="G15" s="182" t="s">
        <v>659</v>
      </c>
      <c r="H15" s="182" t="s">
        <v>660</v>
      </c>
      <c r="I15" s="186">
        <f>'Entradas (Ic-Inc)'!K47</f>
        <v>321202221.32962167</v>
      </c>
      <c r="J15" s="186">
        <f>'Entradas (Ic-Inc)'!$M$47</f>
        <v>321157053.67873633</v>
      </c>
      <c r="K15" s="186">
        <f>'Entradas (Ic-Inc)'!$P$47</f>
        <v>45167.650885387884</v>
      </c>
      <c r="L15" s="186">
        <f>'Salidas(Ot)'!$I$48</f>
        <v>1639368562</v>
      </c>
      <c r="M15" s="187">
        <f t="shared" si="0"/>
        <v>0.19590289891062113</v>
      </c>
      <c r="N15" s="187">
        <f t="shared" si="1"/>
        <v>2.7551858643845266E-5</v>
      </c>
      <c r="O15" s="188">
        <f t="shared" si="2"/>
        <v>0.19593045076926496</v>
      </c>
      <c r="P15" s="189">
        <f t="shared" si="3"/>
        <v>5.1038518825112975</v>
      </c>
    </row>
    <row r="16" spans="1:18" s="66" customFormat="1" ht="68.150000000000006" customHeight="1">
      <c r="A16" s="195">
        <v>14</v>
      </c>
      <c r="B16" s="196" t="str">
        <f>Variables!G14</f>
        <v>Letalidad en menores de 5 años por enfermedad diarreica aguda (EDA)</v>
      </c>
      <c r="C16" s="197" t="str">
        <f>Variables!H14</f>
        <v>MENSUAL</v>
      </c>
      <c r="D16" s="197" t="str">
        <f>Variables!I14</f>
        <v>Resolución 256</v>
      </c>
      <c r="E16" s="197" t="str">
        <f>Variables!J14</f>
        <v>Financiera, física y talento humano.</v>
      </c>
      <c r="F16" s="182" t="s">
        <v>661</v>
      </c>
      <c r="G16" s="183" t="s">
        <v>662</v>
      </c>
      <c r="H16" s="183" t="s">
        <v>342</v>
      </c>
      <c r="I16" s="186">
        <f>'Entradas (Ic-Inc)'!K52</f>
        <v>239697926.0835</v>
      </c>
      <c r="J16" s="186">
        <f>'Entradas (Ic-Inc)'!$M$52</f>
        <v>239697926.0835</v>
      </c>
      <c r="K16" s="186">
        <f>'Entradas (Ic-Inc)'!$P$52</f>
        <v>0</v>
      </c>
      <c r="L16" s="186">
        <f>'Salidas(Ot)'!$I$52</f>
        <v>12848220</v>
      </c>
      <c r="M16" s="187">
        <f t="shared" si="0"/>
        <v>18.656119375563307</v>
      </c>
      <c r="N16" s="187">
        <f t="shared" si="1"/>
        <v>0</v>
      </c>
      <c r="O16" s="188">
        <f t="shared" si="2"/>
        <v>18.656119375563307</v>
      </c>
      <c r="P16" s="189">
        <f t="shared" si="3"/>
        <v>5.3601715333674839E-2</v>
      </c>
    </row>
    <row r="17" spans="1:16" s="66" customFormat="1" ht="68.150000000000006" customHeight="1">
      <c r="A17" s="195">
        <v>15</v>
      </c>
      <c r="B17" s="196" t="str">
        <f>Variables!G15</f>
        <v>Estancia media en la UCI</v>
      </c>
      <c r="C17" s="197" t="str">
        <f>Variables!H15</f>
        <v>MENSUAL</v>
      </c>
      <c r="D17" s="197" t="str">
        <f>Variables!I15</f>
        <v>Resolución 256</v>
      </c>
      <c r="E17" s="197" t="str">
        <f>Variables!J15</f>
        <v>Financiera, física y talento humano.</v>
      </c>
      <c r="F17" s="182" t="s">
        <v>663</v>
      </c>
      <c r="G17" s="183" t="s">
        <v>664</v>
      </c>
      <c r="H17" s="183" t="s">
        <v>665</v>
      </c>
      <c r="I17" s="186">
        <f>'Entradas (Ic-Inc)'!K58</f>
        <v>565763871.29615378</v>
      </c>
      <c r="J17" s="186">
        <f>'Entradas (Ic-Inc)'!$M$58</f>
        <v>485613989.52919859</v>
      </c>
      <c r="K17" s="186">
        <f>'Entradas (Ic-Inc)'!$P$58</f>
        <v>80149881.766955122</v>
      </c>
      <c r="L17" s="186">
        <f>'Salidas(Ot)'!$I$58</f>
        <v>1269778560</v>
      </c>
      <c r="M17" s="187">
        <f t="shared" si="0"/>
        <v>0.38243990316642185</v>
      </c>
      <c r="N17" s="187">
        <f t="shared" si="1"/>
        <v>6.3121149066302645E-2</v>
      </c>
      <c r="O17" s="188">
        <f t="shared" si="2"/>
        <v>0.44556105223272446</v>
      </c>
      <c r="P17" s="189">
        <f t="shared" si="3"/>
        <v>2.2443613394594513</v>
      </c>
    </row>
    <row r="18" spans="1:16" s="66" customFormat="1" ht="68.150000000000006" customHeight="1">
      <c r="A18" s="195">
        <v>16</v>
      </c>
      <c r="B18" s="196" t="str">
        <f>Variables!G16</f>
        <v>Porcentaje de ocupación en la UCI</v>
      </c>
      <c r="C18" s="197" t="str">
        <f>Variables!H16</f>
        <v>MENSUAL</v>
      </c>
      <c r="D18" s="197" t="str">
        <f>Variables!I16</f>
        <v>Resolución 256</v>
      </c>
      <c r="E18" s="197" t="str">
        <f>Variables!J16</f>
        <v>Financiera, física y talento humano.</v>
      </c>
      <c r="F18" s="182" t="s">
        <v>663</v>
      </c>
      <c r="G18" s="183" t="s">
        <v>666</v>
      </c>
      <c r="H18" s="183" t="s">
        <v>667</v>
      </c>
      <c r="I18" s="186">
        <f>'Entradas (Ic-Inc)'!K63</f>
        <v>623822972.93319714</v>
      </c>
      <c r="J18" s="186">
        <f>'Entradas (Ic-Inc)'!$M$63</f>
        <v>327274824.2879774</v>
      </c>
      <c r="K18" s="186">
        <f>'Entradas (Ic-Inc)'!$P$63</f>
        <v>296548148.64521974</v>
      </c>
      <c r="L18" s="186">
        <f>'Salidas(Ot)'!$I$63</f>
        <v>1269778500</v>
      </c>
      <c r="M18" s="187">
        <f t="shared" si="0"/>
        <v>0.25774166461944142</v>
      </c>
      <c r="N18" s="187">
        <f t="shared" si="1"/>
        <v>0.23354321139097861</v>
      </c>
      <c r="O18" s="188">
        <f t="shared" si="2"/>
        <v>0.49128487601042004</v>
      </c>
      <c r="P18" s="189">
        <f t="shared" si="3"/>
        <v>2.0354789020185313</v>
      </c>
    </row>
    <row r="19" spans="1:16" s="66" customFormat="1" ht="68.150000000000006" customHeight="1">
      <c r="A19" s="195">
        <v>17</v>
      </c>
      <c r="B19" s="196" t="str">
        <f>Variables!G17</f>
        <v>Tasa de reingreso de pacientes hospitalizados en menos de 15 días</v>
      </c>
      <c r="C19" s="197" t="str">
        <f>Variables!H17</f>
        <v>MENSUAL</v>
      </c>
      <c r="D19" s="197" t="str">
        <f>Variables!I17</f>
        <v>Resolución 256</v>
      </c>
      <c r="E19" s="197" t="str">
        <f>Variables!J17</f>
        <v>Financiera, física y talento humano.</v>
      </c>
      <c r="F19" s="182" t="s">
        <v>668</v>
      </c>
      <c r="G19" s="184" t="s">
        <v>669</v>
      </c>
      <c r="H19" s="184" t="s">
        <v>670</v>
      </c>
      <c r="I19" s="186">
        <f>'Entradas (Ic-Inc)'!K68</f>
        <v>300968652.40736377</v>
      </c>
      <c r="J19" s="186">
        <f>'Entradas (Ic-Inc)'!$M$68</f>
        <v>300610995.0664162</v>
      </c>
      <c r="K19" s="186">
        <f>'Entradas (Ic-Inc)'!$P$68</f>
        <v>357657.34094755055</v>
      </c>
      <c r="L19" s="186">
        <f>'Salidas(Ot)'!$I$68</f>
        <v>86654304</v>
      </c>
      <c r="M19" s="187">
        <f t="shared" si="0"/>
        <v>3.4690832559963347</v>
      </c>
      <c r="N19" s="187">
        <f t="shared" si="1"/>
        <v>4.1274042308106305E-3</v>
      </c>
      <c r="O19" s="188">
        <f t="shared" si="2"/>
        <v>3.4732106602271453</v>
      </c>
      <c r="P19" s="189">
        <f t="shared" si="3"/>
        <v>0.28791803833016011</v>
      </c>
    </row>
    <row r="20" spans="1:16" s="66" customFormat="1" ht="68.150000000000006" customHeight="1">
      <c r="A20" s="195">
        <v>19</v>
      </c>
      <c r="B20" s="196" t="str">
        <f>Variables!G18</f>
        <v>Reingresos no programados a la UCI en menos de 48 horas</v>
      </c>
      <c r="C20" s="197" t="str">
        <f>Variables!H18</f>
        <v>MENSUAL</v>
      </c>
      <c r="D20" s="197" t="str">
        <f>Variables!I18</f>
        <v>Resolución 256</v>
      </c>
      <c r="E20" s="197" t="str">
        <f>Variables!J18</f>
        <v>Financiera, física y talento humano.</v>
      </c>
      <c r="F20" s="182" t="s">
        <v>663</v>
      </c>
      <c r="G20" s="183" t="s">
        <v>550</v>
      </c>
      <c r="H20" s="183" t="s">
        <v>551</v>
      </c>
      <c r="I20" s="186">
        <f>'Entradas (Ic-Inc)'!K75</f>
        <v>623822972.93319714</v>
      </c>
      <c r="J20" s="186">
        <f>'Entradas (Ic-Inc)'!$M$75</f>
        <v>623822972.93319714</v>
      </c>
      <c r="K20" s="186">
        <f>'Entradas (Ic-Inc)'!$P$75</f>
        <v>0</v>
      </c>
      <c r="L20" s="186">
        <f>'Salidas(Ot)'!$I$75</f>
        <v>1269778500</v>
      </c>
      <c r="M20" s="187">
        <f t="shared" si="0"/>
        <v>0.49128487601042004</v>
      </c>
      <c r="N20" s="187">
        <f t="shared" si="1"/>
        <v>0</v>
      </c>
      <c r="O20" s="188">
        <f t="shared" si="2"/>
        <v>0.49128487601042004</v>
      </c>
      <c r="P20" s="189">
        <f t="shared" si="3"/>
        <v>2.0354789020185313</v>
      </c>
    </row>
    <row r="21" spans="1:16" s="66" customFormat="1" ht="68.150000000000006" customHeight="1">
      <c r="A21" s="195">
        <v>20</v>
      </c>
      <c r="B21" s="196" t="str">
        <f>Variables!G19</f>
        <v>Porcentaje de mortalidad en la UCI</v>
      </c>
      <c r="C21" s="197" t="str">
        <f>Variables!H19</f>
        <v>MENSUAL</v>
      </c>
      <c r="D21" s="197" t="str">
        <f>Variables!I19</f>
        <v>Resolución 256</v>
      </c>
      <c r="E21" s="197" t="str">
        <f>Variables!J19</f>
        <v>Financiera, física y talento humano.</v>
      </c>
      <c r="F21" s="182" t="s">
        <v>663</v>
      </c>
      <c r="G21" s="183" t="s">
        <v>552</v>
      </c>
      <c r="H21" s="183" t="s">
        <v>671</v>
      </c>
      <c r="I21" s="186">
        <f>'Entradas (Ic-Inc)'!K80</f>
        <v>623822972.93319714</v>
      </c>
      <c r="J21" s="186">
        <f>'Entradas (Ic-Inc)'!$M$80</f>
        <v>615248086.70731127</v>
      </c>
      <c r="K21" s="186">
        <f>'Entradas (Ic-Inc)'!$P$80</f>
        <v>8574886.2258858718</v>
      </c>
      <c r="L21" s="186">
        <f>'Salidas(Ot)'!$I$80</f>
        <v>1269778500</v>
      </c>
      <c r="M21" s="187">
        <f t="shared" si="0"/>
        <v>0.48453181929550015</v>
      </c>
      <c r="N21" s="187">
        <f t="shared" si="1"/>
        <v>6.7530567149198632E-3</v>
      </c>
      <c r="O21" s="188">
        <f t="shared" si="2"/>
        <v>0.49128487601042004</v>
      </c>
      <c r="P21" s="189">
        <f t="shared" si="3"/>
        <v>2.0354789020185313</v>
      </c>
    </row>
    <row r="22" spans="1:16" s="66" customFormat="1" ht="68.150000000000006" customHeight="1">
      <c r="A22" s="195">
        <v>21</v>
      </c>
      <c r="B22" s="196" t="str">
        <f>Variables!G20</f>
        <v xml:space="preserve">Proporción de eventos adversos relacionados con la administración de medicamentos en hospitalización </v>
      </c>
      <c r="C22" s="197" t="str">
        <f>Variables!H20</f>
        <v>MENSUAL</v>
      </c>
      <c r="D22" s="197" t="str">
        <f>Variables!I20</f>
        <v>Resolución 256</v>
      </c>
      <c r="E22" s="197" t="str">
        <f>Variables!J20</f>
        <v>Financiera, física y talento humano.</v>
      </c>
      <c r="F22" s="185" t="s">
        <v>672</v>
      </c>
      <c r="G22" s="183" t="s">
        <v>673</v>
      </c>
      <c r="H22" s="183" t="s">
        <v>221</v>
      </c>
      <c r="I22" s="186">
        <f>'Entradas (Ic-Inc)'!K85</f>
        <v>1524594363.2501764</v>
      </c>
      <c r="J22" s="186">
        <f>'Entradas (Ic-Inc)'!$M$85</f>
        <v>1524527300.9486346</v>
      </c>
      <c r="K22" s="186">
        <f>'Entradas (Ic-Inc)'!$P$85</f>
        <v>67062.301541751411</v>
      </c>
      <c r="L22" s="186">
        <f>'Salidas(Ot)'!$I$85</f>
        <v>1250675544.96</v>
      </c>
      <c r="M22" s="187">
        <f t="shared" si="0"/>
        <v>1.218963069272609</v>
      </c>
      <c r="N22" s="187">
        <f t="shared" si="1"/>
        <v>5.3620862590621969E-5</v>
      </c>
      <c r="O22" s="188">
        <f t="shared" si="2"/>
        <v>1.2190166901351995</v>
      </c>
      <c r="P22" s="189">
        <f t="shared" si="3"/>
        <v>0.82033331298285284</v>
      </c>
    </row>
    <row r="23" spans="1:16" ht="68.150000000000006" customHeight="1">
      <c r="A23" s="195">
        <v>22</v>
      </c>
      <c r="B23" s="196" t="str">
        <f>Variables!G21</f>
        <v>Tasa de reingreso de pacientes hospitalizados en menos de 15 días por IRA (Infección respiratoria aguda)</v>
      </c>
      <c r="C23" s="197" t="str">
        <f>Variables!H21</f>
        <v>SEMESTRAL</v>
      </c>
      <c r="D23" s="197" t="str">
        <f>Variables!I21</f>
        <v>Resolución 256</v>
      </c>
      <c r="E23" s="197" t="str">
        <f>Variables!J21</f>
        <v>Financiera, física y talento humano.</v>
      </c>
      <c r="F23" s="185" t="s">
        <v>674</v>
      </c>
      <c r="G23" s="183" t="s">
        <v>675</v>
      </c>
      <c r="H23" s="183" t="s">
        <v>676</v>
      </c>
      <c r="I23" s="186">
        <f>'Entradas (Ic-Inc)'!K91</f>
        <v>1068089800.5748957</v>
      </c>
      <c r="J23" s="186">
        <f>'Entradas (Ic-Inc)'!$M$91</f>
        <v>1044615299.4633595</v>
      </c>
      <c r="K23" s="186">
        <f>'Entradas (Ic-Inc)'!$P$91</f>
        <v>23474501.111536175</v>
      </c>
      <c r="L23" s="186">
        <f>'Salidas(Ot)'!$I$91</f>
        <v>133240562</v>
      </c>
      <c r="M23" s="187">
        <f>J23/L23</f>
        <v>7.8400697489054378</v>
      </c>
      <c r="N23" s="187">
        <f>K23/L23</f>
        <v>0.17618134267203236</v>
      </c>
      <c r="O23" s="188">
        <f>M23+N23</f>
        <v>8.0162510915774696</v>
      </c>
      <c r="P23" s="189">
        <f t="shared" si="3"/>
        <v>0.12474659146476612</v>
      </c>
    </row>
    <row r="24" spans="1:16" s="66" customFormat="1" ht="98.15" customHeight="1">
      <c r="A24" s="195">
        <v>23</v>
      </c>
      <c r="B24" s="196" t="str">
        <f>Variables!G22</f>
        <v>Proporción de satisfacción global de los usuarios en la IPS</v>
      </c>
      <c r="C24" s="197" t="str">
        <f>Variables!H22</f>
        <v>MENSUAL</v>
      </c>
      <c r="D24" s="197" t="str">
        <f>Variables!I22</f>
        <v>Resolución 256</v>
      </c>
      <c r="E24" s="197" t="str">
        <f>Variables!J22</f>
        <v>Financiera, física y talento humano.</v>
      </c>
      <c r="F24" s="185" t="s">
        <v>677</v>
      </c>
      <c r="G24" s="183" t="s">
        <v>343</v>
      </c>
      <c r="H24" s="183" t="s">
        <v>344</v>
      </c>
      <c r="I24" s="186">
        <f>'Entradas (Ic-Inc)'!K98</f>
        <v>818386112.92307687</v>
      </c>
      <c r="J24" s="192">
        <f>'Entradas (Ic-Inc)'!$M$98</f>
        <v>810957362.43199813</v>
      </c>
      <c r="K24" s="192">
        <f>'Entradas (Ic-Inc)'!$P$98</f>
        <v>7428750.4910787633</v>
      </c>
      <c r="L24" s="192">
        <f>'Salidas(Ot)'!I98</f>
        <v>76260416</v>
      </c>
      <c r="M24" s="187">
        <f>J24/L24</f>
        <v>10.63405374594335</v>
      </c>
      <c r="N24" s="187">
        <f>K24/L24</f>
        <v>9.7412929023082739E-2</v>
      </c>
      <c r="O24" s="193">
        <f>M24+N24</f>
        <v>10.731466674966432</v>
      </c>
      <c r="P24" s="194">
        <f>1/O24</f>
        <v>9.3183907688286979E-2</v>
      </c>
    </row>
    <row r="25" spans="1:16">
      <c r="L25" s="67"/>
    </row>
  </sheetData>
  <sheetProtection algorithmName="SHA-512" hashValue="QZzkUeNeQh01Tz5ZO58koKuo0IDBcGg7RkfbF01FA9Jo1LuYCzigjomkZOhpgutWCY5UhAEX5ud9n6vefEP/xw==" saltValue="o8yGVjR42+OcHBkNcc6fbg==" spinCount="100000" sheet="1" objects="1" scenarios="1"/>
  <mergeCells count="1">
    <mergeCell ref="A1:P2"/>
  </mergeCells>
  <phoneticPr fontId="14" type="noConversion"/>
  <pageMargins left="0.7" right="0.7" top="0.75" bottom="0.75" header="0.3" footer="0.3"/>
  <pageSetup paperSize="9" scale="2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PRIORIZACION</vt:lpstr>
      <vt:lpstr> INSUMOS 1</vt:lpstr>
      <vt:lpstr>Introduccion</vt:lpstr>
      <vt:lpstr>Mapa de procesos HMA</vt:lpstr>
      <vt:lpstr>Metodologia del calculo</vt:lpstr>
      <vt:lpstr>Variables</vt:lpstr>
      <vt:lpstr>Entradas (Ic-Inc)</vt:lpstr>
      <vt:lpstr>Salidas(Ot)</vt:lpstr>
      <vt:lpstr>Resultados de aplicacion</vt:lpstr>
      <vt:lpstr>Analisis de resultados</vt:lpstr>
      <vt:lpstr>Reportes mesnuales comunicacion</vt:lpstr>
      <vt:lpstr>KPIS PRIORIZADOS</vt:lpstr>
      <vt:lpstr>'Analisis de resultados'!Área_de_impresión</vt:lpstr>
      <vt:lpstr>'Entradas (Ic-Inc)'!Área_de_impresión</vt:lpstr>
      <vt:lpstr>Introduccion!Área_de_impresión</vt:lpstr>
      <vt:lpstr>'Resultados de aplicacion'!Área_de_impresión</vt:lpstr>
      <vt:lpstr>'Salidas(Ot)'!Área_de_impresión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auditoria01</dc:creator>
  <cp:lastModifiedBy>Esp. Ing. Alejandro Galeano Avendaño</cp:lastModifiedBy>
  <cp:lastPrinted>2018-10-18T17:29:25Z</cp:lastPrinted>
  <dcterms:created xsi:type="dcterms:W3CDTF">2014-10-02T13:54:57Z</dcterms:created>
  <dcterms:modified xsi:type="dcterms:W3CDTF">2021-12-23T17:56:22Z</dcterms:modified>
</cp:coreProperties>
</file>