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.xml" ContentType="application/vnd.ms-excel.person+xml"/>
  <Override PartName="/xl/persons/person2.xml" ContentType="application/vnd.ms-excel.person+xml"/>
  <Override PartName="/xl/persons/person3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8c4ba5c9a0091e/Escritorio/ANEXOS/"/>
    </mc:Choice>
  </mc:AlternateContent>
  <xr:revisionPtr revIDLastSave="28" documentId="8_{DE862D97-908D-4FFC-BE44-D2F3F3AD851E}" xr6:coauthVersionLast="47" xr6:coauthVersionMax="47" xr10:uidLastSave="{78BF046D-CFBB-4254-A723-35030E14CF62}"/>
  <bookViews>
    <workbookView xWindow="-120" yWindow="-120" windowWidth="20730" windowHeight="11160" firstSheet="3" activeTab="6" xr2:uid="{8F16E685-3795-4B47-A4B7-AD33EC92968B}"/>
  </bookViews>
  <sheets>
    <sheet name="PRECIPITACIÓN" sheetId="7" r:id="rId1"/>
    <sheet name="BAJANTES Y CANALES" sheetId="3" r:id="rId2"/>
    <sheet name="SISTEMA HIDRAULICO" sheetId="9" r:id="rId3"/>
    <sheet name="SISTEMA HIDRAULICO (2)" sheetId="12" r:id="rId4"/>
    <sheet name="SISTEMA HIDRAULICO (3)" sheetId="13" r:id="rId5"/>
    <sheet name="Hoja1" sheetId="14" r:id="rId6"/>
    <sheet name="dimatros de la bomba" sheetId="15" r:id="rId7"/>
  </sheets>
  <definedNames>
    <definedName name="_xlchart.v1.0" hidden="1">'dimatros de la bomba'!$AJ$38:$AJ$59</definedName>
    <definedName name="_xlchart.v1.1" hidden="1">'dimatros de la bomba'!$AO$37</definedName>
    <definedName name="_xlchart.v1.2" hidden="1">'dimatros de la bomba'!$AO$38:$AO$59</definedName>
    <definedName name="_xlchart.v1.3" hidden="1">'dimatros de la bomba'!$AP$37</definedName>
    <definedName name="_xlchart.v1.4" hidden="1">'dimatros de la bomba'!$AP$38:$AP$59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33" i="15" l="1"/>
  <c r="BD34" i="15"/>
  <c r="BD32" i="15"/>
  <c r="AZ33" i="15"/>
  <c r="AZ34" i="15"/>
  <c r="AZ32" i="15"/>
  <c r="AY33" i="15"/>
  <c r="AY34" i="15"/>
  <c r="AY32" i="15"/>
  <c r="AO21" i="15"/>
  <c r="AN54" i="15" s="1"/>
  <c r="AO54" i="15" s="1"/>
  <c r="AM40" i="15"/>
  <c r="AM41" i="15"/>
  <c r="AM42" i="15"/>
  <c r="AM43" i="15"/>
  <c r="AM44" i="15"/>
  <c r="AM45" i="15"/>
  <c r="AM46" i="15"/>
  <c r="AM47" i="15"/>
  <c r="AM48" i="15"/>
  <c r="AM49" i="15"/>
  <c r="AM50" i="15"/>
  <c r="AM51" i="15"/>
  <c r="AM52" i="15"/>
  <c r="AM53" i="15"/>
  <c r="AM54" i="15"/>
  <c r="AM55" i="15"/>
  <c r="AM56" i="15"/>
  <c r="AM57" i="15"/>
  <c r="AM58" i="15"/>
  <c r="AM59" i="15"/>
  <c r="AM39" i="15"/>
  <c r="AL40" i="15"/>
  <c r="AL41" i="15"/>
  <c r="AL42" i="15"/>
  <c r="AL43" i="15"/>
  <c r="AL44" i="15"/>
  <c r="AL45" i="15"/>
  <c r="AL46" i="15"/>
  <c r="AL47" i="15"/>
  <c r="AL48" i="15"/>
  <c r="AL49" i="15"/>
  <c r="AL50" i="15"/>
  <c r="AL51" i="15"/>
  <c r="AL52" i="15"/>
  <c r="AL53" i="15"/>
  <c r="AL54" i="15"/>
  <c r="AL55" i="15"/>
  <c r="AL56" i="15"/>
  <c r="AL57" i="15"/>
  <c r="AL58" i="15"/>
  <c r="AL59" i="15"/>
  <c r="AL39" i="15"/>
  <c r="AK39" i="15"/>
  <c r="AK40" i="15"/>
  <c r="AK41" i="15"/>
  <c r="AK42" i="15"/>
  <c r="AK43" i="15"/>
  <c r="AK44" i="15"/>
  <c r="AK45" i="15"/>
  <c r="AK46" i="15"/>
  <c r="AK47" i="15"/>
  <c r="AK48" i="15"/>
  <c r="AK49" i="15"/>
  <c r="AK50" i="15"/>
  <c r="AK51" i="15"/>
  <c r="AK52" i="15"/>
  <c r="AK53" i="15"/>
  <c r="AK54" i="15"/>
  <c r="AK55" i="15"/>
  <c r="AK56" i="15"/>
  <c r="AK57" i="15"/>
  <c r="AK58" i="15"/>
  <c r="AK59" i="15"/>
  <c r="T14" i="15"/>
  <c r="R14" i="15"/>
  <c r="D39" i="15"/>
  <c r="AV25" i="15"/>
  <c r="S30" i="15"/>
  <c r="F27" i="15"/>
  <c r="AL26" i="15"/>
  <c r="S24" i="15"/>
  <c r="S23" i="15"/>
  <c r="S22" i="15"/>
  <c r="S21" i="15"/>
  <c r="I21" i="15"/>
  <c r="F17" i="15"/>
  <c r="AR13" i="15"/>
  <c r="AL13" i="15" s="1"/>
  <c r="L13" i="15"/>
  <c r="F13" i="15" s="1"/>
  <c r="F23" i="15" s="1"/>
  <c r="BE9" i="15"/>
  <c r="AK9" i="15"/>
  <c r="Y9" i="15"/>
  <c r="E9" i="15"/>
  <c r="BK8" i="15"/>
  <c r="BK9" i="15" s="1"/>
  <c r="BE8" i="15"/>
  <c r="AE8" i="15"/>
  <c r="Y8" i="15"/>
  <c r="BK7" i="15"/>
  <c r="BG7" i="15"/>
  <c r="BE7" i="15"/>
  <c r="AE7" i="15"/>
  <c r="AE9" i="15" s="1"/>
  <c r="Y7" i="15"/>
  <c r="AN6" i="15"/>
  <c r="AN10" i="15" s="1"/>
  <c r="H6" i="15"/>
  <c r="E10" i="15" s="1"/>
  <c r="E6" i="15" s="1"/>
  <c r="BK5" i="15"/>
  <c r="AE5" i="15"/>
  <c r="BK4" i="15"/>
  <c r="AE4" i="15"/>
  <c r="L13" i="13"/>
  <c r="AE7" i="13"/>
  <c r="AE8" i="13"/>
  <c r="E9" i="13"/>
  <c r="Y9" i="13"/>
  <c r="AR13" i="13"/>
  <c r="BG7" i="13"/>
  <c r="BK8" i="13"/>
  <c r="BE9" i="13"/>
  <c r="AK9" i="13"/>
  <c r="F17" i="13"/>
  <c r="I21" i="13"/>
  <c r="D17" i="14"/>
  <c r="G27" i="14"/>
  <c r="G26" i="14"/>
  <c r="G25" i="14"/>
  <c r="C25" i="14"/>
  <c r="G24" i="14"/>
  <c r="C24" i="14"/>
  <c r="H18" i="14"/>
  <c r="H19" i="14"/>
  <c r="H17" i="14"/>
  <c r="H21" i="14" s="1"/>
  <c r="G9" i="14"/>
  <c r="G12" i="14"/>
  <c r="D20" i="14"/>
  <c r="D18" i="14"/>
  <c r="D19" i="14"/>
  <c r="D21" i="14"/>
  <c r="C26" i="14" s="1"/>
  <c r="C27" i="14" s="1"/>
  <c r="C29" i="14" s="1"/>
  <c r="C32" i="14" s="1"/>
  <c r="C33" i="14" s="1"/>
  <c r="C9" i="14"/>
  <c r="C12" i="14"/>
  <c r="E10" i="13"/>
  <c r="E6" i="13" s="1"/>
  <c r="F27" i="13"/>
  <c r="D39" i="13"/>
  <c r="S30" i="13"/>
  <c r="S24" i="13"/>
  <c r="S23" i="13"/>
  <c r="S22" i="13"/>
  <c r="AO21" i="13"/>
  <c r="AL17" i="13" s="1"/>
  <c r="S21" i="13"/>
  <c r="BE8" i="13"/>
  <c r="Y8" i="13"/>
  <c r="BK7" i="13"/>
  <c r="Y7" i="13"/>
  <c r="AN6" i="13"/>
  <c r="AL26" i="13" s="1"/>
  <c r="H6" i="13"/>
  <c r="F26" i="13" s="1"/>
  <c r="BK5" i="13"/>
  <c r="AE5" i="13"/>
  <c r="BK4" i="13"/>
  <c r="AE4" i="13"/>
  <c r="AL31" i="12"/>
  <c r="AL28" i="12"/>
  <c r="AO23" i="12"/>
  <c r="D39" i="12"/>
  <c r="AY31" i="12"/>
  <c r="AY30" i="12"/>
  <c r="AL27" i="12"/>
  <c r="AL26" i="12"/>
  <c r="AL23" i="12"/>
  <c r="AO21" i="12"/>
  <c r="AL17" i="12" s="1"/>
  <c r="AR13" i="12"/>
  <c r="AL13" i="12" s="1"/>
  <c r="BE7" i="12"/>
  <c r="AS9" i="12"/>
  <c r="AY8" i="12" s="1"/>
  <c r="BK8" i="12"/>
  <c r="BE8" i="12"/>
  <c r="BK7" i="12"/>
  <c r="BK9" i="12" s="1"/>
  <c r="BG7" i="12"/>
  <c r="AY7" i="12"/>
  <c r="AU7" i="12"/>
  <c r="BK5" i="12"/>
  <c r="BK4" i="12"/>
  <c r="F27" i="12"/>
  <c r="S24" i="12"/>
  <c r="S23" i="12"/>
  <c r="S22" i="12"/>
  <c r="S21" i="12"/>
  <c r="I21" i="12"/>
  <c r="AK9" i="12"/>
  <c r="E9" i="12"/>
  <c r="Y8" i="12"/>
  <c r="AE7" i="12"/>
  <c r="AN6" i="12"/>
  <c r="AK6" i="12"/>
  <c r="H6" i="12"/>
  <c r="F26" i="12" s="1"/>
  <c r="E6" i="12"/>
  <c r="AE5" i="12"/>
  <c r="AE4" i="12"/>
  <c r="L9" i="9"/>
  <c r="O6" i="9"/>
  <c r="L6" i="9"/>
  <c r="E9" i="9"/>
  <c r="E9" i="3"/>
  <c r="C10" i="3"/>
  <c r="B9" i="3"/>
  <c r="C9" i="3" s="1"/>
  <c r="G5" i="7"/>
  <c r="E6" i="9"/>
  <c r="I21" i="9"/>
  <c r="F27" i="9"/>
  <c r="S24" i="9"/>
  <c r="S23" i="9"/>
  <c r="S22" i="9"/>
  <c r="S21" i="9"/>
  <c r="AH8" i="9"/>
  <c r="AN7" i="9"/>
  <c r="H6" i="9"/>
  <c r="F26" i="9" s="1"/>
  <c r="AN5" i="9"/>
  <c r="AN4" i="9"/>
  <c r="G297" i="7"/>
  <c r="AY38" i="15" l="1" a="1"/>
  <c r="AY38" i="15" s="1"/>
  <c r="AN43" i="15"/>
  <c r="AL17" i="15"/>
  <c r="AN50" i="15"/>
  <c r="AO50" i="15" s="1"/>
  <c r="AN46" i="15"/>
  <c r="AO46" i="15" s="1"/>
  <c r="AN58" i="15"/>
  <c r="AO58" i="15" s="1"/>
  <c r="AN42" i="15"/>
  <c r="AO42" i="15" s="1"/>
  <c r="AN57" i="15"/>
  <c r="AO57" i="15" s="1"/>
  <c r="AN53" i="15"/>
  <c r="AO53" i="15" s="1"/>
  <c r="AN49" i="15"/>
  <c r="AO49" i="15" s="1"/>
  <c r="AN45" i="15"/>
  <c r="AO45" i="15" s="1"/>
  <c r="AN41" i="15"/>
  <c r="AO41" i="15" s="1"/>
  <c r="AL23" i="15"/>
  <c r="AO23" i="15" s="1"/>
  <c r="AL28" i="15" s="1"/>
  <c r="AL31" i="15" s="1"/>
  <c r="AN39" i="15"/>
  <c r="AO39" i="15" s="1"/>
  <c r="AN56" i="15"/>
  <c r="AO56" i="15" s="1"/>
  <c r="AN52" i="15"/>
  <c r="AO52" i="15" s="1"/>
  <c r="AN48" i="15"/>
  <c r="AO48" i="15" s="1"/>
  <c r="AN44" i="15"/>
  <c r="AO44" i="15" s="1"/>
  <c r="AN40" i="15"/>
  <c r="AO40" i="15" s="1"/>
  <c r="AN59" i="15"/>
  <c r="AO59" i="15" s="1"/>
  <c r="AN55" i="15"/>
  <c r="AO55" i="15" s="1"/>
  <c r="AN51" i="15"/>
  <c r="AO51" i="15" s="1"/>
  <c r="AN47" i="15"/>
  <c r="AO47" i="15" s="1"/>
  <c r="AO43" i="15"/>
  <c r="AV26" i="15"/>
  <c r="F28" i="15"/>
  <c r="AA7" i="15"/>
  <c r="O7" i="15"/>
  <c r="E5" i="15"/>
  <c r="M9" i="15"/>
  <c r="S8" i="15" s="1"/>
  <c r="T21" i="15"/>
  <c r="T22" i="15"/>
  <c r="T24" i="15"/>
  <c r="T23" i="15"/>
  <c r="AY7" i="15"/>
  <c r="AK10" i="15"/>
  <c r="AK6" i="15" s="1"/>
  <c r="F26" i="15"/>
  <c r="S31" i="15"/>
  <c r="S7" i="15"/>
  <c r="AE9" i="13"/>
  <c r="M9" i="13"/>
  <c r="AN10" i="13"/>
  <c r="AY7" i="13"/>
  <c r="F13" i="13"/>
  <c r="E5" i="13"/>
  <c r="S7" i="13"/>
  <c r="AA7" i="13"/>
  <c r="O7" i="13"/>
  <c r="BE9" i="12"/>
  <c r="M9" i="12"/>
  <c r="S8" i="12" s="1"/>
  <c r="O7" i="12"/>
  <c r="S7" i="12"/>
  <c r="AA7" i="12"/>
  <c r="AE8" i="12"/>
  <c r="AE9" i="12" s="1"/>
  <c r="AJ7" i="9"/>
  <c r="V9" i="9"/>
  <c r="AB8" i="9" s="1"/>
  <c r="X7" i="9"/>
  <c r="AN8" i="9"/>
  <c r="AN9" i="9" s="1"/>
  <c r="AB7" i="9"/>
  <c r="AZ39" i="15" l="1"/>
  <c r="AZ38" i="15"/>
  <c r="BA40" i="15"/>
  <c r="BA39" i="15"/>
  <c r="AY40" i="15"/>
  <c r="BA38" i="15"/>
  <c r="AY39" i="15"/>
  <c r="AZ40" i="15"/>
  <c r="T7" i="15"/>
  <c r="AU7" i="15"/>
  <c r="AK5" i="15"/>
  <c r="AS9" i="15"/>
  <c r="AY8" i="15" s="1"/>
  <c r="BA7" i="15" s="1"/>
  <c r="X44" i="15"/>
  <c r="F31" i="15"/>
  <c r="S8" i="13"/>
  <c r="T7" i="13" s="1"/>
  <c r="F23" i="13"/>
  <c r="F28" i="13" s="1"/>
  <c r="F31" i="13" s="1"/>
  <c r="S31" i="13"/>
  <c r="T24" i="13"/>
  <c r="T21" i="13"/>
  <c r="T22" i="13"/>
  <c r="T23" i="13"/>
  <c r="AB9" i="9"/>
  <c r="S30" i="9" s="1"/>
  <c r="BD38" i="15" l="1" a="1"/>
  <c r="T44" i="15"/>
  <c r="R44" i="15"/>
  <c r="X44" i="13"/>
  <c r="T44" i="13"/>
  <c r="R44" i="13"/>
  <c r="F17" i="12"/>
  <c r="Y9" i="12"/>
  <c r="S30" i="12"/>
  <c r="Y7" i="12"/>
  <c r="L13" i="12"/>
  <c r="F13" i="12" s="1"/>
  <c r="AH9" i="9"/>
  <c r="T24" i="9" s="1"/>
  <c r="F17" i="9"/>
  <c r="AH7" i="9"/>
  <c r="L13" i="9"/>
  <c r="BD38" i="15" l="1"/>
  <c r="BD39" i="15"/>
  <c r="BD40" i="15"/>
  <c r="T21" i="12"/>
  <c r="T24" i="12"/>
  <c r="T22" i="12"/>
  <c r="T23" i="12"/>
  <c r="S31" i="12"/>
  <c r="F23" i="12"/>
  <c r="F28" i="12" s="1"/>
  <c r="T23" i="9"/>
  <c r="F13" i="9"/>
  <c r="T21" i="9"/>
  <c r="T22" i="9"/>
  <c r="AP58" i="15" l="1"/>
  <c r="AP43" i="15"/>
  <c r="AP59" i="15"/>
  <c r="AP45" i="15"/>
  <c r="AP42" i="15"/>
  <c r="AP40" i="15"/>
  <c r="AP41" i="15"/>
  <c r="AP54" i="15"/>
  <c r="AP52" i="15"/>
  <c r="AP50" i="15"/>
  <c r="AP39" i="15"/>
  <c r="AP47" i="15"/>
  <c r="AP48" i="15"/>
  <c r="AP57" i="15"/>
  <c r="AP55" i="15"/>
  <c r="AP46" i="15"/>
  <c r="AP44" i="15"/>
  <c r="AP51" i="15"/>
  <c r="AP53" i="15"/>
  <c r="AP56" i="15"/>
  <c r="AP49" i="15"/>
  <c r="X44" i="12"/>
  <c r="F31" i="12"/>
  <c r="S31" i="9"/>
  <c r="F23" i="9"/>
  <c r="T44" i="12" l="1"/>
  <c r="R44" i="12"/>
  <c r="F28" i="9"/>
  <c r="I10" i="3"/>
  <c r="J9" i="3"/>
  <c r="J5" i="7"/>
  <c r="F31" i="9" l="1"/>
  <c r="X44" i="9"/>
  <c r="I5" i="7"/>
  <c r="T44" i="9" l="1"/>
  <c r="R44" i="9"/>
  <c r="B10" i="3"/>
  <c r="AY30" i="13"/>
  <c r="BE7" i="13"/>
  <c r="AK10" i="13"/>
  <c r="AK6" i="13" s="1"/>
  <c r="AS9" i="13" l="1"/>
  <c r="AY8" i="13" s="1"/>
  <c r="BA7" i="13" s="1"/>
  <c r="AL13" i="13"/>
  <c r="AL23" i="13" s="1"/>
  <c r="AO23" i="13" s="1"/>
  <c r="AL28" i="13" s="1"/>
  <c r="AL31" i="13" s="1"/>
  <c r="AK39" i="13"/>
  <c r="AU7" i="13"/>
  <c r="BK9" i="13"/>
  <c r="AK5" i="13"/>
  <c r="AY31" i="13"/>
</calcChain>
</file>

<file path=xl/sharedStrings.xml><?xml version="1.0" encoding="utf-8"?>
<sst xmlns="http://schemas.openxmlformats.org/spreadsheetml/2006/main" count="1374" uniqueCount="168">
  <si>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</si>
  <si>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</si>
  <si>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</si>
  <si>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</si>
  <si>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</si>
  <si>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</si>
  <si>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</si>
  <si>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</si>
  <si>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</si>
  <si>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</si>
  <si>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</si>
  <si>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</si>
  <si>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ANUAL</t>
  </si>
  <si>
    <t>Precipitación (mm)</t>
  </si>
  <si>
    <t>dias</t>
  </si>
  <si>
    <t>mes</t>
  </si>
  <si>
    <t>precipitación (mm/dia)</t>
  </si>
  <si>
    <t>Enero</t>
  </si>
  <si>
    <t>Meses</t>
  </si>
  <si>
    <t>No. dias</t>
  </si>
  <si>
    <t>Periodo retorno (T)</t>
  </si>
  <si>
    <t>Coeficiente de ecorrentia</t>
  </si>
  <si>
    <t>Area de captación</t>
  </si>
  <si>
    <t>No. Habitantes</t>
  </si>
  <si>
    <t xml:space="preserve">Dotación por habitante </t>
  </si>
  <si>
    <t>Caudal (Q)</t>
  </si>
  <si>
    <t>coeficiente de rugosidad (K)</t>
  </si>
  <si>
    <t>duracion precipitacion (t)</t>
  </si>
  <si>
    <t>Intensidad de lluvia (I)</t>
  </si>
  <si>
    <t>Bajantes</t>
  </si>
  <si>
    <t>CAUDAL -  FLUÍDO</t>
  </si>
  <si>
    <t>Material</t>
  </si>
  <si>
    <t>PVC</t>
  </si>
  <si>
    <t>A</t>
  </si>
  <si>
    <t>=</t>
  </si>
  <si>
    <t>π</t>
  </si>
  <si>
    <t>x</t>
  </si>
  <si>
    <t>D</t>
  </si>
  <si>
    <t>V</t>
  </si>
  <si>
    <t>Q</t>
  </si>
  <si>
    <t>Re</t>
  </si>
  <si>
    <t>ℇ</t>
  </si>
  <si>
    <t>[mm]</t>
  </si>
  <si>
    <t>[l/s]</t>
  </si>
  <si>
    <t>Ѵ</t>
  </si>
  <si>
    <t>[m]</t>
  </si>
  <si>
    <t>[m3/s]</t>
  </si>
  <si>
    <t>L</t>
  </si>
  <si>
    <t>[m2/s]</t>
  </si>
  <si>
    <t>e</t>
  </si>
  <si>
    <t>mm</t>
  </si>
  <si>
    <t>[m2]</t>
  </si>
  <si>
    <t>[m/s]</t>
  </si>
  <si>
    <t>f</t>
  </si>
  <si>
    <t>F1</t>
  </si>
  <si>
    <t>F2</t>
  </si>
  <si>
    <t>hf</t>
  </si>
  <si>
    <t>[N/m3]</t>
  </si>
  <si>
    <t>Peso específico del fluido</t>
  </si>
  <si>
    <t xml:space="preserve">Q </t>
  </si>
  <si>
    <t>Caudal a impulsar</t>
  </si>
  <si>
    <t>Carga dinámica total</t>
  </si>
  <si>
    <t>[W]</t>
  </si>
  <si>
    <t>(V^2)/2g</t>
  </si>
  <si>
    <t>h punt</t>
  </si>
  <si>
    <t>hf tot</t>
  </si>
  <si>
    <t>K1=</t>
  </si>
  <si>
    <t>K2=</t>
  </si>
  <si>
    <t>K3=</t>
  </si>
  <si>
    <t>K tot=</t>
  </si>
  <si>
    <t>Z1</t>
  </si>
  <si>
    <t>Z2</t>
  </si>
  <si>
    <t>m</t>
  </si>
  <si>
    <t>fddddd</t>
  </si>
  <si>
    <t>eefewfew</t>
  </si>
  <si>
    <t>GEOMETRIA DE LA TUBERIA</t>
  </si>
  <si>
    <t xml:space="preserve">ɣ </t>
  </si>
  <si>
    <r>
      <t xml:space="preserve">H </t>
    </r>
    <r>
      <rPr>
        <sz val="8"/>
        <color theme="1"/>
        <rFont val="Calibri"/>
        <family val="2"/>
        <scheme val="minor"/>
      </rPr>
      <t>B</t>
    </r>
  </si>
  <si>
    <r>
      <t xml:space="preserve">hf </t>
    </r>
    <r>
      <rPr>
        <sz val="8"/>
        <color theme="1"/>
        <rFont val="Calibri"/>
        <family val="2"/>
        <scheme val="minor"/>
      </rPr>
      <t xml:space="preserve">1-3 </t>
    </r>
  </si>
  <si>
    <t>Factor de friccion (f)</t>
  </si>
  <si>
    <t>PERDIDAS LONGITUDINALES DARCY WEISBACH</t>
  </si>
  <si>
    <t>PERDIDAS PUNTUALES</t>
  </si>
  <si>
    <t>Coeficientes accesorios</t>
  </si>
  <si>
    <t>Z2-Z1</t>
  </si>
  <si>
    <t>eficiencia</t>
  </si>
  <si>
    <t>Potencia bomba</t>
  </si>
  <si>
    <t>PERDIDAs PUNTUALES TOTALES</t>
  </si>
  <si>
    <t>CARGA DINAMICA TOTAL</t>
  </si>
  <si>
    <t>Demanda (m^3)</t>
  </si>
  <si>
    <t>Abastecimiento (m^3)</t>
  </si>
  <si>
    <t>PRECIPITACION MENSUAL</t>
  </si>
  <si>
    <t>PRECIPITACIÓN MEDIA DIARIA</t>
  </si>
  <si>
    <t xml:space="preserve">CALCULO DE ABASTECIMIENTO </t>
  </si>
  <si>
    <t>DATOS OBTENIDOS DE LA HERRAMIENTA DE LA NASA</t>
  </si>
  <si>
    <t>L/s</t>
  </si>
  <si>
    <t>m/s</t>
  </si>
  <si>
    <t>L/min</t>
  </si>
  <si>
    <t>intencidad de precipitación</t>
  </si>
  <si>
    <t>GEOMETRIA DE LA TUBERIA SUCCIÓN</t>
  </si>
  <si>
    <t>GEOMETRIA DE LA TUBERIA DE IMPULSIÓN</t>
  </si>
  <si>
    <t>k4=</t>
  </si>
  <si>
    <t>htotal =</t>
  </si>
  <si>
    <t>Area</t>
  </si>
  <si>
    <t>m^2</t>
  </si>
  <si>
    <t>npsh</t>
  </si>
  <si>
    <t>m3/h</t>
  </si>
  <si>
    <t>SUCCION</t>
  </si>
  <si>
    <t>ZT1</t>
  </si>
  <si>
    <t>Longitud</t>
  </si>
  <si>
    <t>Caudal</t>
  </si>
  <si>
    <t>Diametro</t>
  </si>
  <si>
    <t>C_Hazen PVC</t>
  </si>
  <si>
    <t>C</t>
  </si>
  <si>
    <t>Ds</t>
  </si>
  <si>
    <t>Accesorio</t>
  </si>
  <si>
    <t>Filtro</t>
  </si>
  <si>
    <t>Valvula Check</t>
  </si>
  <si>
    <t>Acople</t>
  </si>
  <si>
    <t>Cantidad</t>
  </si>
  <si>
    <t>Kuni</t>
  </si>
  <si>
    <t>Kfinal</t>
  </si>
  <si>
    <t>ZT2</t>
  </si>
  <si>
    <t>Zi</t>
  </si>
  <si>
    <t>Zs</t>
  </si>
  <si>
    <t>KTOTAL</t>
  </si>
  <si>
    <t>m3/s</t>
  </si>
  <si>
    <t>Diametro corregido</t>
  </si>
  <si>
    <t>Dc</t>
  </si>
  <si>
    <t>Velocidad</t>
  </si>
  <si>
    <t>Área</t>
  </si>
  <si>
    <t>m2</t>
  </si>
  <si>
    <t>Codo 90°</t>
  </si>
  <si>
    <t>Zs-ZT1</t>
  </si>
  <si>
    <t>ZT2-Zi</t>
  </si>
  <si>
    <t>Hfsuccion</t>
  </si>
  <si>
    <t>Hlsuccion</t>
  </si>
  <si>
    <t>EP succion</t>
  </si>
  <si>
    <t>Energia añadida</t>
  </si>
  <si>
    <t>Hfimpulsion</t>
  </si>
  <si>
    <t>Hlimpulsion</t>
  </si>
  <si>
    <t>Epimpulsion</t>
  </si>
  <si>
    <t>EA</t>
  </si>
  <si>
    <t>Peso especifico</t>
  </si>
  <si>
    <t>POTENCIA</t>
  </si>
  <si>
    <t>P</t>
  </si>
  <si>
    <t>POTENCIA REAL</t>
  </si>
  <si>
    <t>n</t>
  </si>
  <si>
    <t>Pr</t>
  </si>
  <si>
    <t>caudal (Q)</t>
  </si>
  <si>
    <t>Hsistema</t>
  </si>
  <si>
    <t>diametro nominal</t>
  </si>
  <si>
    <t>+</t>
  </si>
  <si>
    <t>hl</t>
  </si>
  <si>
    <t>hp</t>
  </si>
  <si>
    <t>Perdidas longitudinales succion</t>
  </si>
  <si>
    <t>Perdidas puntuales de succion</t>
  </si>
  <si>
    <t>Pérdidas longitudinales impulsion</t>
  </si>
  <si>
    <t>Pérdidas puntuales de impulsion</t>
  </si>
  <si>
    <t>HB del sistema (m)</t>
  </si>
  <si>
    <t>Q (m3/h)</t>
  </si>
  <si>
    <t>HB (m)</t>
  </si>
  <si>
    <t>*</t>
  </si>
  <si>
    <t>A=</t>
  </si>
  <si>
    <t>B=</t>
  </si>
  <si>
    <t>C=</t>
  </si>
  <si>
    <t>MATRIZ INVERSA</t>
  </si>
  <si>
    <t>HB de la bomba</t>
  </si>
  <si>
    <t>valores obtenidos de la curva de la bomba seleccionada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</si>
</sst>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_-&quot;$&quot;\ * #,##0.00_-;\-&quot;$&quot;\ * #,##0.00_-;_-&quot;$&quot;\ * &quot;-&quot;??_-;_-@_-"/>
    <numFmt numFmtId="166" formatCode="0.000000"/>
    <numFmt numFmtId="167" formatCode="0.0000"/>
    <numFmt numFmtId="168" formatCode="0.00000"/>
    <numFmt numFmtId="169" formatCode="0.0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206">
    <xf numFmtId="0" fontId="0" fillId="0" borderId="0" xfId="0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17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11" xfId="2" applyFont="1" applyBorder="1" applyAlignment="1">
      <alignment vertical="center" wrapText="1"/>
    </xf>
    <xf numFmtId="0" fontId="2" fillId="0" borderId="0" xfId="2" applyFont="1" applyAlignment="1">
      <alignment vertical="center" wrapText="1"/>
    </xf>
    <xf numFmtId="0" fontId="2" fillId="0" borderId="0" xfId="2" applyFont="1" applyAlignment="1">
      <alignment horizontal="center" vertical="center" wrapText="1"/>
    </xf>
    <xf numFmtId="0" fontId="1" fillId="0" borderId="0" xfId="2" applyFont="1"/>
    <xf numFmtId="0" fontId="2" fillId="0" borderId="0" xfId="2" applyFont="1"/>
    <xf numFmtId="0" fontId="1" fillId="0" borderId="0" xfId="2" applyFont="1" applyAlignment="1">
      <alignment horizontal="center" vertical="center"/>
    </xf>
    <xf numFmtId="0" fontId="1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0" fontId="1" fillId="0" borderId="0" xfId="2" applyFont="1" applyAlignment="1">
      <alignment vertical="center"/>
    </xf>
    <xf numFmtId="0" fontId="1" fillId="0" borderId="19" xfId="2" applyFont="1" applyBorder="1" applyAlignment="1">
      <alignment vertical="center"/>
    </xf>
    <xf numFmtId="0" fontId="1" fillId="0" borderId="1" xfId="2" applyFont="1" applyBorder="1" applyAlignment="1">
      <alignment horizontal="center" vertical="center"/>
    </xf>
    <xf numFmtId="0" fontId="1" fillId="0" borderId="12" xfId="2" applyFont="1" applyBorder="1" applyAlignment="1">
      <alignment horizontal="center"/>
    </xf>
    <xf numFmtId="0" fontId="1" fillId="5" borderId="26" xfId="2" applyFont="1" applyFill="1" applyBorder="1" applyAlignment="1">
      <alignment horizontal="center"/>
    </xf>
    <xf numFmtId="0" fontId="1" fillId="5" borderId="10" xfId="2" applyFont="1" applyFill="1" applyBorder="1"/>
    <xf numFmtId="0" fontId="1" fillId="5" borderId="26" xfId="2" applyFont="1" applyFill="1" applyBorder="1" applyAlignment="1">
      <alignment horizontal="center" vertical="center"/>
    </xf>
    <xf numFmtId="0" fontId="1" fillId="5" borderId="9" xfId="2" applyFont="1" applyFill="1" applyBorder="1"/>
    <xf numFmtId="0" fontId="1" fillId="5" borderId="10" xfId="2" applyFont="1" applyFill="1" applyBorder="1" applyAlignment="1">
      <alignment horizontal="center"/>
    </xf>
    <xf numFmtId="0" fontId="1" fillId="0" borderId="10" xfId="2" applyFont="1" applyBorder="1"/>
    <xf numFmtId="0" fontId="1" fillId="0" borderId="19" xfId="2" applyFont="1" applyBorder="1" applyAlignment="1">
      <alignment horizontal="center" vertical="center"/>
    </xf>
    <xf numFmtId="0" fontId="1" fillId="0" borderId="1" xfId="2" applyFont="1" applyBorder="1"/>
    <xf numFmtId="0" fontId="1" fillId="0" borderId="20" xfId="2" applyFont="1" applyBorder="1" applyAlignment="1">
      <alignment horizontal="center"/>
    </xf>
    <xf numFmtId="0" fontId="1" fillId="0" borderId="2" xfId="2" applyFont="1" applyBorder="1" applyAlignment="1">
      <alignment horizontal="center"/>
    </xf>
    <xf numFmtId="0" fontId="1" fillId="0" borderId="1" xfId="2" applyFont="1" applyBorder="1" applyAlignment="1">
      <alignment horizontal="center"/>
    </xf>
    <xf numFmtId="0" fontId="1" fillId="5" borderId="0" xfId="2" applyFont="1" applyFill="1" applyAlignment="1">
      <alignment horizontal="center" vertical="center"/>
    </xf>
    <xf numFmtId="0" fontId="1" fillId="5" borderId="12" xfId="2" applyFont="1" applyFill="1" applyBorder="1"/>
    <xf numFmtId="0" fontId="1" fillId="5" borderId="0" xfId="2" applyFont="1" applyFill="1"/>
    <xf numFmtId="0" fontId="1" fillId="5" borderId="12" xfId="2" applyFont="1" applyFill="1" applyBorder="1" applyAlignment="1">
      <alignment horizontal="center"/>
    </xf>
    <xf numFmtId="0" fontId="1" fillId="0" borderId="12" xfId="2" applyFont="1" applyBorder="1"/>
    <xf numFmtId="0" fontId="1" fillId="0" borderId="11" xfId="2" applyFont="1" applyBorder="1" applyAlignment="1">
      <alignment horizontal="center" vertical="center"/>
    </xf>
    <xf numFmtId="0" fontId="1" fillId="0" borderId="11" xfId="2" applyFont="1" applyBorder="1"/>
    <xf numFmtId="11" fontId="1" fillId="0" borderId="1" xfId="2" applyNumberFormat="1" applyFont="1" applyBorder="1" applyAlignment="1">
      <alignment horizontal="center"/>
    </xf>
    <xf numFmtId="0" fontId="1" fillId="0" borderId="5" xfId="2" applyFont="1" applyBorder="1" applyAlignment="1">
      <alignment horizontal="center"/>
    </xf>
    <xf numFmtId="0" fontId="1" fillId="0" borderId="5" xfId="2" applyFont="1" applyBorder="1" applyAlignment="1">
      <alignment horizontal="center" vertical="center"/>
    </xf>
    <xf numFmtId="11" fontId="1" fillId="0" borderId="0" xfId="2" applyNumberFormat="1" applyFont="1" applyAlignment="1">
      <alignment horizontal="center"/>
    </xf>
    <xf numFmtId="0" fontId="1" fillId="0" borderId="21" xfId="2" applyFont="1" applyBorder="1" applyAlignment="1">
      <alignment horizontal="center"/>
    </xf>
    <xf numFmtId="0" fontId="1" fillId="0" borderId="22" xfId="2" applyFont="1" applyBorder="1"/>
    <xf numFmtId="0" fontId="1" fillId="0" borderId="23" xfId="2" applyFont="1" applyBorder="1" applyAlignment="1">
      <alignment horizontal="center" vertical="center"/>
    </xf>
    <xf numFmtId="0" fontId="1" fillId="0" borderId="25" xfId="2" applyFont="1" applyBorder="1" applyAlignment="1">
      <alignment horizontal="center"/>
    </xf>
    <xf numFmtId="0" fontId="1" fillId="0" borderId="22" xfId="2" applyFont="1" applyBorder="1" applyAlignment="1">
      <alignment horizontal="center"/>
    </xf>
    <xf numFmtId="0" fontId="1" fillId="0" borderId="23" xfId="2" applyFont="1" applyBorder="1" applyAlignment="1">
      <alignment horizontal="center"/>
    </xf>
    <xf numFmtId="0" fontId="3" fillId="0" borderId="13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/>
    </xf>
    <xf numFmtId="0" fontId="1" fillId="0" borderId="15" xfId="2" applyFont="1" applyBorder="1"/>
    <xf numFmtId="0" fontId="3" fillId="0" borderId="13" xfId="2" applyFont="1" applyBorder="1" applyAlignment="1">
      <alignment horizontal="center"/>
    </xf>
    <xf numFmtId="167" fontId="3" fillId="0" borderId="14" xfId="2" applyNumberFormat="1" applyFont="1" applyBorder="1" applyAlignment="1">
      <alignment horizontal="center"/>
    </xf>
    <xf numFmtId="0" fontId="1" fillId="0" borderId="13" xfId="2" applyFont="1" applyBorder="1" applyAlignment="1">
      <alignment horizontal="center"/>
    </xf>
    <xf numFmtId="0" fontId="1" fillId="0" borderId="14" xfId="2" applyFont="1" applyBorder="1" applyAlignment="1">
      <alignment horizontal="center"/>
    </xf>
    <xf numFmtId="0" fontId="3" fillId="0" borderId="11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1" fillId="0" borderId="12" xfId="2" applyFont="1" applyBorder="1" applyAlignment="1">
      <alignment vertical="center"/>
    </xf>
    <xf numFmtId="0" fontId="1" fillId="0" borderId="14" xfId="2" applyFont="1" applyBorder="1"/>
    <xf numFmtId="0" fontId="1" fillId="0" borderId="14" xfId="2" applyFont="1" applyBorder="1" applyAlignment="1">
      <alignment vertical="center"/>
    </xf>
    <xf numFmtId="0" fontId="1" fillId="0" borderId="15" xfId="2" applyFont="1" applyBorder="1" applyAlignment="1">
      <alignment vertical="center"/>
    </xf>
    <xf numFmtId="0" fontId="1" fillId="4" borderId="1" xfId="2" applyFont="1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  <xf numFmtId="0" fontId="2" fillId="0" borderId="0" xfId="2" applyFont="1" applyAlignment="1">
      <alignment wrapText="1"/>
    </xf>
    <xf numFmtId="0" fontId="1" fillId="0" borderId="6" xfId="2" applyFont="1" applyBorder="1" applyAlignment="1">
      <alignment horizontal="center"/>
    </xf>
    <xf numFmtId="9" fontId="1" fillId="0" borderId="0" xfId="3" applyFont="1" applyBorder="1" applyAlignment="1">
      <alignment horizontal="center"/>
    </xf>
    <xf numFmtId="0" fontId="1" fillId="0" borderId="6" xfId="2" applyFont="1" applyBorder="1"/>
    <xf numFmtId="0" fontId="1" fillId="3" borderId="0" xfId="2" applyFont="1" applyFill="1" applyAlignment="1">
      <alignment horizontal="center"/>
    </xf>
    <xf numFmtId="0" fontId="5" fillId="0" borderId="6" xfId="2" applyFont="1" applyBorder="1" applyAlignment="1">
      <alignment horizontal="center"/>
    </xf>
    <xf numFmtId="168" fontId="1" fillId="0" borderId="0" xfId="2" applyNumberFormat="1" applyFont="1"/>
    <xf numFmtId="0" fontId="3" fillId="0" borderId="0" xfId="2" applyFont="1" applyAlignment="1">
      <alignment horizontal="center"/>
    </xf>
    <xf numFmtId="0" fontId="1" fillId="0" borderId="11" xfId="2" applyFont="1" applyBorder="1" applyAlignment="1">
      <alignment vertical="center"/>
    </xf>
    <xf numFmtId="0" fontId="3" fillId="5" borderId="10" xfId="2" applyFont="1" applyFill="1" applyBorder="1" applyAlignment="1">
      <alignment vertical="center"/>
    </xf>
    <xf numFmtId="0" fontId="3" fillId="0" borderId="0" xfId="2" applyFont="1" applyAlignment="1">
      <alignment vertical="center"/>
    </xf>
    <xf numFmtId="0" fontId="3" fillId="0" borderId="11" xfId="2" applyFont="1" applyBorder="1" applyAlignment="1">
      <alignment horizontal="center"/>
    </xf>
    <xf numFmtId="0" fontId="1" fillId="0" borderId="13" xfId="2" applyFont="1" applyBorder="1" applyAlignment="1">
      <alignment vertical="center"/>
    </xf>
    <xf numFmtId="0" fontId="1" fillId="0" borderId="11" xfId="2" applyFont="1" applyBorder="1" applyAlignment="1">
      <alignment horizontal="center"/>
    </xf>
    <xf numFmtId="0" fontId="1" fillId="0" borderId="28" xfId="2" applyFont="1" applyBorder="1"/>
    <xf numFmtId="0" fontId="5" fillId="0" borderId="11" xfId="2" applyFont="1" applyBorder="1" applyAlignment="1">
      <alignment horizontal="center"/>
    </xf>
    <xf numFmtId="11" fontId="6" fillId="0" borderId="0" xfId="2" applyNumberFormat="1" applyFont="1"/>
    <xf numFmtId="0" fontId="5" fillId="0" borderId="0" xfId="2" applyFont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2" xfId="0" applyBorder="1" applyAlignment="1">
      <alignment horizontal="center"/>
    </xf>
    <xf numFmtId="0" fontId="0" fillId="0" borderId="21" xfId="0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0" fillId="0" borderId="30" xfId="0" applyBorder="1"/>
    <xf numFmtId="0" fontId="0" fillId="0" borderId="20" xfId="0" applyBorder="1" applyAlignment="1">
      <alignment horizontal="center"/>
    </xf>
    <xf numFmtId="0" fontId="0" fillId="0" borderId="19" xfId="0" applyBorder="1"/>
    <xf numFmtId="0" fontId="0" fillId="0" borderId="21" xfId="0" applyBorder="1"/>
    <xf numFmtId="0" fontId="0" fillId="0" borderId="23" xfId="0" applyBorder="1" applyAlignment="1">
      <alignment horizontal="center"/>
    </xf>
    <xf numFmtId="0" fontId="0" fillId="5" borderId="11" xfId="0" applyFill="1" applyBorder="1"/>
    <xf numFmtId="0" fontId="0" fillId="5" borderId="29" xfId="0" applyFill="1" applyBorder="1"/>
    <xf numFmtId="0" fontId="0" fillId="5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1" xfId="0" applyFill="1" applyBorder="1"/>
    <xf numFmtId="0" fontId="0" fillId="5" borderId="3" xfId="0" applyFill="1" applyBorder="1"/>
    <xf numFmtId="164" fontId="0" fillId="0" borderId="33" xfId="0" applyNumberFormat="1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8" xfId="0" applyBorder="1" applyAlignment="1">
      <alignment horizontal="center"/>
    </xf>
    <xf numFmtId="166" fontId="0" fillId="0" borderId="3" xfId="0" applyNumberForma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/>
    <xf numFmtId="167" fontId="1" fillId="0" borderId="5" xfId="2" applyNumberFormat="1" applyFont="1" applyBorder="1" applyAlignment="1">
      <alignment horizontal="center"/>
    </xf>
    <xf numFmtId="0" fontId="1" fillId="0" borderId="35" xfId="2" applyFont="1" applyBorder="1" applyAlignment="1">
      <alignment horizontal="center"/>
    </xf>
    <xf numFmtId="0" fontId="1" fillId="0" borderId="36" xfId="2" applyFont="1" applyBorder="1"/>
    <xf numFmtId="0" fontId="1" fillId="0" borderId="37" xfId="2" applyFont="1" applyBorder="1" applyAlignment="1">
      <alignment horizontal="center" vertical="center"/>
    </xf>
    <xf numFmtId="169" fontId="1" fillId="0" borderId="1" xfId="2" applyNumberFormat="1" applyFont="1" applyBorder="1" applyAlignment="1">
      <alignment horizontal="center"/>
    </xf>
    <xf numFmtId="0" fontId="0" fillId="0" borderId="1" xfId="0" applyBorder="1"/>
    <xf numFmtId="0" fontId="0" fillId="0" borderId="20" xfId="0" applyBorder="1"/>
    <xf numFmtId="0" fontId="0" fillId="0" borderId="19" xfId="0" applyBorder="1" applyAlignment="1">
      <alignment horizont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2" xfId="0" applyBorder="1"/>
    <xf numFmtId="0" fontId="0" fillId="0" borderId="3" xfId="0" applyBorder="1"/>
    <xf numFmtId="0" fontId="0" fillId="0" borderId="38" xfId="0" applyBorder="1"/>
    <xf numFmtId="168" fontId="0" fillId="0" borderId="1" xfId="0" applyNumberFormat="1" applyBorder="1"/>
    <xf numFmtId="164" fontId="0" fillId="0" borderId="1" xfId="0" applyNumberFormat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2" fontId="0" fillId="0" borderId="1" xfId="0" applyNumberFormat="1" applyBorder="1"/>
    <xf numFmtId="0" fontId="1" fillId="0" borderId="1" xfId="2" applyFont="1" applyBorder="1" applyAlignment="1">
      <alignment horizontal="right"/>
    </xf>
    <xf numFmtId="167" fontId="1" fillId="0" borderId="14" xfId="2" applyNumberFormat="1" applyFont="1" applyBorder="1" applyAlignment="1">
      <alignment horizontal="center"/>
    </xf>
    <xf numFmtId="168" fontId="1" fillId="0" borderId="14" xfId="2" applyNumberFormat="1" applyFont="1" applyBorder="1" applyAlignment="1">
      <alignment horizontal="center"/>
    </xf>
    <xf numFmtId="2" fontId="1" fillId="0" borderId="1" xfId="2" applyNumberFormat="1" applyFont="1" applyBorder="1"/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5" borderId="32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0" xfId="2" applyFont="1" applyAlignment="1">
      <alignment horizontal="center" vertical="center"/>
    </xf>
    <xf numFmtId="0" fontId="1" fillId="0" borderId="11" xfId="2" applyFont="1" applyBorder="1" applyAlignment="1">
      <alignment horizontal="center" vertical="center"/>
    </xf>
    <xf numFmtId="0" fontId="1" fillId="5" borderId="9" xfId="2" applyFont="1" applyFill="1" applyBorder="1" applyAlignment="1">
      <alignment horizontal="center"/>
    </xf>
    <xf numFmtId="0" fontId="1" fillId="5" borderId="0" xfId="2" applyFont="1" applyFill="1" applyAlignment="1">
      <alignment horizontal="center"/>
    </xf>
    <xf numFmtId="0" fontId="1" fillId="5" borderId="8" xfId="2" applyFont="1" applyFill="1" applyBorder="1" applyAlignment="1">
      <alignment horizontal="center" vertical="center"/>
    </xf>
    <xf numFmtId="0" fontId="1" fillId="5" borderId="11" xfId="2" applyFont="1" applyFill="1" applyBorder="1" applyAlignment="1">
      <alignment horizontal="center" vertical="center"/>
    </xf>
    <xf numFmtId="0" fontId="1" fillId="5" borderId="9" xfId="2" applyFont="1" applyFill="1" applyBorder="1" applyAlignment="1">
      <alignment horizontal="center" vertical="center"/>
    </xf>
    <xf numFmtId="0" fontId="1" fillId="5" borderId="0" xfId="2" applyFont="1" applyFill="1" applyAlignment="1">
      <alignment horizontal="center" vertical="center"/>
    </xf>
    <xf numFmtId="0" fontId="1" fillId="0" borderId="1" xfId="2" applyFont="1" applyBorder="1" applyAlignment="1">
      <alignment horizontal="center"/>
    </xf>
    <xf numFmtId="2" fontId="1" fillId="0" borderId="1" xfId="2" applyNumberFormat="1" applyFont="1" applyBorder="1" applyAlignment="1">
      <alignment horizontal="center"/>
    </xf>
    <xf numFmtId="0" fontId="1" fillId="0" borderId="0" xfId="2" applyFont="1" applyAlignment="1">
      <alignment horizontal="center"/>
    </xf>
    <xf numFmtId="0" fontId="1" fillId="0" borderId="12" xfId="2" applyFont="1" applyBorder="1" applyAlignment="1">
      <alignment horizontal="center"/>
    </xf>
    <xf numFmtId="11" fontId="1" fillId="0" borderId="0" xfId="2" applyNumberFormat="1" applyFont="1" applyAlignment="1">
      <alignment horizontal="center"/>
    </xf>
    <xf numFmtId="0" fontId="1" fillId="0" borderId="12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/>
    </xf>
    <xf numFmtId="11" fontId="3" fillId="0" borderId="14" xfId="2" applyNumberFormat="1" applyFont="1" applyBorder="1" applyAlignment="1">
      <alignment horizontal="center"/>
    </xf>
    <xf numFmtId="0" fontId="3" fillId="0" borderId="14" xfId="2" applyFont="1" applyBorder="1" applyAlignment="1">
      <alignment horizontal="left"/>
    </xf>
    <xf numFmtId="0" fontId="3" fillId="0" borderId="15" xfId="2" applyFont="1" applyBorder="1" applyAlignment="1">
      <alignment horizontal="left"/>
    </xf>
    <xf numFmtId="0" fontId="3" fillId="0" borderId="0" xfId="2" applyFont="1" applyAlignment="1">
      <alignment horizontal="center"/>
    </xf>
    <xf numFmtId="2" fontId="1" fillId="2" borderId="1" xfId="2" applyNumberFormat="1" applyFont="1" applyFill="1" applyBorder="1" applyAlignment="1">
      <alignment horizontal="center"/>
    </xf>
    <xf numFmtId="0" fontId="1" fillId="4" borderId="1" xfId="2" applyFont="1" applyFill="1" applyBorder="1" applyAlignment="1">
      <alignment horizontal="center"/>
    </xf>
    <xf numFmtId="2" fontId="1" fillId="4" borderId="1" xfId="2" applyNumberFormat="1" applyFont="1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  <xf numFmtId="0" fontId="1" fillId="0" borderId="6" xfId="2" applyFont="1" applyBorder="1" applyAlignment="1">
      <alignment horizontal="center"/>
    </xf>
    <xf numFmtId="0" fontId="3" fillId="5" borderId="8" xfId="2" applyFont="1" applyFill="1" applyBorder="1" applyAlignment="1">
      <alignment horizontal="center" vertical="center"/>
    </xf>
    <xf numFmtId="0" fontId="3" fillId="5" borderId="9" xfId="2" applyFont="1" applyFill="1" applyBorder="1" applyAlignment="1">
      <alignment horizontal="center" vertical="center"/>
    </xf>
    <xf numFmtId="0" fontId="1" fillId="0" borderId="14" xfId="2" applyFont="1" applyBorder="1" applyAlignment="1">
      <alignment horizontal="center"/>
    </xf>
    <xf numFmtId="0" fontId="3" fillId="5" borderId="16" xfId="2" applyFont="1" applyFill="1" applyBorder="1" applyAlignment="1">
      <alignment horizontal="center"/>
    </xf>
    <xf numFmtId="0" fontId="3" fillId="5" borderId="17" xfId="2" applyFont="1" applyFill="1" applyBorder="1" applyAlignment="1">
      <alignment horizontal="center"/>
    </xf>
    <xf numFmtId="0" fontId="3" fillId="5" borderId="18" xfId="2" applyFont="1" applyFill="1" applyBorder="1" applyAlignment="1">
      <alignment horizontal="center"/>
    </xf>
    <xf numFmtId="0" fontId="3" fillId="5" borderId="24" xfId="2" applyFont="1" applyFill="1" applyBorder="1" applyAlignment="1">
      <alignment horizontal="center"/>
    </xf>
    <xf numFmtId="0" fontId="1" fillId="5" borderId="34" xfId="2" applyFont="1" applyFill="1" applyBorder="1" applyAlignment="1">
      <alignment horizontal="center"/>
    </xf>
    <xf numFmtId="0" fontId="1" fillId="0" borderId="34" xfId="2" applyFont="1" applyBorder="1" applyAlignment="1">
      <alignment horizontal="center"/>
    </xf>
    <xf numFmtId="0" fontId="3" fillId="5" borderId="11" xfId="2" applyFont="1" applyFill="1" applyBorder="1" applyAlignment="1">
      <alignment horizontal="center" vertical="center"/>
    </xf>
    <xf numFmtId="0" fontId="3" fillId="5" borderId="0" xfId="2" applyFont="1" applyFill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18" xfId="0" applyBorder="1" applyAlignment="1">
      <alignment horizontal="center"/>
    </xf>
    <xf numFmtId="2" fontId="1" fillId="0" borderId="0" xfId="2" applyNumberFormat="1" applyFont="1" applyAlignment="1">
      <alignment vertical="center"/>
    </xf>
    <xf numFmtId="0" fontId="1" fillId="0" borderId="1" xfId="2" applyFont="1" applyBorder="1" applyAlignment="1">
      <alignment horizontal="center" wrapText="1"/>
    </xf>
    <xf numFmtId="2" fontId="3" fillId="0" borderId="1" xfId="2" applyNumberFormat="1" applyFont="1" applyBorder="1" applyAlignment="1">
      <alignment horizontal="right" vertical="center"/>
    </xf>
    <xf numFmtId="0" fontId="1" fillId="0" borderId="36" xfId="2" applyFont="1" applyBorder="1" applyAlignment="1">
      <alignment horizontal="center" vertical="center" wrapText="1"/>
    </xf>
    <xf numFmtId="0" fontId="1" fillId="0" borderId="27" xfId="2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0" xfId="2" applyFont="1" applyBorder="1" applyAlignment="1">
      <alignment horizontal="center"/>
    </xf>
    <xf numFmtId="2" fontId="1" fillId="0" borderId="0" xfId="2" applyNumberFormat="1" applyFont="1" applyBorder="1"/>
    <xf numFmtId="0" fontId="1" fillId="0" borderId="0" xfId="2" applyFont="1" applyBorder="1"/>
    <xf numFmtId="0" fontId="1" fillId="0" borderId="0" xfId="2" applyFont="1" applyBorder="1" applyAlignment="1">
      <alignment wrapText="1"/>
    </xf>
    <xf numFmtId="0" fontId="1" fillId="2" borderId="1" xfId="2" applyFont="1" applyFill="1" applyBorder="1"/>
  </cellXfs>
  <cellStyles count="4">
    <cellStyle name="Moneda 2" xfId="1" xr:uid="{435BC2FA-56DC-4C2D-8E74-2D25228FC0E0}"/>
    <cellStyle name="Normal" xfId="0" builtinId="0"/>
    <cellStyle name="Normal 2" xfId="2" xr:uid="{F1113EC8-09C1-4ACE-9E2E-DB482526B2F5}"/>
    <cellStyle name="Porcentaje 2" xfId="3" xr:uid="{CD20E4D4-57BA-40D0-9CA0-683BBFEAED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10/relationships/person" Target="persons/pers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0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microsoft.com/office/2017/10/relationships/person" Target="persons/person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10/relationships/person" Target="persons/person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Precipitación (mm)</a:t>
            </a:r>
          </a:p>
        </c:rich>
      </c:tx>
      <c:layout>
        <c:manualLayout>
          <c:xMode val="edge"/>
          <c:yMode val="edge"/>
          <c:x val="0.3783091720276538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9.8090537975113916E-18"/>
                  <c:y val="9.18999708369778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090-4C22-B6B6-9674D7D3E6DF}"/>
                </c:ext>
              </c:extLst>
            </c:dLbl>
            <c:dLbl>
              <c:idx val="2"/>
              <c:layout>
                <c:manualLayout>
                  <c:x val="0"/>
                  <c:y val="-4.698891805191018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090-4C22-B6B6-9674D7D3E6DF}"/>
                </c:ext>
              </c:extLst>
            </c:dLbl>
            <c:dLbl>
              <c:idx val="3"/>
              <c:layout>
                <c:manualLayout>
                  <c:x val="-3.9236215190045567E-17"/>
                  <c:y val="9.18999708369787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090-4C22-B6B6-9674D7D3E6DF}"/>
                </c:ext>
              </c:extLst>
            </c:dLbl>
            <c:dLbl>
              <c:idx val="4"/>
              <c:layout>
                <c:manualLayout>
                  <c:x val="0"/>
                  <c:y val="9.18999708369787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090-4C22-B6B6-9674D7D3E6DF}"/>
                </c:ext>
              </c:extLst>
            </c:dLbl>
            <c:dLbl>
              <c:idx val="5"/>
              <c:layout>
                <c:manualLayout>
                  <c:x val="0"/>
                  <c:y val="9.18999708369787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090-4C22-B6B6-9674D7D3E6DF}"/>
                </c:ext>
              </c:extLst>
            </c:dLbl>
            <c:dLbl>
              <c:idx val="6"/>
              <c:layout>
                <c:manualLayout>
                  <c:x val="0"/>
                  <c:y val="4.560367454068156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090-4C22-B6B6-9674D7D3E6DF}"/>
                </c:ext>
              </c:extLst>
            </c:dLbl>
            <c:dLbl>
              <c:idx val="7"/>
              <c:layout>
                <c:manualLayout>
                  <c:x val="0"/>
                  <c:y val="-7.35345581802274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090-4C22-B6B6-9674D7D3E6DF}"/>
                </c:ext>
              </c:extLst>
            </c:dLbl>
            <c:dLbl>
              <c:idx val="8"/>
              <c:layout>
                <c:manualLayout>
                  <c:x val="2.1401819154627357E-3"/>
                  <c:y val="4.560367454068241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090-4C22-B6B6-9674D7D3E6DF}"/>
                </c:ext>
              </c:extLst>
            </c:dLbl>
            <c:dLbl>
              <c:idx val="9"/>
              <c:layout>
                <c:manualLayout>
                  <c:x val="0"/>
                  <c:y val="-6.9262175561430602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090-4C22-B6B6-9674D7D3E6DF}"/>
                </c:ext>
              </c:extLst>
            </c:dLbl>
            <c:dLbl>
              <c:idx val="10"/>
              <c:layout>
                <c:manualLayout>
                  <c:x val="0"/>
                  <c:y val="4.560367454068283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090-4C22-B6B6-9674D7D3E6DF}"/>
                </c:ext>
              </c:extLst>
            </c:dLbl>
            <c:dLbl>
              <c:idx val="11"/>
              <c:layout>
                <c:manualLayout>
                  <c:x val="-1.5694486076018227E-16"/>
                  <c:y val="-6.92621755613881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090-4C22-B6B6-9674D7D3E6DF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PRECIPITACIÓN!$A$5:$A$16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PRECIPITACIÓN!$B$5:$B$16</c:f>
              <c:numCache>
                <c:formatCode>General</c:formatCode>
                <c:ptCount val="12"/>
                <c:pt idx="0">
                  <c:v>54.06</c:v>
                </c:pt>
                <c:pt idx="1">
                  <c:v>147.91999999999999</c:v>
                </c:pt>
                <c:pt idx="2">
                  <c:v>258.45</c:v>
                </c:pt>
                <c:pt idx="3">
                  <c:v>209.34</c:v>
                </c:pt>
                <c:pt idx="4">
                  <c:v>167.07</c:v>
                </c:pt>
                <c:pt idx="5">
                  <c:v>108.22</c:v>
                </c:pt>
                <c:pt idx="6">
                  <c:v>81.41</c:v>
                </c:pt>
                <c:pt idx="7">
                  <c:v>35.6</c:v>
                </c:pt>
                <c:pt idx="8">
                  <c:v>121.18</c:v>
                </c:pt>
                <c:pt idx="9">
                  <c:v>260.61</c:v>
                </c:pt>
                <c:pt idx="10">
                  <c:v>169.28</c:v>
                </c:pt>
                <c:pt idx="11">
                  <c:v>73.16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90-4C22-B6B6-9674D7D3E6D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545192463"/>
        <c:axId val="1689519407"/>
      </c:barChart>
      <c:catAx>
        <c:axId val="154519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9519407"/>
        <c:crosses val="autoZero"/>
        <c:auto val="1"/>
        <c:lblAlgn val="ctr"/>
        <c:lblOffset val="100"/>
        <c:noMultiLvlLbl val="0"/>
      </c:catAx>
      <c:valAx>
        <c:axId val="168951940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mm de agua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crossAx val="1545192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Curva</a:t>
            </a:r>
            <a:r>
              <a:rPr lang="es-CO" baseline="0"/>
              <a:t> característica del Sistema vs </a:t>
            </a:r>
            <a:r>
              <a:rPr lang="es-CO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Curva característica de la </a:t>
            </a:r>
            <a:r>
              <a:rPr lang="es-CO" baseline="0"/>
              <a:t>Bomba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'dimatros de la bomba'!$AO$37</c:f>
              <c:strCache>
                <c:ptCount val="1"/>
                <c:pt idx="0">
                  <c:v>HB del sistema (m)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'dimatros de la bomba'!$AJ$38:$AJ$59</c:f>
              <c:numCache>
                <c:formatCode>General</c:formatCode>
                <c:ptCount val="21"/>
                <c:pt idx="1">
                  <c:v>0</c:v>
                </c:pt>
                <c:pt idx="2">
                  <c:v>0.5</c:v>
                </c:pt>
                <c:pt idx="3">
                  <c:v>1</c:v>
                </c:pt>
                <c:pt idx="4">
                  <c:v>1.5</c:v>
                </c:pt>
                <c:pt idx="5">
                  <c:v>2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xVal>
          <c:yVal>
            <c:numRef>
              <c:f>'dimatros de la bomba'!$AO$38:$AO$59</c:f>
              <c:numCache>
                <c:formatCode>0.00</c:formatCode>
                <c:ptCount val="21"/>
                <c:pt idx="1">
                  <c:v>3.13</c:v>
                </c:pt>
                <c:pt idx="2">
                  <c:v>3.2743047418913225</c:v>
                </c:pt>
                <c:pt idx="3">
                  <c:v>3.7072189675652893</c:v>
                </c:pt>
                <c:pt idx="4">
                  <c:v>4.4287426770219014</c:v>
                </c:pt>
                <c:pt idx="5">
                  <c:v>5.4388758702611568</c:v>
                </c:pt>
                <c:pt idx="6">
                  <c:v>8.324970708087605</c:v>
                </c:pt>
                <c:pt idx="7">
                  <c:v>10.200932352674794</c:v>
                </c:pt>
                <c:pt idx="8">
                  <c:v>12.36550348104463</c:v>
                </c:pt>
                <c:pt idx="9">
                  <c:v>14.81868409319711</c:v>
                </c:pt>
                <c:pt idx="10">
                  <c:v>17.560474189132236</c:v>
                </c:pt>
                <c:pt idx="11">
                  <c:v>20.59087376885001</c:v>
                </c:pt>
                <c:pt idx="12">
                  <c:v>23.909882832350423</c:v>
                </c:pt>
                <c:pt idx="13">
                  <c:v>27.517501379633483</c:v>
                </c:pt>
                <c:pt idx="14">
                  <c:v>31.413729410699183</c:v>
                </c:pt>
                <c:pt idx="15">
                  <c:v>35.59856692554753</c:v>
                </c:pt>
                <c:pt idx="16">
                  <c:v>40.07201392417852</c:v>
                </c:pt>
                <c:pt idx="17">
                  <c:v>44.834070406592161</c:v>
                </c:pt>
                <c:pt idx="18">
                  <c:v>49.884736372788446</c:v>
                </c:pt>
                <c:pt idx="19">
                  <c:v>55.22401182276738</c:v>
                </c:pt>
                <c:pt idx="20">
                  <c:v>60.851896756528951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36-47E2-B2A7-173BA8BCDECD}"/>
            </c:ext>
          </c:extLst>
        </c:ser>
        <c:ser>
          <c:idx val="1"/>
          <c:order val="1"/>
          <c:tx>
            <c:strRef>
              <c:f>'dimatros de la bomba'!$AP$37</c:f>
              <c:strCache>
                <c:ptCount val="1"/>
                <c:pt idx="0">
                  <c:v>HB de la bomba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'dimatros de la bomba'!$AJ$38:$AJ$59</c:f>
              <c:numCache>
                <c:formatCode>General</c:formatCode>
                <c:ptCount val="21"/>
                <c:pt idx="1">
                  <c:v>0</c:v>
                </c:pt>
                <c:pt idx="2">
                  <c:v>0.5</c:v>
                </c:pt>
                <c:pt idx="3">
                  <c:v>1</c:v>
                </c:pt>
                <c:pt idx="4">
                  <c:v>1.5</c:v>
                </c:pt>
                <c:pt idx="5">
                  <c:v>2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xVal>
          <c:yVal>
            <c:numRef>
              <c:f>'dimatros de la bomba'!$AP$38:$AP$59</c:f>
              <c:numCache>
                <c:formatCode>0.00</c:formatCode>
                <c:ptCount val="21"/>
                <c:pt idx="1">
                  <c:v>12.750000000000004</c:v>
                </c:pt>
                <c:pt idx="2">
                  <c:v>13.090000000000003</c:v>
                </c:pt>
                <c:pt idx="3">
                  <c:v>13.360000000000003</c:v>
                </c:pt>
                <c:pt idx="4">
                  <c:v>13.560000000000004</c:v>
                </c:pt>
                <c:pt idx="5">
                  <c:v>13.690000000000005</c:v>
                </c:pt>
                <c:pt idx="6">
                  <c:v>13.740000000000006</c:v>
                </c:pt>
                <c:pt idx="7">
                  <c:v>13.660000000000005</c:v>
                </c:pt>
                <c:pt idx="8">
                  <c:v>13.510000000000007</c:v>
                </c:pt>
                <c:pt idx="9">
                  <c:v>13.290000000000008</c:v>
                </c:pt>
                <c:pt idx="10">
                  <c:v>13.000000000000009</c:v>
                </c:pt>
                <c:pt idx="11">
                  <c:v>12.640000000000009</c:v>
                </c:pt>
                <c:pt idx="12">
                  <c:v>12.210000000000012</c:v>
                </c:pt>
                <c:pt idx="13">
                  <c:v>11.710000000000012</c:v>
                </c:pt>
                <c:pt idx="14">
                  <c:v>11.140000000000015</c:v>
                </c:pt>
                <c:pt idx="15">
                  <c:v>10.500000000000014</c:v>
                </c:pt>
                <c:pt idx="16">
                  <c:v>9.7900000000000169</c:v>
                </c:pt>
                <c:pt idx="17">
                  <c:v>9.0100000000000193</c:v>
                </c:pt>
                <c:pt idx="18">
                  <c:v>8.1600000000000197</c:v>
                </c:pt>
                <c:pt idx="19">
                  <c:v>7.2400000000000215</c:v>
                </c:pt>
                <c:pt idx="20">
                  <c:v>6.2500000000000249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36-47E2-B2A7-173BA8BCD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7081936"/>
        <c:axId val="1947076656"/>
      </c:scatterChart>
      <c:valAx>
        <c:axId val="1947081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Caudal</a:t>
                </a:r>
                <a:r>
                  <a:rPr lang="es-CO" b="1" baseline="0"/>
                  <a:t> (m^3/h)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7076656"/>
        <c:crosses val="autoZero"/>
        <c:crossBetween val="midCat"/>
      </c:valAx>
      <c:valAx>
        <c:axId val="1947076656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 </a:t>
                </a:r>
                <a:r>
                  <a:rPr lang="es-CO" b="1"/>
                  <a:t>Carg</a:t>
                </a:r>
                <a:r>
                  <a:rPr lang="es-CO" b="1" baseline="0"/>
                  <a:t>a dinámica (m)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7081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9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9525</xdr:rowOff>
    </xdr:from>
    <xdr:to>
      <xdr:col>9</xdr:col>
      <xdr:colOff>1371600</xdr:colOff>
      <xdr:row>18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65E5EF0-08B0-4BBE-8E02-14808C71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7</xdr:col>
      <xdr:colOff>16674</xdr:colOff>
      <xdr:row>6</xdr:row>
      <xdr:rowOff>23812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611E253-25A9-C490-F3F2-EA39E560E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6304762" cy="1174750"/>
        </a:xfrm>
        <a:prstGeom prst="rect">
          <a:avLst/>
        </a:prstGeom>
      </xdr:spPr>
    </xdr:pic>
    <xdr:clientData/>
  </xdr:twoCellAnchor>
  <xdr:twoCellAnchor editAs="oneCell">
    <xdr:from>
      <xdr:col>8</xdr:col>
      <xdr:colOff>111126</xdr:colOff>
      <xdr:row>1</xdr:row>
      <xdr:rowOff>3175</xdr:rowOff>
    </xdr:from>
    <xdr:to>
      <xdr:col>9</xdr:col>
      <xdr:colOff>529995</xdr:colOff>
      <xdr:row>3</xdr:row>
      <xdr:rowOff>79318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2D7EF0A-7FA8-D713-FA66-2079A5799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99314" y="193675"/>
          <a:ext cx="1847619" cy="457143"/>
        </a:xfrm>
        <a:prstGeom prst="rect">
          <a:avLst/>
        </a:prstGeom>
      </xdr:spPr>
    </xdr:pic>
    <xdr:clientData/>
  </xdr:twoCellAnchor>
  <xdr:twoCellAnchor editAs="oneCell">
    <xdr:from>
      <xdr:col>8</xdr:col>
      <xdr:colOff>188912</xdr:colOff>
      <xdr:row>3</xdr:row>
      <xdr:rowOff>38100</xdr:rowOff>
    </xdr:from>
    <xdr:to>
      <xdr:col>9</xdr:col>
      <xdr:colOff>455400</xdr:colOff>
      <xdr:row>5</xdr:row>
      <xdr:rowOff>161862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BE988CA-C735-C704-70A1-C56F4D2CF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277100" y="609600"/>
          <a:ext cx="1695238" cy="504762"/>
        </a:xfrm>
        <a:prstGeom prst="rect">
          <a:avLst/>
        </a:prstGeom>
      </xdr:spPr>
    </xdr:pic>
    <xdr:clientData/>
  </xdr:twoCellAnchor>
  <xdr:twoCellAnchor editAs="oneCell">
    <xdr:from>
      <xdr:col>2</xdr:col>
      <xdr:colOff>39688</xdr:colOff>
      <xdr:row>10</xdr:row>
      <xdr:rowOff>71439</xdr:rowOff>
    </xdr:from>
    <xdr:to>
      <xdr:col>5</xdr:col>
      <xdr:colOff>238233</xdr:colOff>
      <xdr:row>20</xdr:row>
      <xdr:rowOff>180584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886D04AB-C6DF-56DC-B7EE-8B3817FDF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643188" y="1992314"/>
          <a:ext cx="2397233" cy="2037958"/>
        </a:xfrm>
        <a:prstGeom prst="rect">
          <a:avLst/>
        </a:prstGeom>
      </xdr:spPr>
    </xdr:pic>
    <xdr:clientData/>
  </xdr:twoCellAnchor>
  <xdr:twoCellAnchor editAs="oneCell">
    <xdr:from>
      <xdr:col>0</xdr:col>
      <xdr:colOff>309564</xdr:colOff>
      <xdr:row>18</xdr:row>
      <xdr:rowOff>63500</xdr:rowOff>
    </xdr:from>
    <xdr:to>
      <xdr:col>2</xdr:col>
      <xdr:colOff>63000</xdr:colOff>
      <xdr:row>21</xdr:row>
      <xdr:rowOff>127000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AC7554D-E4F7-83EA-03AF-A8EC9F6CF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09564" y="3532188"/>
          <a:ext cx="2356936" cy="635000"/>
        </a:xfrm>
        <a:prstGeom prst="rect">
          <a:avLst/>
        </a:prstGeom>
      </xdr:spPr>
    </xdr:pic>
    <xdr:clientData/>
  </xdr:twoCellAnchor>
  <xdr:twoCellAnchor editAs="oneCell">
    <xdr:from>
      <xdr:col>0</xdr:col>
      <xdr:colOff>158751</xdr:colOff>
      <xdr:row>21</xdr:row>
      <xdr:rowOff>79375</xdr:rowOff>
    </xdr:from>
    <xdr:to>
      <xdr:col>1</xdr:col>
      <xdr:colOff>714377</xdr:colOff>
      <xdr:row>28</xdr:row>
      <xdr:rowOff>27601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4FF744B0-942F-8419-593E-9DA25647B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8751" y="4119563"/>
          <a:ext cx="2301876" cy="128172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330994</xdr:colOff>
      <xdr:row>2</xdr:row>
      <xdr:rowOff>216693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ED90CD2-22D0-4ADC-A2F6-6B4A35505159}"/>
                </a:ext>
              </a:extLst>
            </xdr:cNvPr>
            <xdr:cNvSpPr txBox="1"/>
          </xdr:nvSpPr>
          <xdr:spPr>
            <a:xfrm>
              <a:off x="6693694" y="2321718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8ED90CD2-22D0-4ADC-A2F6-6B4A35505159}"/>
                </a:ext>
              </a:extLst>
            </xdr:cNvPr>
            <xdr:cNvSpPr txBox="1"/>
          </xdr:nvSpPr>
          <xdr:spPr>
            <a:xfrm>
              <a:off x="6693694" y="2321718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23</xdr:col>
      <xdr:colOff>464341</xdr:colOff>
      <xdr:row>5</xdr:row>
      <xdr:rowOff>154782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E483454-8699-450B-81B8-DCCD09806229}"/>
                </a:ext>
              </a:extLst>
            </xdr:cNvPr>
            <xdr:cNvSpPr txBox="1"/>
          </xdr:nvSpPr>
          <xdr:spPr>
            <a:xfrm>
              <a:off x="6827041" y="2917032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E483454-8699-450B-81B8-DCCD09806229}"/>
                </a:ext>
              </a:extLst>
            </xdr:cNvPr>
            <xdr:cNvSpPr txBox="1"/>
          </xdr:nvSpPr>
          <xdr:spPr>
            <a:xfrm>
              <a:off x="6827041" y="2917032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9</xdr:col>
      <xdr:colOff>304800</xdr:colOff>
      <xdr:row>17</xdr:row>
      <xdr:rowOff>133350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1273727B-5097-459F-A76A-23DA1431552F}"/>
            </a:ext>
          </a:extLst>
        </xdr:cNvPr>
        <xdr:cNvSpPr txBox="1"/>
      </xdr:nvSpPr>
      <xdr:spPr>
        <a:xfrm>
          <a:off x="4817269" y="34551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oneCellAnchor>
    <xdr:from>
      <xdr:col>17</xdr:col>
      <xdr:colOff>372301</xdr:colOff>
      <xdr:row>17</xdr:row>
      <xdr:rowOff>160889</xdr:rowOff>
    </xdr:from>
    <xdr:ext cx="65" cy="172227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46AAC997-4BC9-4CE2-99D4-50705A72A88B}"/>
            </a:ext>
          </a:extLst>
        </xdr:cNvPr>
        <xdr:cNvSpPr txBox="1"/>
      </xdr:nvSpPr>
      <xdr:spPr>
        <a:xfrm>
          <a:off x="7575582" y="348273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twoCellAnchor>
    <xdr:from>
      <xdr:col>7</xdr:col>
      <xdr:colOff>47624</xdr:colOff>
      <xdr:row>11</xdr:row>
      <xdr:rowOff>181355</xdr:rowOff>
    </xdr:from>
    <xdr:to>
      <xdr:col>11</xdr:col>
      <xdr:colOff>507567</xdr:colOff>
      <xdr:row>14</xdr:row>
      <xdr:rowOff>93213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Rectángulo 6">
              <a:extLst>
                <a:ext uri="{FF2B5EF4-FFF2-40B4-BE49-F238E27FC236}">
                  <a16:creationId xmlns:a16="http://schemas.microsoft.com/office/drawing/2014/main" id="{5DE037FB-4593-4584-8697-AFBA4599D7BC}"/>
                </a:ext>
              </a:extLst>
            </xdr:cNvPr>
            <xdr:cNvSpPr/>
          </xdr:nvSpPr>
          <xdr:spPr>
            <a:xfrm>
              <a:off x="2928937" y="2348293"/>
              <a:ext cx="2341130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12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2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7" name="Rectángulo 6">
              <a:extLst>
                <a:ext uri="{FF2B5EF4-FFF2-40B4-BE49-F238E27FC236}">
                  <a16:creationId xmlns:a16="http://schemas.microsoft.com/office/drawing/2014/main" id="{5DE037FB-4593-4584-8697-AFBA4599D7BC}"/>
                </a:ext>
              </a:extLst>
            </xdr:cNvPr>
            <xdr:cNvSpPr/>
          </xdr:nvSpPr>
          <xdr:spPr>
            <a:xfrm>
              <a:off x="2928937" y="2348293"/>
              <a:ext cx="2341130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12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twoCellAnchor>
    <xdr:from>
      <xdr:col>14</xdr:col>
      <xdr:colOff>2381</xdr:colOff>
      <xdr:row>11</xdr:row>
      <xdr:rowOff>21431</xdr:rowOff>
    </xdr:from>
    <xdr:to>
      <xdr:col>24</xdr:col>
      <xdr:colOff>190500</xdr:colOff>
      <xdr:row>12</xdr:row>
      <xdr:rowOff>118102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24">
              <a:extLst>
                <a:ext uri="{FF2B5EF4-FFF2-40B4-BE49-F238E27FC236}">
                  <a16:creationId xmlns:a16="http://schemas.microsoft.com/office/drawing/2014/main" id="{288FF47B-CAE4-4695-8A7D-4679A528A042}"/>
                </a:ext>
              </a:extLst>
            </xdr:cNvPr>
            <xdr:cNvSpPr txBox="1"/>
          </xdr:nvSpPr>
          <xdr:spPr>
            <a:xfrm>
              <a:off x="6736556" y="2183606"/>
              <a:ext cx="4026694" cy="287171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𝑃</m:t>
                            </m:r>
                          </m:e>
                          <m:sub>
                            <m: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ɣ</m:t>
                        </m:r>
                      </m:den>
                    </m:f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ES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</m:sSub>
                          </m:e>
                          <m:sup>
                            <m: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  <m:r>
                      <a:rPr lang="es-MX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 </m:t>
                    </m:r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𝐻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𝐵</m:t>
                        </m:r>
                      </m:sub>
                    </m:sSub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s-ES" sz="9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𝑃</m:t>
                            </m:r>
                          </m:e>
                          <m:sub>
                            <m:r>
                              <a:rPr lang="es-MX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num>
                      <m:den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ɣ</m:t>
                        </m:r>
                      </m:den>
                    </m:f>
                    <m:r>
                      <a:rPr lang="es-ES" sz="9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MX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</m:e>
                          <m:sup>
                            <m: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  <m:r>
                      <a:rPr lang="es-MX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h𝑓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1−3</m:t>
                        </m:r>
                      </m:sub>
                    </m:sSub>
                  </m:oMath>
                </m:oMathPara>
              </a14:m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9" name="CuadroTexto 24">
              <a:extLst>
                <a:ext uri="{FF2B5EF4-FFF2-40B4-BE49-F238E27FC236}">
                  <a16:creationId xmlns:a16="http://schemas.microsoft.com/office/drawing/2014/main" id="{288FF47B-CAE4-4695-8A7D-4679A528A042}"/>
                </a:ext>
              </a:extLst>
            </xdr:cNvPr>
            <xdr:cNvSpPr txBox="1"/>
          </xdr:nvSpPr>
          <xdr:spPr>
            <a:xfrm>
              <a:off x="6736556" y="2183606"/>
              <a:ext cx="4026694" cy="287171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𝑍_1+𝑃_1/ɣ+〖𝑉_1〗^2/2𝑔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 𝐻_𝐵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=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𝑍_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+𝑃_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/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ɣ+〖𝑉_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〗^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2/2𝑔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+〖ℎ𝑓〗_(1−3)</a:t>
              </a:r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twoCellAnchor>
    <xdr:from>
      <xdr:col>16</xdr:col>
      <xdr:colOff>14287</xdr:colOff>
      <xdr:row>13</xdr:row>
      <xdr:rowOff>150019</xdr:rowOff>
    </xdr:from>
    <xdr:to>
      <xdr:col>19</xdr:col>
      <xdr:colOff>293026</xdr:colOff>
      <xdr:row>15</xdr:row>
      <xdr:rowOff>41902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28">
              <a:extLst>
                <a:ext uri="{FF2B5EF4-FFF2-40B4-BE49-F238E27FC236}">
                  <a16:creationId xmlns:a16="http://schemas.microsoft.com/office/drawing/2014/main" id="{4CAFC2BC-B080-4568-912C-6457F4576AE0}"/>
                </a:ext>
              </a:extLst>
            </xdr:cNvPr>
            <xdr:cNvSpPr txBox="1"/>
          </xdr:nvSpPr>
          <xdr:spPr>
            <a:xfrm>
              <a:off x="7405687" y="2693194"/>
              <a:ext cx="1755114" cy="282408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𝐻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𝐵</m:t>
                        </m:r>
                      </m:sub>
                    </m:sSub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s-ES" sz="9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MX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</m:e>
                          <m:sup>
                            <m: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  <m:r>
                      <a:rPr lang="es-MX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h𝑓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1−3</m:t>
                        </m:r>
                      </m:sub>
                    </m:sSub>
                  </m:oMath>
                </m:oMathPara>
              </a14:m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10" name="CuadroTexto 28">
              <a:extLst>
                <a:ext uri="{FF2B5EF4-FFF2-40B4-BE49-F238E27FC236}">
                  <a16:creationId xmlns:a16="http://schemas.microsoft.com/office/drawing/2014/main" id="{4CAFC2BC-B080-4568-912C-6457F4576AE0}"/>
                </a:ext>
              </a:extLst>
            </xdr:cNvPr>
            <xdr:cNvSpPr txBox="1"/>
          </xdr:nvSpPr>
          <xdr:spPr>
            <a:xfrm>
              <a:off x="7405687" y="2693194"/>
              <a:ext cx="1755114" cy="282408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𝐻_𝐵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=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𝑍_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+〖𝑉_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〗^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2/2𝑔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+〖ℎ𝑓〗_(1−3)</a:t>
              </a:r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twoCellAnchor>
    <xdr:from>
      <xdr:col>17</xdr:col>
      <xdr:colOff>174842</xdr:colOff>
      <xdr:row>16</xdr:row>
      <xdr:rowOff>64293</xdr:rowOff>
    </xdr:from>
    <xdr:to>
      <xdr:col>18</xdr:col>
      <xdr:colOff>719138</xdr:colOff>
      <xdr:row>18</xdr:row>
      <xdr:rowOff>49250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Rectángulo 10">
              <a:extLst>
                <a:ext uri="{FF2B5EF4-FFF2-40B4-BE49-F238E27FC236}">
                  <a16:creationId xmlns:a16="http://schemas.microsoft.com/office/drawing/2014/main" id="{504F1E73-53BD-401E-A7FC-E413EE81E9DC}"/>
                </a:ext>
              </a:extLst>
            </xdr:cNvPr>
            <xdr:cNvSpPr/>
          </xdr:nvSpPr>
          <xdr:spPr>
            <a:xfrm>
              <a:off x="7718642" y="3188493"/>
              <a:ext cx="1049121" cy="36595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9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9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9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9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9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9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11" name="Rectángulo 10">
              <a:extLst>
                <a:ext uri="{FF2B5EF4-FFF2-40B4-BE49-F238E27FC236}">
                  <a16:creationId xmlns:a16="http://schemas.microsoft.com/office/drawing/2014/main" id="{504F1E73-53BD-401E-A7FC-E413EE81E9DC}"/>
                </a:ext>
              </a:extLst>
            </xdr:cNvPr>
            <xdr:cNvSpPr/>
          </xdr:nvSpPr>
          <xdr:spPr>
            <a:xfrm>
              <a:off x="7718642" y="3188493"/>
              <a:ext cx="1049121" cy="36595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9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330994</xdr:colOff>
      <xdr:row>2</xdr:row>
      <xdr:rowOff>216693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DCCBE349-9444-431B-9BA4-18D3F22AA1D3}"/>
                </a:ext>
              </a:extLst>
            </xdr:cNvPr>
            <xdr:cNvSpPr txBox="1"/>
          </xdr:nvSpPr>
          <xdr:spPr>
            <a:xfrm>
              <a:off x="1185624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DCCBE349-9444-431B-9BA4-18D3F22AA1D3}"/>
                </a:ext>
              </a:extLst>
            </xdr:cNvPr>
            <xdr:cNvSpPr txBox="1"/>
          </xdr:nvSpPr>
          <xdr:spPr>
            <a:xfrm>
              <a:off x="1185624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14</xdr:col>
      <xdr:colOff>464341</xdr:colOff>
      <xdr:row>5</xdr:row>
      <xdr:rowOff>154782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278469C1-2357-43FA-8BB0-C68B46EE582F}"/>
                </a:ext>
              </a:extLst>
            </xdr:cNvPr>
            <xdr:cNvSpPr txBox="1"/>
          </xdr:nvSpPr>
          <xdr:spPr>
            <a:xfrm>
              <a:off x="1185624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278469C1-2357-43FA-8BB0-C68B46EE582F}"/>
                </a:ext>
              </a:extLst>
            </xdr:cNvPr>
            <xdr:cNvSpPr txBox="1"/>
          </xdr:nvSpPr>
          <xdr:spPr>
            <a:xfrm>
              <a:off x="1185624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9</xdr:col>
      <xdr:colOff>304800</xdr:colOff>
      <xdr:row>17</xdr:row>
      <xdr:rowOff>133350</xdr:rowOff>
    </xdr:from>
    <xdr:ext cx="65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798C5198-A0DE-4D2A-A9D3-0FE66F06725D}"/>
            </a:ext>
          </a:extLst>
        </xdr:cNvPr>
        <xdr:cNvSpPr txBox="1"/>
      </xdr:nvSpPr>
      <xdr:spPr>
        <a:xfrm>
          <a:off x="515302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oneCellAnchor>
    <xdr:from>
      <xdr:col>17</xdr:col>
      <xdr:colOff>372301</xdr:colOff>
      <xdr:row>17</xdr:row>
      <xdr:rowOff>160889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A2823C16-60D9-4FD9-B13B-D772D6A72D4A}"/>
            </a:ext>
          </a:extLst>
        </xdr:cNvPr>
        <xdr:cNvSpPr txBox="1"/>
      </xdr:nvSpPr>
      <xdr:spPr>
        <a:xfrm>
          <a:off x="9201976" y="34755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twoCellAnchor>
    <xdr:from>
      <xdr:col>7</xdr:col>
      <xdr:colOff>47624</xdr:colOff>
      <xdr:row>11</xdr:row>
      <xdr:rowOff>181355</xdr:rowOff>
    </xdr:from>
    <xdr:to>
      <xdr:col>11</xdr:col>
      <xdr:colOff>507567</xdr:colOff>
      <xdr:row>14</xdr:row>
      <xdr:rowOff>93213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7A23E290-AFB1-4830-B270-C8C82B8AB2EC}"/>
                </a:ext>
              </a:extLst>
            </xdr:cNvPr>
            <xdr:cNvSpPr/>
          </xdr:nvSpPr>
          <xdr:spPr>
            <a:xfrm>
              <a:off x="3752849" y="2343530"/>
              <a:ext cx="2879293" cy="48335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12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2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7A23E290-AFB1-4830-B270-C8C82B8AB2EC}"/>
                </a:ext>
              </a:extLst>
            </xdr:cNvPr>
            <xdr:cNvSpPr/>
          </xdr:nvSpPr>
          <xdr:spPr>
            <a:xfrm>
              <a:off x="3752849" y="2343530"/>
              <a:ext cx="2879293" cy="48335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12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twoCellAnchor>
    <xdr:from>
      <xdr:col>14</xdr:col>
      <xdr:colOff>2381</xdr:colOff>
      <xdr:row>11</xdr:row>
      <xdr:rowOff>21431</xdr:rowOff>
    </xdr:from>
    <xdr:to>
      <xdr:col>24</xdr:col>
      <xdr:colOff>190500</xdr:colOff>
      <xdr:row>12</xdr:row>
      <xdr:rowOff>118102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24">
              <a:extLst>
                <a:ext uri="{FF2B5EF4-FFF2-40B4-BE49-F238E27FC236}">
                  <a16:creationId xmlns:a16="http://schemas.microsoft.com/office/drawing/2014/main" id="{596EAB83-84FF-462C-9E20-D50A6859B251}"/>
                </a:ext>
              </a:extLst>
            </xdr:cNvPr>
            <xdr:cNvSpPr txBox="1"/>
          </xdr:nvSpPr>
          <xdr:spPr>
            <a:xfrm>
              <a:off x="7574756" y="2183606"/>
              <a:ext cx="4474369" cy="287171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𝑃</m:t>
                            </m:r>
                          </m:e>
                          <m:sub>
                            <m: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1</m:t>
                            </m:r>
                          </m:sub>
                        </m:sSub>
                      </m:num>
                      <m:den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ɣ</m:t>
                        </m:r>
                      </m:den>
                    </m:f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ES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1</m:t>
                                </m:r>
                              </m:sub>
                            </m:sSub>
                          </m:e>
                          <m:sup>
                            <m:r>
                              <a:rPr lang="es-E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s-E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  <m:r>
                      <a:rPr lang="es-MX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 </m:t>
                    </m:r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𝐻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𝐵</m:t>
                        </m:r>
                      </m:sub>
                    </m:sSub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s-ES" sz="9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𝑃</m:t>
                            </m:r>
                          </m:e>
                          <m:sub>
                            <m:r>
                              <a:rPr lang="es-MX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3</m:t>
                            </m:r>
                          </m:sub>
                        </m:sSub>
                      </m:num>
                      <m:den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ɣ</m:t>
                        </m:r>
                      </m:den>
                    </m:f>
                    <m:r>
                      <a:rPr lang="es-ES" sz="9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MX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</m:e>
                          <m:sup>
                            <m: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  <m:r>
                      <a:rPr lang="es-MX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h𝑓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1−3</m:t>
                        </m:r>
                      </m:sub>
                    </m:sSub>
                  </m:oMath>
                </m:oMathPara>
              </a14:m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7" name="CuadroTexto 24">
              <a:extLst>
                <a:ext uri="{FF2B5EF4-FFF2-40B4-BE49-F238E27FC236}">
                  <a16:creationId xmlns:a16="http://schemas.microsoft.com/office/drawing/2014/main" id="{596EAB83-84FF-462C-9E20-D50A6859B251}"/>
                </a:ext>
              </a:extLst>
            </xdr:cNvPr>
            <xdr:cNvSpPr txBox="1"/>
          </xdr:nvSpPr>
          <xdr:spPr>
            <a:xfrm>
              <a:off x="7574756" y="2183606"/>
              <a:ext cx="4474369" cy="287171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𝑍_1+𝑃_1/ɣ+〖𝑉_1〗^2/2𝑔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 𝐻_𝐵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=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𝑍_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+𝑃_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/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ɣ+〖𝑉_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〗^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2/2𝑔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+〖ℎ𝑓〗_(1−3)</a:t>
              </a:r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twoCellAnchor>
    <xdr:from>
      <xdr:col>16</xdr:col>
      <xdr:colOff>14287</xdr:colOff>
      <xdr:row>13</xdr:row>
      <xdr:rowOff>150019</xdr:rowOff>
    </xdr:from>
    <xdr:to>
      <xdr:col>19</xdr:col>
      <xdr:colOff>293026</xdr:colOff>
      <xdr:row>15</xdr:row>
      <xdr:rowOff>41902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28">
              <a:extLst>
                <a:ext uri="{FF2B5EF4-FFF2-40B4-BE49-F238E27FC236}">
                  <a16:creationId xmlns:a16="http://schemas.microsoft.com/office/drawing/2014/main" id="{6969DDE1-BD78-499A-9709-564DFB7AC680}"/>
                </a:ext>
              </a:extLst>
            </xdr:cNvPr>
            <xdr:cNvSpPr txBox="1"/>
          </xdr:nvSpPr>
          <xdr:spPr>
            <a:xfrm>
              <a:off x="8691562" y="2693194"/>
              <a:ext cx="1755114" cy="282408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𝐻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𝐵</m:t>
                        </m:r>
                      </m:sub>
                    </m:sSub>
                    <m:r>
                      <a:rPr lang="es-E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s-ES" sz="90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90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𝑉</m:t>
                                </m:r>
                              </m:e>
                              <m:sub>
                                <m:r>
                                  <a:rPr lang="es-MX" sz="900" b="0" i="1">
                                    <a:solidFill>
                                      <a:sysClr val="windowText" lastClr="000000"/>
                                    </a:solidFill>
                                    <a:latin typeface="Cambria Math" panose="02040503050406030204" pitchFamily="18" charset="0"/>
                                  </a:rPr>
                                  <m:t>3</m:t>
                                </m:r>
                              </m:sub>
                            </m:sSub>
                          </m:e>
                          <m:sup>
                            <m:r>
                              <a:rPr lang="es-ES" sz="90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s-ES" sz="90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  <m:r>
                      <a:rPr lang="es-MX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h𝑓</m:t>
                        </m:r>
                      </m:e>
                      <m:sub>
                        <m:r>
                          <a:rPr lang="es-MX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1−3</m:t>
                        </m:r>
                      </m:sub>
                    </m:sSub>
                  </m:oMath>
                </m:oMathPara>
              </a14:m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8" name="CuadroTexto 28">
              <a:extLst>
                <a:ext uri="{FF2B5EF4-FFF2-40B4-BE49-F238E27FC236}">
                  <a16:creationId xmlns:a16="http://schemas.microsoft.com/office/drawing/2014/main" id="{6969DDE1-BD78-499A-9709-564DFB7AC680}"/>
                </a:ext>
              </a:extLst>
            </xdr:cNvPr>
            <xdr:cNvSpPr txBox="1"/>
          </xdr:nvSpPr>
          <xdr:spPr>
            <a:xfrm>
              <a:off x="8691562" y="2693194"/>
              <a:ext cx="1755114" cy="282408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𝐻_𝐵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=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𝑍_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+〖𝑉_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3</a:t>
              </a:r>
              <a:r>
                <a:rPr lang="es-E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〗^</a:t>
              </a:r>
              <a:r>
                <a:rPr lang="es-ES" sz="90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2/2𝑔</a:t>
              </a:r>
              <a:r>
                <a:rPr lang="es-MX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+〖ℎ𝑓〗_(1−3)</a:t>
              </a:r>
              <a:endParaRPr lang="es-ES" sz="90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twoCellAnchor>
    <xdr:from>
      <xdr:col>17</xdr:col>
      <xdr:colOff>174842</xdr:colOff>
      <xdr:row>16</xdr:row>
      <xdr:rowOff>64293</xdr:rowOff>
    </xdr:from>
    <xdr:to>
      <xdr:col>18</xdr:col>
      <xdr:colOff>719138</xdr:colOff>
      <xdr:row>18</xdr:row>
      <xdr:rowOff>49250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Rectángulo 8">
              <a:extLst>
                <a:ext uri="{FF2B5EF4-FFF2-40B4-BE49-F238E27FC236}">
                  <a16:creationId xmlns:a16="http://schemas.microsoft.com/office/drawing/2014/main" id="{3855C244-E315-4FBD-94C0-AFF46C5A221D}"/>
                </a:ext>
              </a:extLst>
            </xdr:cNvPr>
            <xdr:cNvSpPr/>
          </xdr:nvSpPr>
          <xdr:spPr>
            <a:xfrm>
              <a:off x="9004517" y="3188493"/>
              <a:ext cx="1049121" cy="36595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9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9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9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9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9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9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9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9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9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9" name="Rectángulo 8">
              <a:extLst>
                <a:ext uri="{FF2B5EF4-FFF2-40B4-BE49-F238E27FC236}">
                  <a16:creationId xmlns:a16="http://schemas.microsoft.com/office/drawing/2014/main" id="{3855C244-E315-4FBD-94C0-AFF46C5A221D}"/>
                </a:ext>
              </a:extLst>
            </xdr:cNvPr>
            <xdr:cNvSpPr/>
          </xdr:nvSpPr>
          <xdr:spPr>
            <a:xfrm>
              <a:off x="9004517" y="3188493"/>
              <a:ext cx="1049121" cy="365957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9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9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oneCellAnchor>
    <xdr:from>
      <xdr:col>46</xdr:col>
      <xdr:colOff>330994</xdr:colOff>
      <xdr:row>2</xdr:row>
      <xdr:rowOff>216693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37A1904C-854D-4957-AAB8-5B89E6A9AAEA}"/>
                </a:ext>
              </a:extLst>
            </xdr:cNvPr>
            <xdr:cNvSpPr txBox="1"/>
          </xdr:nvSpPr>
          <xdr:spPr>
            <a:xfrm>
              <a:off x="781764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37A1904C-854D-4957-AAB8-5B89E6A9AAEA}"/>
                </a:ext>
              </a:extLst>
            </xdr:cNvPr>
            <xdr:cNvSpPr txBox="1"/>
          </xdr:nvSpPr>
          <xdr:spPr>
            <a:xfrm>
              <a:off x="781764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46</xdr:col>
      <xdr:colOff>464341</xdr:colOff>
      <xdr:row>5</xdr:row>
      <xdr:rowOff>154782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9E83F6A9-08DF-4C85-8048-82CFC1BAA2A0}"/>
                </a:ext>
              </a:extLst>
            </xdr:cNvPr>
            <xdr:cNvSpPr txBox="1"/>
          </xdr:nvSpPr>
          <xdr:spPr>
            <a:xfrm>
              <a:off x="795099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9E83F6A9-08DF-4C85-8048-82CFC1BAA2A0}"/>
                </a:ext>
              </a:extLst>
            </xdr:cNvPr>
            <xdr:cNvSpPr txBox="1"/>
          </xdr:nvSpPr>
          <xdr:spPr>
            <a:xfrm>
              <a:off x="795099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twoCellAnchor>
    <xdr:from>
      <xdr:col>39</xdr:col>
      <xdr:colOff>47624</xdr:colOff>
      <xdr:row>11</xdr:row>
      <xdr:rowOff>181355</xdr:rowOff>
    </xdr:from>
    <xdr:to>
      <xdr:col>43</xdr:col>
      <xdr:colOff>507567</xdr:colOff>
      <xdr:row>14</xdr:row>
      <xdr:rowOff>93213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Rectángulo 12">
              <a:extLst>
                <a:ext uri="{FF2B5EF4-FFF2-40B4-BE49-F238E27FC236}">
                  <a16:creationId xmlns:a16="http://schemas.microsoft.com/office/drawing/2014/main" id="{C3B51D12-70EC-43BD-A57D-710E649F3FF5}"/>
                </a:ext>
              </a:extLst>
            </xdr:cNvPr>
            <xdr:cNvSpPr/>
          </xdr:nvSpPr>
          <xdr:spPr>
            <a:xfrm>
              <a:off x="3752849" y="2343530"/>
              <a:ext cx="2555443" cy="48335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12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2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13" name="Rectángulo 12">
              <a:extLst>
                <a:ext uri="{FF2B5EF4-FFF2-40B4-BE49-F238E27FC236}">
                  <a16:creationId xmlns:a16="http://schemas.microsoft.com/office/drawing/2014/main" id="{C3B51D12-70EC-43BD-A57D-710E649F3FF5}"/>
                </a:ext>
              </a:extLst>
            </xdr:cNvPr>
            <xdr:cNvSpPr/>
          </xdr:nvSpPr>
          <xdr:spPr>
            <a:xfrm>
              <a:off x="3752849" y="2343530"/>
              <a:ext cx="2555443" cy="48335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12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oneCellAnchor>
    <xdr:from>
      <xdr:col>41</xdr:col>
      <xdr:colOff>304800</xdr:colOff>
      <xdr:row>17</xdr:row>
      <xdr:rowOff>133350</xdr:rowOff>
    </xdr:from>
    <xdr:ext cx="65" cy="172227"/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F95A9029-E1DF-4D75-9229-5AE5F5CA89FE}"/>
            </a:ext>
          </a:extLst>
        </xdr:cNvPr>
        <xdr:cNvSpPr txBox="1"/>
      </xdr:nvSpPr>
      <xdr:spPr>
        <a:xfrm>
          <a:off x="515302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330994</xdr:colOff>
      <xdr:row>2</xdr:row>
      <xdr:rowOff>216693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6A38BC7F-FCA6-41A8-82F3-D511C554CEA5}"/>
                </a:ext>
              </a:extLst>
            </xdr:cNvPr>
            <xdr:cNvSpPr txBox="1"/>
          </xdr:nvSpPr>
          <xdr:spPr>
            <a:xfrm>
              <a:off x="781764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6A38BC7F-FCA6-41A8-82F3-D511C554CEA5}"/>
                </a:ext>
              </a:extLst>
            </xdr:cNvPr>
            <xdr:cNvSpPr txBox="1"/>
          </xdr:nvSpPr>
          <xdr:spPr>
            <a:xfrm>
              <a:off x="781764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14</xdr:col>
      <xdr:colOff>464341</xdr:colOff>
      <xdr:row>5</xdr:row>
      <xdr:rowOff>154782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D16FD95F-CC85-4C4F-9AE7-01B1289F06A3}"/>
                </a:ext>
              </a:extLst>
            </xdr:cNvPr>
            <xdr:cNvSpPr txBox="1"/>
          </xdr:nvSpPr>
          <xdr:spPr>
            <a:xfrm>
              <a:off x="795099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D16FD95F-CC85-4C4F-9AE7-01B1289F06A3}"/>
                </a:ext>
              </a:extLst>
            </xdr:cNvPr>
            <xdr:cNvSpPr txBox="1"/>
          </xdr:nvSpPr>
          <xdr:spPr>
            <a:xfrm>
              <a:off x="795099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10</xdr:col>
      <xdr:colOff>423862</xdr:colOff>
      <xdr:row>17</xdr:row>
      <xdr:rowOff>97631</xdr:rowOff>
    </xdr:from>
    <xdr:ext cx="65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F12C4491-7B24-49A5-9CA9-819D1193B6B7}"/>
            </a:ext>
          </a:extLst>
        </xdr:cNvPr>
        <xdr:cNvSpPr txBox="1"/>
      </xdr:nvSpPr>
      <xdr:spPr>
        <a:xfrm>
          <a:off x="5876925" y="3419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oneCellAnchor>
    <xdr:from>
      <xdr:col>17</xdr:col>
      <xdr:colOff>372301</xdr:colOff>
      <xdr:row>17</xdr:row>
      <xdr:rowOff>160889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69732CB7-C6FE-4C7B-9259-4040BC7D3E10}"/>
            </a:ext>
          </a:extLst>
        </xdr:cNvPr>
        <xdr:cNvSpPr txBox="1"/>
      </xdr:nvSpPr>
      <xdr:spPr>
        <a:xfrm>
          <a:off x="9116251" y="34755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twoCellAnchor>
    <xdr:from>
      <xdr:col>7</xdr:col>
      <xdr:colOff>47624</xdr:colOff>
      <xdr:row>11</xdr:row>
      <xdr:rowOff>181355</xdr:rowOff>
    </xdr:from>
    <xdr:to>
      <xdr:col>10</xdr:col>
      <xdr:colOff>333374</xdr:colOff>
      <xdr:row>14</xdr:row>
      <xdr:rowOff>105119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38667313-6E4A-4379-B45D-3F939F81A09A}"/>
                </a:ext>
              </a:extLst>
            </xdr:cNvPr>
            <xdr:cNvSpPr/>
          </xdr:nvSpPr>
          <xdr:spPr>
            <a:xfrm>
              <a:off x="3762374" y="2348293"/>
              <a:ext cx="1976438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12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2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38667313-6E4A-4379-B45D-3F939F81A09A}"/>
                </a:ext>
              </a:extLst>
            </xdr:cNvPr>
            <xdr:cNvSpPr/>
          </xdr:nvSpPr>
          <xdr:spPr>
            <a:xfrm>
              <a:off x="3762374" y="2348293"/>
              <a:ext cx="1976438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12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oneCellAnchor>
    <xdr:from>
      <xdr:col>46</xdr:col>
      <xdr:colOff>330994</xdr:colOff>
      <xdr:row>2</xdr:row>
      <xdr:rowOff>216693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C18BE00-741C-43AD-86EF-FFC5814D01D0}"/>
                </a:ext>
              </a:extLst>
            </xdr:cNvPr>
            <xdr:cNvSpPr txBox="1"/>
          </xdr:nvSpPr>
          <xdr:spPr>
            <a:xfrm>
              <a:off x="23543419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0C18BE00-741C-43AD-86EF-FFC5814D01D0}"/>
                </a:ext>
              </a:extLst>
            </xdr:cNvPr>
            <xdr:cNvSpPr txBox="1"/>
          </xdr:nvSpPr>
          <xdr:spPr>
            <a:xfrm>
              <a:off x="23543419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46</xdr:col>
      <xdr:colOff>464341</xdr:colOff>
      <xdr:row>5</xdr:row>
      <xdr:rowOff>154782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755CC63C-0E9C-45BF-A797-BE71DEBDD4E0}"/>
                </a:ext>
              </a:extLst>
            </xdr:cNvPr>
            <xdr:cNvSpPr txBox="1"/>
          </xdr:nvSpPr>
          <xdr:spPr>
            <a:xfrm>
              <a:off x="23543416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755CC63C-0E9C-45BF-A797-BE71DEBDD4E0}"/>
                </a:ext>
              </a:extLst>
            </xdr:cNvPr>
            <xdr:cNvSpPr txBox="1"/>
          </xdr:nvSpPr>
          <xdr:spPr>
            <a:xfrm>
              <a:off x="23543416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twoCellAnchor>
    <xdr:from>
      <xdr:col>39</xdr:col>
      <xdr:colOff>47624</xdr:colOff>
      <xdr:row>11</xdr:row>
      <xdr:rowOff>181355</xdr:rowOff>
    </xdr:from>
    <xdr:to>
      <xdr:col>43</xdr:col>
      <xdr:colOff>23812</xdr:colOff>
      <xdr:row>14</xdr:row>
      <xdr:rowOff>105119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Rectángulo 11">
              <a:extLst>
                <a:ext uri="{FF2B5EF4-FFF2-40B4-BE49-F238E27FC236}">
                  <a16:creationId xmlns:a16="http://schemas.microsoft.com/office/drawing/2014/main" id="{B9BD0112-662D-4625-B119-692C3361C7CD}"/>
                </a:ext>
              </a:extLst>
            </xdr:cNvPr>
            <xdr:cNvSpPr/>
          </xdr:nvSpPr>
          <xdr:spPr>
            <a:xfrm>
              <a:off x="20038218" y="2348293"/>
              <a:ext cx="2690813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12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2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12" name="Rectángulo 11">
              <a:extLst>
                <a:ext uri="{FF2B5EF4-FFF2-40B4-BE49-F238E27FC236}">
                  <a16:creationId xmlns:a16="http://schemas.microsoft.com/office/drawing/2014/main" id="{B9BD0112-662D-4625-B119-692C3361C7CD}"/>
                </a:ext>
              </a:extLst>
            </xdr:cNvPr>
            <xdr:cNvSpPr/>
          </xdr:nvSpPr>
          <xdr:spPr>
            <a:xfrm>
              <a:off x="20038218" y="2348293"/>
              <a:ext cx="2690813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12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oneCellAnchor>
    <xdr:from>
      <xdr:col>41</xdr:col>
      <xdr:colOff>304800</xdr:colOff>
      <xdr:row>17</xdr:row>
      <xdr:rowOff>133350</xdr:rowOff>
    </xdr:from>
    <xdr:ext cx="65" cy="172227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84221E2-76F6-4ED1-B89A-51E9A095F8F7}"/>
            </a:ext>
          </a:extLst>
        </xdr:cNvPr>
        <xdr:cNvSpPr txBox="1"/>
      </xdr:nvSpPr>
      <xdr:spPr>
        <a:xfrm>
          <a:off x="2107882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twoCellAnchor editAs="oneCell">
    <xdr:from>
      <xdr:col>2</xdr:col>
      <xdr:colOff>247649</xdr:colOff>
      <xdr:row>23</xdr:row>
      <xdr:rowOff>9525</xdr:rowOff>
    </xdr:from>
    <xdr:to>
      <xdr:col>13</xdr:col>
      <xdr:colOff>57149</xdr:colOff>
      <xdr:row>35</xdr:row>
      <xdr:rowOff>142570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94739BA0-9AC3-A30E-D6DF-C54574C5B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324" y="4486275"/>
          <a:ext cx="6467475" cy="2438095"/>
        </a:xfrm>
        <a:prstGeom prst="rect">
          <a:avLst/>
        </a:prstGeom>
      </xdr:spPr>
    </xdr:pic>
    <xdr:clientData/>
  </xdr:twoCellAnchor>
  <xdr:twoCellAnchor editAs="oneCell">
    <xdr:from>
      <xdr:col>35</xdr:col>
      <xdr:colOff>0</xdr:colOff>
      <xdr:row>36</xdr:row>
      <xdr:rowOff>0</xdr:rowOff>
    </xdr:from>
    <xdr:to>
      <xdr:col>43</xdr:col>
      <xdr:colOff>168423</xdr:colOff>
      <xdr:row>36</xdr:row>
      <xdr:rowOff>511968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69F3A58-5DBE-3895-E3A5-55D90041A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80594" y="6988969"/>
          <a:ext cx="6693048" cy="5119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330994</xdr:colOff>
      <xdr:row>2</xdr:row>
      <xdr:rowOff>216693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681B77A4-3579-46F1-AE50-ABFB44089847}"/>
                </a:ext>
              </a:extLst>
            </xdr:cNvPr>
            <xdr:cNvSpPr txBox="1"/>
          </xdr:nvSpPr>
          <xdr:spPr>
            <a:xfrm>
              <a:off x="787479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681B77A4-3579-46F1-AE50-ABFB44089847}"/>
                </a:ext>
              </a:extLst>
            </xdr:cNvPr>
            <xdr:cNvSpPr txBox="1"/>
          </xdr:nvSpPr>
          <xdr:spPr>
            <a:xfrm>
              <a:off x="7874794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14</xdr:col>
      <xdr:colOff>464341</xdr:colOff>
      <xdr:row>5</xdr:row>
      <xdr:rowOff>154782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80C4C57A-5E6C-429D-9C5D-46CE4DDC53CB}"/>
                </a:ext>
              </a:extLst>
            </xdr:cNvPr>
            <xdr:cNvSpPr txBox="1"/>
          </xdr:nvSpPr>
          <xdr:spPr>
            <a:xfrm>
              <a:off x="800814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80C4C57A-5E6C-429D-9C5D-46CE4DDC53CB}"/>
                </a:ext>
              </a:extLst>
            </xdr:cNvPr>
            <xdr:cNvSpPr txBox="1"/>
          </xdr:nvSpPr>
          <xdr:spPr>
            <a:xfrm>
              <a:off x="8008141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10</xdr:col>
      <xdr:colOff>423862</xdr:colOff>
      <xdr:row>17</xdr:row>
      <xdr:rowOff>97631</xdr:rowOff>
    </xdr:from>
    <xdr:ext cx="65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B2CF6277-577B-48EA-A95A-1EE44A734D47}"/>
            </a:ext>
          </a:extLst>
        </xdr:cNvPr>
        <xdr:cNvSpPr txBox="1"/>
      </xdr:nvSpPr>
      <xdr:spPr>
        <a:xfrm>
          <a:off x="5881687" y="341233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oneCellAnchor>
    <xdr:from>
      <xdr:col>17</xdr:col>
      <xdr:colOff>372301</xdr:colOff>
      <xdr:row>17</xdr:row>
      <xdr:rowOff>160889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17F5F9F4-E408-47A4-9807-F3BC601992A4}"/>
            </a:ext>
          </a:extLst>
        </xdr:cNvPr>
        <xdr:cNvSpPr txBox="1"/>
      </xdr:nvSpPr>
      <xdr:spPr>
        <a:xfrm>
          <a:off x="9173401" y="34755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twoCellAnchor>
    <xdr:from>
      <xdr:col>7</xdr:col>
      <xdr:colOff>47624</xdr:colOff>
      <xdr:row>11</xdr:row>
      <xdr:rowOff>181355</xdr:rowOff>
    </xdr:from>
    <xdr:to>
      <xdr:col>10</xdr:col>
      <xdr:colOff>333374</xdr:colOff>
      <xdr:row>14</xdr:row>
      <xdr:rowOff>105119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6AEE8636-7EC8-40A6-AC6E-FD62AAF6BFA0}"/>
                </a:ext>
              </a:extLst>
            </xdr:cNvPr>
            <xdr:cNvSpPr/>
          </xdr:nvSpPr>
          <xdr:spPr>
            <a:xfrm>
              <a:off x="3809999" y="2343530"/>
              <a:ext cx="1981200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12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2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6" name="Rectángulo 5">
              <a:extLst>
                <a:ext uri="{FF2B5EF4-FFF2-40B4-BE49-F238E27FC236}">
                  <a16:creationId xmlns:a16="http://schemas.microsoft.com/office/drawing/2014/main" id="{6AEE8636-7EC8-40A6-AC6E-FD62AAF6BFA0}"/>
                </a:ext>
              </a:extLst>
            </xdr:cNvPr>
            <xdr:cNvSpPr/>
          </xdr:nvSpPr>
          <xdr:spPr>
            <a:xfrm>
              <a:off x="3809999" y="2343530"/>
              <a:ext cx="1981200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12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oneCellAnchor>
    <xdr:from>
      <xdr:col>46</xdr:col>
      <xdr:colOff>330994</xdr:colOff>
      <xdr:row>2</xdr:row>
      <xdr:rowOff>216693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9333DB9E-494F-44E4-BA13-F1D41EA5B72F}"/>
                </a:ext>
              </a:extLst>
            </xdr:cNvPr>
            <xdr:cNvSpPr txBox="1"/>
          </xdr:nvSpPr>
          <xdr:spPr>
            <a:xfrm>
              <a:off x="24419719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9333DB9E-494F-44E4-BA13-F1D41EA5B72F}"/>
                </a:ext>
              </a:extLst>
            </xdr:cNvPr>
            <xdr:cNvSpPr txBox="1"/>
          </xdr:nvSpPr>
          <xdr:spPr>
            <a:xfrm>
              <a:off x="24419719" y="616743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oneCellAnchor>
    <xdr:from>
      <xdr:col>46</xdr:col>
      <xdr:colOff>464341</xdr:colOff>
      <xdr:row>5</xdr:row>
      <xdr:rowOff>154782</xdr:rowOff>
    </xdr:from>
    <xdr:ext cx="10996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4D0E19E7-CDCE-4479-9DCF-3B3E4A891A14}"/>
                </a:ext>
              </a:extLst>
            </xdr:cNvPr>
            <xdr:cNvSpPr txBox="1"/>
          </xdr:nvSpPr>
          <xdr:spPr>
            <a:xfrm>
              <a:off x="24419716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4D0E19E7-CDCE-4479-9DCF-3B3E4A891A14}"/>
                </a:ext>
              </a:extLst>
            </xdr:cNvPr>
            <xdr:cNvSpPr txBox="1"/>
          </xdr:nvSpPr>
          <xdr:spPr>
            <a:xfrm>
              <a:off x="24419716" y="1154907"/>
              <a:ext cx="10996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2</a:t>
              </a:r>
              <a:endParaRPr lang="es-EC" sz="1100"/>
            </a:p>
          </xdr:txBody>
        </xdr:sp>
      </mc:Fallback>
    </mc:AlternateContent>
    <xdr:clientData/>
  </xdr:oneCellAnchor>
  <xdr:twoCellAnchor>
    <xdr:from>
      <xdr:col>39</xdr:col>
      <xdr:colOff>47624</xdr:colOff>
      <xdr:row>11</xdr:row>
      <xdr:rowOff>181355</xdr:rowOff>
    </xdr:from>
    <xdr:to>
      <xdr:col>43</xdr:col>
      <xdr:colOff>23812</xdr:colOff>
      <xdr:row>14</xdr:row>
      <xdr:rowOff>105119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Rectángulo 8">
              <a:extLst>
                <a:ext uri="{FF2B5EF4-FFF2-40B4-BE49-F238E27FC236}">
                  <a16:creationId xmlns:a16="http://schemas.microsoft.com/office/drawing/2014/main" id="{FC2FB160-2921-4E2C-8953-1D89796E465B}"/>
                </a:ext>
              </a:extLst>
            </xdr:cNvPr>
            <xdr:cNvSpPr/>
          </xdr:nvSpPr>
          <xdr:spPr>
            <a:xfrm>
              <a:off x="20173949" y="2343530"/>
              <a:ext cx="2690813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h𝑓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𝑓</m:t>
                    </m:r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𝐿</m:t>
                        </m:r>
                      </m:num>
                      <m:den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𝐷</m:t>
                        </m:r>
                      </m:den>
                    </m:f>
                    <m:r>
                      <a:rPr lang="en-US" sz="1200" b="0" i="0">
                        <a:solidFill>
                          <a:sysClr val="windowText" lastClr="000000"/>
                        </a:solidFill>
                        <a:latin typeface="Cambria Math" panose="02040503050406030204" pitchFamily="18" charset="0"/>
                      </a:rPr>
                      <m:t>∗ </m:t>
                    </m:r>
                    <m:f>
                      <m:fPr>
                        <m:ctrlP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p>
                          <m:sSupPr>
                            <m:ctrlP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200" b="0" i="1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𝑣</m:t>
                            </m:r>
                          </m:e>
                          <m:sup>
                            <m:r>
                              <a:rPr lang="en-US" sz="1200" b="0" i="0">
                                <a:solidFill>
                                  <a:sysClr val="windowText" lastClr="000000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num>
                      <m:den>
                        <m:r>
                          <a:rPr lang="en-US" sz="1200" b="0" i="0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n-US" sz="1200" b="0" i="1">
                            <a:solidFill>
                              <a:sysClr val="windowText" lastClr="000000"/>
                            </a:solidFill>
                            <a:latin typeface="Cambria Math" panose="02040503050406030204" pitchFamily="18" charset="0"/>
                          </a:rPr>
                          <m:t>𝑔</m:t>
                        </m:r>
                      </m:den>
                    </m:f>
                  </m:oMath>
                </m:oMathPara>
              </a14:m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Choice>
      <mc:Fallback xmlns="">
        <xdr:sp macro="" textlink="">
          <xdr:nvSpPr>
            <xdr:cNvPr id="9" name="Rectángulo 8">
              <a:extLst>
                <a:ext uri="{FF2B5EF4-FFF2-40B4-BE49-F238E27FC236}">
                  <a16:creationId xmlns:a16="http://schemas.microsoft.com/office/drawing/2014/main" id="{FC2FB160-2921-4E2C-8953-1D89796E465B}"/>
                </a:ext>
              </a:extLst>
            </xdr:cNvPr>
            <xdr:cNvSpPr/>
          </xdr:nvSpPr>
          <xdr:spPr>
            <a:xfrm>
              <a:off x="20173949" y="2343530"/>
              <a:ext cx="2690813" cy="495264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 rtl="0">
                <a:defRPr lang="es-e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sz="1200" b="0" i="0">
                  <a:solidFill>
                    <a:sysClr val="windowText" lastClr="000000"/>
                  </a:solidFill>
                  <a:latin typeface="Cambria Math" panose="02040503050406030204" pitchFamily="18" charset="0"/>
                </a:rPr>
                <a:t>ℎ𝑓=𝑓∗  𝐿/𝐷∗  𝑣^2/2𝑔</a:t>
              </a:r>
              <a:endParaRPr lang="en-US" sz="1200" b="0">
                <a:solidFill>
                  <a:sysClr val="windowText" lastClr="000000"/>
                </a:solidFill>
              </a:endParaRPr>
            </a:p>
          </xdr:txBody>
        </xdr:sp>
      </mc:Fallback>
    </mc:AlternateContent>
    <xdr:clientData/>
  </xdr:twoCellAnchor>
  <xdr:oneCellAnchor>
    <xdr:from>
      <xdr:col>41</xdr:col>
      <xdr:colOff>304800</xdr:colOff>
      <xdr:row>17</xdr:row>
      <xdr:rowOff>133350</xdr:rowOff>
    </xdr:from>
    <xdr:ext cx="65" cy="172227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222A4B98-CDCF-4E9B-BC10-F77E71A18D34}"/>
            </a:ext>
          </a:extLst>
        </xdr:cNvPr>
        <xdr:cNvSpPr txBox="1"/>
      </xdr:nvSpPr>
      <xdr:spPr>
        <a:xfrm>
          <a:off x="21955125" y="34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EC" sz="1100"/>
        </a:p>
      </xdr:txBody>
    </xdr:sp>
    <xdr:clientData/>
  </xdr:oneCellAnchor>
  <xdr:twoCellAnchor editAs="oneCell">
    <xdr:from>
      <xdr:col>2</xdr:col>
      <xdr:colOff>247649</xdr:colOff>
      <xdr:row>23</xdr:row>
      <xdr:rowOff>9525</xdr:rowOff>
    </xdr:from>
    <xdr:to>
      <xdr:col>13</xdr:col>
      <xdr:colOff>57149</xdr:colOff>
      <xdr:row>35</xdr:row>
      <xdr:rowOff>142570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AB54D372-9418-4D90-835F-BFD0529D6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324" y="4486275"/>
          <a:ext cx="6467475" cy="2438095"/>
        </a:xfrm>
        <a:prstGeom prst="rect">
          <a:avLst/>
        </a:prstGeom>
      </xdr:spPr>
    </xdr:pic>
    <xdr:clientData/>
  </xdr:twoCellAnchor>
  <xdr:twoCellAnchor editAs="oneCell">
    <xdr:from>
      <xdr:col>47</xdr:col>
      <xdr:colOff>595312</xdr:colOff>
      <xdr:row>28</xdr:row>
      <xdr:rowOff>130969</xdr:rowOff>
    </xdr:from>
    <xdr:to>
      <xdr:col>52</xdr:col>
      <xdr:colOff>416718</xdr:colOff>
      <xdr:row>30</xdr:row>
      <xdr:rowOff>170974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B7F08991-6B7B-480A-37F8-AA490A31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146125" y="5584032"/>
          <a:ext cx="3071812" cy="421005"/>
        </a:xfrm>
        <a:prstGeom prst="rect">
          <a:avLst/>
        </a:prstGeom>
      </xdr:spPr>
    </xdr:pic>
    <xdr:clientData/>
  </xdr:twoCellAnchor>
  <xdr:twoCellAnchor>
    <xdr:from>
      <xdr:col>45</xdr:col>
      <xdr:colOff>357188</xdr:colOff>
      <xdr:row>41</xdr:row>
      <xdr:rowOff>15479</xdr:rowOff>
    </xdr:from>
    <xdr:to>
      <xdr:col>57</xdr:col>
      <xdr:colOff>178594</xdr:colOff>
      <xdr:row>59</xdr:row>
      <xdr:rowOff>11907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5ED0948B-189C-C239-E841-4147C745FA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60321-5C04-447E-842F-3DD6DE66D4D8}">
  <dimension ref="A1:T369"/>
  <sheetViews>
    <sheetView topLeftCell="D1" workbookViewId="0">
      <selection activeCell="L14" sqref="L14"/>
    </sheetView>
  </sheetViews>
  <sheetFormatPr baseColWidth="10" defaultRowHeight="15" x14ac:dyDescent="0.25"/>
  <cols>
    <col min="2" max="2" width="18" bestFit="1" customWidth="1"/>
    <col min="5" max="5" width="21.7109375" bestFit="1" customWidth="1"/>
    <col min="7" max="8" width="18" bestFit="1" customWidth="1"/>
    <col min="9" max="9" width="15" bestFit="1" customWidth="1"/>
    <col min="10" max="10" width="20.7109375" bestFit="1" customWidth="1"/>
    <col min="11" max="11" width="23.85546875" bestFit="1" customWidth="1"/>
    <col min="12" max="12" width="17.42578125" bestFit="1" customWidth="1"/>
    <col min="13" max="13" width="20.7109375" bestFit="1" customWidth="1"/>
    <col min="14" max="14" width="15.7109375" bestFit="1" customWidth="1"/>
    <col min="15" max="15" width="23.85546875" bestFit="1" customWidth="1"/>
    <col min="16" max="16" width="16.5703125" bestFit="1" customWidth="1"/>
    <col min="18" max="18" width="14.28515625" bestFit="1" customWidth="1"/>
    <col min="19" max="19" width="23.85546875" bestFit="1" customWidth="1"/>
  </cols>
  <sheetData>
    <row r="1" spans="1:20" x14ac:dyDescent="0.25">
      <c r="A1" s="138" t="s">
        <v>93</v>
      </c>
      <c r="B1" s="139"/>
      <c r="C1" s="139"/>
      <c r="D1" s="139"/>
      <c r="E1" s="140"/>
    </row>
    <row r="2" spans="1:20" ht="15.75" thickBot="1" x14ac:dyDescent="0.3">
      <c r="A2" s="141"/>
      <c r="B2" s="142"/>
      <c r="C2" s="142"/>
      <c r="D2" s="142"/>
      <c r="E2" s="143"/>
    </row>
    <row r="3" spans="1:20" x14ac:dyDescent="0.25">
      <c r="A3" s="144" t="s">
        <v>90</v>
      </c>
      <c r="B3" s="145"/>
      <c r="C3" s="147" t="s">
        <v>91</v>
      </c>
      <c r="D3" s="148"/>
      <c r="E3" s="149"/>
      <c r="F3" s="150" t="s">
        <v>92</v>
      </c>
      <c r="G3" s="151"/>
      <c r="H3" s="151"/>
      <c r="I3" s="151"/>
      <c r="J3" s="152"/>
      <c r="K3" s="106" t="s">
        <v>21</v>
      </c>
      <c r="L3" s="109">
        <v>0.9</v>
      </c>
    </row>
    <row r="4" spans="1:20" x14ac:dyDescent="0.25">
      <c r="A4" s="97" t="s">
        <v>18</v>
      </c>
      <c r="B4" s="98" t="s">
        <v>13</v>
      </c>
      <c r="C4" s="99" t="s">
        <v>14</v>
      </c>
      <c r="D4" s="100" t="s">
        <v>15</v>
      </c>
      <c r="E4" s="101" t="s">
        <v>16</v>
      </c>
      <c r="F4" s="102" t="s">
        <v>18</v>
      </c>
      <c r="G4" s="100" t="s">
        <v>13</v>
      </c>
      <c r="H4" s="100" t="s">
        <v>19</v>
      </c>
      <c r="I4" s="103" t="s">
        <v>88</v>
      </c>
      <c r="J4" s="104" t="s">
        <v>89</v>
      </c>
      <c r="K4" s="107" t="s">
        <v>22</v>
      </c>
      <c r="L4" s="93">
        <v>61</v>
      </c>
      <c r="Q4" s="8"/>
    </row>
    <row r="5" spans="1:20" ht="15.75" thickBot="1" x14ac:dyDescent="0.3">
      <c r="A5" s="92" t="s">
        <v>0</v>
      </c>
      <c r="B5" s="93">
        <v>54.06</v>
      </c>
      <c r="C5" s="87">
        <v>1</v>
      </c>
      <c r="D5" s="1" t="s">
        <v>17</v>
      </c>
      <c r="E5" s="2">
        <v>0.19</v>
      </c>
      <c r="F5" s="88" t="s">
        <v>9</v>
      </c>
      <c r="G5" s="89">
        <f>E284</f>
        <v>34.93</v>
      </c>
      <c r="H5" s="90">
        <v>1</v>
      </c>
      <c r="I5" s="91">
        <f>($L$5*H5*$L$6)/1000</f>
        <v>4.8000000000000001E-2</v>
      </c>
      <c r="J5" s="105">
        <f>(G5*$L$3*$L$4)/1000</f>
        <v>1.9176570000000002</v>
      </c>
      <c r="K5" s="107" t="s">
        <v>23</v>
      </c>
      <c r="L5" s="93">
        <v>4</v>
      </c>
      <c r="Q5" s="9"/>
    </row>
    <row r="6" spans="1:20" ht="15.75" thickBot="1" x14ac:dyDescent="0.3">
      <c r="A6" s="92" t="s">
        <v>1</v>
      </c>
      <c r="B6" s="93">
        <v>147.91999999999999</v>
      </c>
      <c r="C6" s="87">
        <v>2</v>
      </c>
      <c r="D6" s="1" t="s">
        <v>17</v>
      </c>
      <c r="E6" s="1">
        <v>0.01</v>
      </c>
      <c r="F6" s="8"/>
      <c r="G6" s="8"/>
      <c r="H6" s="8"/>
      <c r="I6" s="8"/>
      <c r="J6" s="9"/>
      <c r="K6" s="108" t="s">
        <v>24</v>
      </c>
      <c r="L6" s="96">
        <v>12</v>
      </c>
      <c r="M6" s="8"/>
      <c r="N6" s="9"/>
      <c r="Q6" s="9"/>
    </row>
    <row r="7" spans="1:20" x14ac:dyDescent="0.25">
      <c r="A7" s="94" t="s">
        <v>2</v>
      </c>
      <c r="B7" s="93">
        <v>258.45</v>
      </c>
      <c r="C7" s="87">
        <v>3</v>
      </c>
      <c r="D7" s="1" t="s">
        <v>17</v>
      </c>
      <c r="E7" s="1">
        <v>0.24</v>
      </c>
      <c r="F7" s="8"/>
      <c r="G7" s="8"/>
      <c r="H7" s="8"/>
      <c r="I7" s="8"/>
      <c r="J7" s="9"/>
      <c r="K7" s="8"/>
      <c r="L7" s="10"/>
      <c r="M7" s="8"/>
      <c r="N7" s="9"/>
      <c r="O7" s="9"/>
      <c r="P7" s="9"/>
      <c r="Q7" s="9"/>
    </row>
    <row r="8" spans="1:20" x14ac:dyDescent="0.25">
      <c r="A8" s="94" t="s">
        <v>3</v>
      </c>
      <c r="B8" s="93">
        <v>209.34</v>
      </c>
      <c r="C8" s="87">
        <v>4</v>
      </c>
      <c r="D8" s="1" t="s">
        <v>17</v>
      </c>
      <c r="E8" s="1">
        <v>1.19</v>
      </c>
      <c r="F8" s="8"/>
      <c r="G8" s="8"/>
      <c r="H8" s="8"/>
      <c r="I8" s="8"/>
      <c r="J8" s="9"/>
      <c r="K8" s="8"/>
      <c r="L8" s="10"/>
      <c r="M8" s="8"/>
      <c r="N8" s="9"/>
      <c r="O8" s="9"/>
      <c r="P8" s="9"/>
      <c r="Q8" s="9"/>
    </row>
    <row r="9" spans="1:20" x14ac:dyDescent="0.25">
      <c r="A9" s="94" t="s">
        <v>4</v>
      </c>
      <c r="B9" s="93">
        <v>167.07</v>
      </c>
      <c r="C9" s="87">
        <v>5</v>
      </c>
      <c r="D9" s="1" t="s">
        <v>17</v>
      </c>
      <c r="E9" s="1">
        <v>1.45</v>
      </c>
      <c r="F9" s="8"/>
      <c r="N9" s="9"/>
      <c r="O9" s="9"/>
      <c r="P9" s="9"/>
      <c r="Q9" s="9"/>
      <c r="S9" s="85"/>
      <c r="T9" s="86"/>
    </row>
    <row r="10" spans="1:20" x14ac:dyDescent="0.25">
      <c r="A10" s="94" t="s">
        <v>5</v>
      </c>
      <c r="B10" s="93">
        <v>108.22</v>
      </c>
      <c r="C10" s="87">
        <v>6</v>
      </c>
      <c r="D10" s="1" t="s">
        <v>17</v>
      </c>
      <c r="E10" s="1">
        <v>0.08</v>
      </c>
      <c r="F10" s="8"/>
      <c r="N10" s="9"/>
      <c r="O10" s="9"/>
      <c r="P10" s="9"/>
      <c r="Q10" s="9"/>
    </row>
    <row r="11" spans="1:20" x14ac:dyDescent="0.25">
      <c r="A11" s="94" t="s">
        <v>6</v>
      </c>
      <c r="B11" s="93">
        <v>81.41</v>
      </c>
      <c r="C11" s="87">
        <v>7</v>
      </c>
      <c r="D11" s="1" t="s">
        <v>17</v>
      </c>
      <c r="E11" s="1">
        <v>0.02</v>
      </c>
      <c r="F11" s="8"/>
      <c r="G11" s="8"/>
      <c r="H11" s="8"/>
      <c r="I11" s="8"/>
      <c r="J11" s="9"/>
      <c r="K11" s="8"/>
      <c r="N11" s="9"/>
      <c r="O11" s="9"/>
      <c r="P11" s="9"/>
      <c r="Q11" s="9"/>
    </row>
    <row r="12" spans="1:20" x14ac:dyDescent="0.25">
      <c r="A12" s="94" t="s">
        <v>7</v>
      </c>
      <c r="B12" s="93">
        <v>35.6</v>
      </c>
      <c r="C12" s="87">
        <v>8</v>
      </c>
      <c r="D12" s="1" t="s">
        <v>17</v>
      </c>
      <c r="E12" s="1">
        <v>0</v>
      </c>
      <c r="F12" s="8"/>
      <c r="G12" s="8"/>
      <c r="H12" s="8"/>
      <c r="I12" s="8"/>
      <c r="J12" s="9"/>
      <c r="K12" s="8"/>
      <c r="N12" s="9"/>
      <c r="O12" s="9"/>
      <c r="P12" s="9"/>
      <c r="Q12" s="9"/>
    </row>
    <row r="13" spans="1:20" x14ac:dyDescent="0.25">
      <c r="A13" s="94" t="s">
        <v>8</v>
      </c>
      <c r="B13" s="93">
        <v>121.18</v>
      </c>
      <c r="C13" s="87">
        <v>9</v>
      </c>
      <c r="D13" s="1" t="s">
        <v>17</v>
      </c>
      <c r="E13" s="1">
        <v>0</v>
      </c>
      <c r="F13" s="8"/>
      <c r="G13" s="8"/>
      <c r="H13" s="8"/>
      <c r="I13" s="8"/>
      <c r="J13" s="9"/>
      <c r="K13" s="8"/>
      <c r="L13" s="10"/>
      <c r="M13" s="8"/>
      <c r="N13" s="9"/>
      <c r="O13" s="9"/>
      <c r="P13" s="9"/>
      <c r="Q13" s="9"/>
    </row>
    <row r="14" spans="1:20" x14ac:dyDescent="0.25">
      <c r="A14" s="94" t="s">
        <v>9</v>
      </c>
      <c r="B14" s="93">
        <v>260.61</v>
      </c>
      <c r="C14" s="87">
        <v>10</v>
      </c>
      <c r="D14" s="1" t="s">
        <v>17</v>
      </c>
      <c r="E14" s="1">
        <v>1.2</v>
      </c>
      <c r="F14" s="8"/>
      <c r="G14" s="8"/>
      <c r="H14" s="8"/>
      <c r="I14" s="8"/>
      <c r="J14" s="9"/>
      <c r="K14" s="8"/>
      <c r="L14" s="10"/>
      <c r="M14" s="8"/>
      <c r="N14" s="9"/>
      <c r="O14" s="9"/>
      <c r="P14" s="9"/>
      <c r="Q14" s="9"/>
    </row>
    <row r="15" spans="1:20" x14ac:dyDescent="0.25">
      <c r="A15" s="94" t="s">
        <v>10</v>
      </c>
      <c r="B15" s="93">
        <v>169.28</v>
      </c>
      <c r="C15" s="87">
        <v>11</v>
      </c>
      <c r="D15" s="1" t="s">
        <v>17</v>
      </c>
      <c r="E15" s="1">
        <v>1.66</v>
      </c>
      <c r="F15" s="8"/>
      <c r="G15" s="8"/>
      <c r="H15" s="8"/>
      <c r="I15" s="8"/>
      <c r="J15" s="9"/>
      <c r="K15" s="8"/>
      <c r="L15" s="10"/>
      <c r="M15" s="8"/>
      <c r="N15" s="9"/>
      <c r="O15" s="9"/>
      <c r="P15" s="9"/>
      <c r="Q15" s="9"/>
    </row>
    <row r="16" spans="1:20" x14ac:dyDescent="0.25">
      <c r="A16" s="94" t="s">
        <v>11</v>
      </c>
      <c r="B16" s="93">
        <v>73.16</v>
      </c>
      <c r="C16" s="87">
        <v>12</v>
      </c>
      <c r="D16" s="1" t="s">
        <v>17</v>
      </c>
      <c r="E16" s="1">
        <v>2.91</v>
      </c>
      <c r="F16" s="8"/>
      <c r="G16" s="8"/>
      <c r="H16" s="8"/>
      <c r="I16" s="8"/>
      <c r="J16" s="9"/>
      <c r="K16" s="8"/>
      <c r="L16" s="10"/>
      <c r="M16" s="8"/>
      <c r="N16" s="9"/>
      <c r="O16" s="9"/>
      <c r="P16" s="9"/>
      <c r="Q16" s="9"/>
    </row>
    <row r="17" spans="1:16" ht="15.75" thickBot="1" x14ac:dyDescent="0.3">
      <c r="A17" s="95" t="s">
        <v>12</v>
      </c>
      <c r="B17" s="96">
        <v>1686.28</v>
      </c>
      <c r="C17" s="87">
        <v>13</v>
      </c>
      <c r="D17" s="1" t="s">
        <v>17</v>
      </c>
      <c r="E17" s="1">
        <v>7.46</v>
      </c>
    </row>
    <row r="18" spans="1:16" x14ac:dyDescent="0.25">
      <c r="C18" s="1">
        <v>14</v>
      </c>
      <c r="D18" s="1" t="s">
        <v>17</v>
      </c>
      <c r="E18" s="1">
        <v>3.01</v>
      </c>
      <c r="L18" s="146"/>
      <c r="M18" s="146"/>
      <c r="N18" s="146"/>
      <c r="O18" s="146"/>
    </row>
    <row r="19" spans="1:16" x14ac:dyDescent="0.25">
      <c r="C19" s="1">
        <v>15</v>
      </c>
      <c r="D19" s="1" t="s">
        <v>17</v>
      </c>
      <c r="E19" s="1">
        <v>1.54</v>
      </c>
      <c r="I19" s="8"/>
      <c r="J19" s="8"/>
      <c r="K19" s="8"/>
      <c r="L19" s="8"/>
      <c r="N19" s="8"/>
      <c r="O19" s="8"/>
      <c r="P19" s="8"/>
    </row>
    <row r="20" spans="1:16" x14ac:dyDescent="0.25">
      <c r="C20" s="1">
        <v>16</v>
      </c>
      <c r="D20" s="1" t="s">
        <v>17</v>
      </c>
      <c r="E20" s="1">
        <v>0.08</v>
      </c>
      <c r="I20" s="8"/>
      <c r="J20" s="8"/>
      <c r="K20" s="8"/>
      <c r="L20" s="9"/>
      <c r="M20" s="9"/>
      <c r="N20" s="9"/>
      <c r="O20" s="9"/>
      <c r="P20" s="9"/>
    </row>
    <row r="21" spans="1:16" x14ac:dyDescent="0.25">
      <c r="C21" s="1">
        <v>17</v>
      </c>
      <c r="D21" s="1" t="s">
        <v>17</v>
      </c>
      <c r="E21" s="1">
        <v>0.38</v>
      </c>
      <c r="I21" s="8"/>
      <c r="J21" s="8"/>
      <c r="K21" s="8"/>
      <c r="L21" s="9"/>
      <c r="M21" s="9"/>
      <c r="N21" s="9"/>
      <c r="O21" s="9"/>
      <c r="P21" s="9"/>
    </row>
    <row r="22" spans="1:16" x14ac:dyDescent="0.25">
      <c r="C22" s="1">
        <v>18</v>
      </c>
      <c r="D22" s="1" t="s">
        <v>17</v>
      </c>
      <c r="E22" s="1">
        <v>0.39</v>
      </c>
      <c r="I22" s="8"/>
      <c r="J22" s="8"/>
      <c r="K22" s="8"/>
      <c r="L22" s="9"/>
      <c r="M22" s="9"/>
      <c r="N22" s="9"/>
      <c r="O22" s="9"/>
      <c r="P22" s="9"/>
    </row>
    <row r="23" spans="1:16" x14ac:dyDescent="0.25">
      <c r="C23" s="1">
        <v>19</v>
      </c>
      <c r="D23" s="1" t="s">
        <v>17</v>
      </c>
      <c r="E23" s="1">
        <v>0.16</v>
      </c>
      <c r="I23" s="8"/>
      <c r="J23" s="8"/>
      <c r="K23" s="8"/>
      <c r="L23" s="9"/>
      <c r="M23" s="9"/>
      <c r="N23" s="9"/>
      <c r="O23" s="9"/>
      <c r="P23" s="9"/>
    </row>
    <row r="24" spans="1:16" x14ac:dyDescent="0.25">
      <c r="C24" s="1">
        <v>20</v>
      </c>
      <c r="D24" s="1" t="s">
        <v>17</v>
      </c>
      <c r="E24" s="1">
        <v>0.04</v>
      </c>
      <c r="I24" s="8"/>
      <c r="J24" s="8"/>
      <c r="K24" s="8"/>
      <c r="L24" s="9"/>
      <c r="M24" s="9"/>
      <c r="N24" s="9"/>
      <c r="O24" s="9"/>
      <c r="P24" s="9"/>
    </row>
    <row r="25" spans="1:16" x14ac:dyDescent="0.25">
      <c r="C25" s="1">
        <v>21</v>
      </c>
      <c r="D25" s="1" t="s">
        <v>17</v>
      </c>
      <c r="E25" s="1">
        <v>1.01</v>
      </c>
      <c r="I25" s="8"/>
      <c r="J25" s="8"/>
      <c r="K25" s="8"/>
      <c r="L25" s="9"/>
      <c r="M25" s="9"/>
      <c r="N25" s="9"/>
      <c r="O25" s="9"/>
      <c r="P25" s="9"/>
    </row>
    <row r="26" spans="1:16" x14ac:dyDescent="0.25">
      <c r="C26" s="1">
        <v>22</v>
      </c>
      <c r="D26" s="1" t="s">
        <v>17</v>
      </c>
      <c r="E26" s="1">
        <v>1</v>
      </c>
      <c r="I26" s="8"/>
      <c r="J26" s="8"/>
      <c r="K26" s="8"/>
      <c r="L26" s="9"/>
      <c r="M26" s="9"/>
      <c r="N26" s="9"/>
      <c r="O26" s="9"/>
      <c r="P26" s="9"/>
    </row>
    <row r="27" spans="1:16" x14ac:dyDescent="0.25">
      <c r="C27" s="1">
        <v>23</v>
      </c>
      <c r="D27" s="1" t="s">
        <v>17</v>
      </c>
      <c r="E27" s="1">
        <v>2.85</v>
      </c>
      <c r="I27" s="8"/>
      <c r="J27" s="8"/>
      <c r="K27" s="8"/>
      <c r="L27" s="9"/>
      <c r="M27" s="9"/>
      <c r="N27" s="9"/>
      <c r="O27" s="9"/>
      <c r="P27" s="9"/>
    </row>
    <row r="28" spans="1:16" x14ac:dyDescent="0.25">
      <c r="C28" s="1">
        <v>24</v>
      </c>
      <c r="D28" s="1" t="s">
        <v>17</v>
      </c>
      <c r="E28" s="1">
        <v>1.51</v>
      </c>
      <c r="I28" s="8"/>
      <c r="J28" s="8"/>
      <c r="K28" s="8"/>
      <c r="L28" s="9"/>
      <c r="M28" s="9"/>
      <c r="N28" s="9"/>
      <c r="O28" s="9"/>
      <c r="P28" s="9"/>
    </row>
    <row r="29" spans="1:16" x14ac:dyDescent="0.25">
      <c r="C29" s="1">
        <v>25</v>
      </c>
      <c r="D29" s="1" t="s">
        <v>17</v>
      </c>
      <c r="E29" s="1">
        <v>4.84</v>
      </c>
      <c r="I29" s="8"/>
      <c r="J29" s="8"/>
      <c r="K29" s="8"/>
      <c r="L29" s="9"/>
      <c r="M29" s="9"/>
      <c r="N29" s="9"/>
      <c r="O29" s="9"/>
      <c r="P29" s="9"/>
    </row>
    <row r="30" spans="1:16" x14ac:dyDescent="0.25">
      <c r="C30" s="1">
        <v>26</v>
      </c>
      <c r="D30" s="1" t="s">
        <v>17</v>
      </c>
      <c r="E30" s="1">
        <v>10.8</v>
      </c>
      <c r="I30" s="8"/>
      <c r="J30" s="8"/>
      <c r="K30" s="8"/>
      <c r="L30" s="9"/>
      <c r="M30" s="9"/>
      <c r="N30" s="9"/>
      <c r="O30" s="9"/>
      <c r="P30" s="9"/>
    </row>
    <row r="31" spans="1:16" x14ac:dyDescent="0.25">
      <c r="C31" s="1">
        <v>27</v>
      </c>
      <c r="D31" s="1" t="s">
        <v>17</v>
      </c>
      <c r="E31" s="1">
        <v>5.12</v>
      </c>
      <c r="I31" s="8"/>
      <c r="J31" s="8"/>
      <c r="K31" s="8"/>
      <c r="L31" s="9"/>
      <c r="M31" s="9"/>
      <c r="N31" s="9"/>
      <c r="O31" s="9"/>
      <c r="P31" s="9"/>
    </row>
    <row r="32" spans="1:16" x14ac:dyDescent="0.25">
      <c r="C32" s="1">
        <v>28</v>
      </c>
      <c r="D32" s="1" t="s">
        <v>17</v>
      </c>
      <c r="E32" s="1">
        <v>1.93</v>
      </c>
    </row>
    <row r="33" spans="3:5" x14ac:dyDescent="0.25">
      <c r="C33" s="1">
        <v>29</v>
      </c>
      <c r="D33" s="1" t="s">
        <v>17</v>
      </c>
      <c r="E33" s="1">
        <v>1.44</v>
      </c>
    </row>
    <row r="34" spans="3:5" x14ac:dyDescent="0.25">
      <c r="C34" s="1">
        <v>30</v>
      </c>
      <c r="D34" s="1" t="s">
        <v>17</v>
      </c>
      <c r="E34" s="1">
        <v>0.77</v>
      </c>
    </row>
    <row r="35" spans="3:5" x14ac:dyDescent="0.25">
      <c r="C35" s="1">
        <v>31</v>
      </c>
      <c r="D35" s="1" t="s">
        <v>17</v>
      </c>
      <c r="E35" s="1">
        <v>0.85</v>
      </c>
    </row>
    <row r="36" spans="3:5" x14ac:dyDescent="0.25">
      <c r="C36" s="1">
        <v>1</v>
      </c>
      <c r="D36" s="1" t="s">
        <v>1</v>
      </c>
      <c r="E36" s="1">
        <v>0.85</v>
      </c>
    </row>
    <row r="37" spans="3:5" x14ac:dyDescent="0.25">
      <c r="C37" s="1">
        <v>2</v>
      </c>
      <c r="D37" s="1" t="s">
        <v>1</v>
      </c>
      <c r="E37" s="1">
        <v>0.27</v>
      </c>
    </row>
    <row r="38" spans="3:5" x14ac:dyDescent="0.25">
      <c r="C38" s="1">
        <v>3</v>
      </c>
      <c r="D38" s="1" t="s">
        <v>1</v>
      </c>
      <c r="E38" s="1">
        <v>1.56</v>
      </c>
    </row>
    <row r="39" spans="3:5" x14ac:dyDescent="0.25">
      <c r="C39" s="1">
        <v>4</v>
      </c>
      <c r="D39" s="1" t="s">
        <v>1</v>
      </c>
      <c r="E39" s="1">
        <v>6.53</v>
      </c>
    </row>
    <row r="40" spans="3:5" x14ac:dyDescent="0.25">
      <c r="C40" s="1">
        <v>5</v>
      </c>
      <c r="D40" s="1" t="s">
        <v>1</v>
      </c>
      <c r="E40" s="1">
        <v>2.68</v>
      </c>
    </row>
    <row r="41" spans="3:5" x14ac:dyDescent="0.25">
      <c r="C41" s="1">
        <v>6</v>
      </c>
      <c r="D41" s="1" t="s">
        <v>1</v>
      </c>
      <c r="E41" s="1">
        <v>1.28</v>
      </c>
    </row>
    <row r="42" spans="3:5" x14ac:dyDescent="0.25">
      <c r="C42" s="1">
        <v>7</v>
      </c>
      <c r="D42" s="1" t="s">
        <v>1</v>
      </c>
      <c r="E42" s="1">
        <v>4.1500000000000004</v>
      </c>
    </row>
    <row r="43" spans="3:5" x14ac:dyDescent="0.25">
      <c r="C43" s="1">
        <v>8</v>
      </c>
      <c r="D43" s="1" t="s">
        <v>1</v>
      </c>
      <c r="E43" s="1">
        <v>2.0099999999999998</v>
      </c>
    </row>
    <row r="44" spans="3:5" x14ac:dyDescent="0.25">
      <c r="C44" s="1">
        <v>9</v>
      </c>
      <c r="D44" s="1" t="s">
        <v>1</v>
      </c>
      <c r="E44" s="1">
        <v>0.34</v>
      </c>
    </row>
    <row r="45" spans="3:5" x14ac:dyDescent="0.25">
      <c r="C45" s="1">
        <v>10</v>
      </c>
      <c r="D45" s="1" t="s">
        <v>1</v>
      </c>
      <c r="E45" s="1">
        <v>2.57</v>
      </c>
    </row>
    <row r="46" spans="3:5" x14ac:dyDescent="0.25">
      <c r="C46" s="1">
        <v>11</v>
      </c>
      <c r="D46" s="1" t="s">
        <v>1</v>
      </c>
      <c r="E46" s="1">
        <v>2.16</v>
      </c>
    </row>
    <row r="47" spans="3:5" x14ac:dyDescent="0.25">
      <c r="C47" s="1">
        <v>12</v>
      </c>
      <c r="D47" s="1" t="s">
        <v>1</v>
      </c>
      <c r="E47" s="1">
        <v>3.75</v>
      </c>
    </row>
    <row r="48" spans="3:5" x14ac:dyDescent="0.25">
      <c r="C48" s="1">
        <v>13</v>
      </c>
      <c r="D48" s="1" t="s">
        <v>1</v>
      </c>
      <c r="E48" s="1">
        <v>1.87</v>
      </c>
    </row>
    <row r="49" spans="3:10" x14ac:dyDescent="0.25">
      <c r="C49" s="1">
        <v>14</v>
      </c>
      <c r="D49" s="1" t="s">
        <v>1</v>
      </c>
      <c r="E49" s="1">
        <v>3.25</v>
      </c>
    </row>
    <row r="50" spans="3:10" x14ac:dyDescent="0.25">
      <c r="C50" s="1">
        <v>15</v>
      </c>
      <c r="D50" s="1" t="s">
        <v>1</v>
      </c>
      <c r="E50" s="1">
        <v>20.74</v>
      </c>
    </row>
    <row r="51" spans="3:10" x14ac:dyDescent="0.25">
      <c r="C51" s="1">
        <v>16</v>
      </c>
      <c r="D51" s="1" t="s">
        <v>1</v>
      </c>
      <c r="E51" s="1">
        <v>10.88</v>
      </c>
      <c r="H51" s="8"/>
      <c r="J51" s="10"/>
    </row>
    <row r="52" spans="3:10" x14ac:dyDescent="0.25">
      <c r="C52" s="1">
        <v>17</v>
      </c>
      <c r="D52" s="1" t="s">
        <v>1</v>
      </c>
      <c r="E52" s="1">
        <v>3.19</v>
      </c>
      <c r="H52" s="8"/>
      <c r="J52" s="10"/>
    </row>
    <row r="53" spans="3:10" x14ac:dyDescent="0.25">
      <c r="C53" s="1">
        <v>18</v>
      </c>
      <c r="D53" s="1" t="s">
        <v>1</v>
      </c>
      <c r="E53" s="1">
        <v>2.52</v>
      </c>
      <c r="H53" s="8"/>
      <c r="J53" s="10"/>
    </row>
    <row r="54" spans="3:10" x14ac:dyDescent="0.25">
      <c r="C54" s="1">
        <v>19</v>
      </c>
      <c r="D54" s="1" t="s">
        <v>1</v>
      </c>
      <c r="E54" s="1">
        <v>1.75</v>
      </c>
      <c r="H54" s="8"/>
      <c r="J54" s="10"/>
    </row>
    <row r="55" spans="3:10" x14ac:dyDescent="0.25">
      <c r="C55" s="1">
        <v>20</v>
      </c>
      <c r="D55" s="1" t="s">
        <v>1</v>
      </c>
      <c r="E55" s="1">
        <v>23.48</v>
      </c>
      <c r="H55" s="8"/>
      <c r="J55" s="10"/>
    </row>
    <row r="56" spans="3:10" x14ac:dyDescent="0.25">
      <c r="C56" s="1">
        <v>21</v>
      </c>
      <c r="D56" s="1" t="s">
        <v>1</v>
      </c>
      <c r="E56" s="1">
        <v>14.56</v>
      </c>
      <c r="H56" s="8"/>
      <c r="J56" s="10"/>
    </row>
    <row r="57" spans="3:10" x14ac:dyDescent="0.25">
      <c r="C57" s="1">
        <v>22</v>
      </c>
      <c r="D57" s="1" t="s">
        <v>1</v>
      </c>
      <c r="E57" s="1">
        <v>1.71</v>
      </c>
      <c r="H57" s="8"/>
      <c r="J57" s="10"/>
    </row>
    <row r="58" spans="3:10" x14ac:dyDescent="0.25">
      <c r="C58" s="1">
        <v>23</v>
      </c>
      <c r="D58" s="1" t="s">
        <v>1</v>
      </c>
      <c r="E58" s="1">
        <v>2.63</v>
      </c>
      <c r="H58" s="8"/>
      <c r="J58" s="10"/>
    </row>
    <row r="59" spans="3:10" x14ac:dyDescent="0.25">
      <c r="C59" s="1">
        <v>24</v>
      </c>
      <c r="D59" s="1" t="s">
        <v>1</v>
      </c>
      <c r="E59" s="1">
        <v>3.42</v>
      </c>
      <c r="H59" s="8"/>
      <c r="J59" s="10"/>
    </row>
    <row r="60" spans="3:10" x14ac:dyDescent="0.25">
      <c r="C60" s="1">
        <v>25</v>
      </c>
      <c r="D60" s="1" t="s">
        <v>1</v>
      </c>
      <c r="E60" s="1">
        <v>1.02</v>
      </c>
      <c r="H60" s="8"/>
      <c r="J60" s="10"/>
    </row>
    <row r="61" spans="3:10" x14ac:dyDescent="0.25">
      <c r="C61" s="1">
        <v>26</v>
      </c>
      <c r="D61" s="1" t="s">
        <v>1</v>
      </c>
      <c r="E61" s="1">
        <v>8.17</v>
      </c>
      <c r="H61" s="8"/>
      <c r="J61" s="10"/>
    </row>
    <row r="62" spans="3:10" x14ac:dyDescent="0.25">
      <c r="C62" s="1">
        <v>27</v>
      </c>
      <c r="D62" s="1" t="s">
        <v>1</v>
      </c>
      <c r="E62" s="1">
        <v>17.09</v>
      </c>
      <c r="H62" s="8"/>
      <c r="J62" s="10"/>
    </row>
    <row r="63" spans="3:10" x14ac:dyDescent="0.25">
      <c r="C63" s="1">
        <v>28</v>
      </c>
      <c r="D63" s="1" t="s">
        <v>1</v>
      </c>
      <c r="E63" s="1">
        <v>4.07</v>
      </c>
    </row>
    <row r="64" spans="3:10" x14ac:dyDescent="0.25">
      <c r="C64" s="1">
        <v>1</v>
      </c>
      <c r="D64" s="1" t="s">
        <v>2</v>
      </c>
      <c r="E64" s="1">
        <v>2.12</v>
      </c>
    </row>
    <row r="65" spans="3:5" x14ac:dyDescent="0.25">
      <c r="C65" s="1">
        <v>2</v>
      </c>
      <c r="D65" s="1" t="s">
        <v>2</v>
      </c>
      <c r="E65" s="1">
        <v>26.86</v>
      </c>
    </row>
    <row r="66" spans="3:5" x14ac:dyDescent="0.25">
      <c r="C66" s="1">
        <v>3</v>
      </c>
      <c r="D66" s="1" t="s">
        <v>2</v>
      </c>
      <c r="E66" s="1">
        <v>16.72</v>
      </c>
    </row>
    <row r="67" spans="3:5" x14ac:dyDescent="0.25">
      <c r="C67" s="1">
        <v>4</v>
      </c>
      <c r="D67" s="1" t="s">
        <v>2</v>
      </c>
      <c r="E67" s="1">
        <v>13.45</v>
      </c>
    </row>
    <row r="68" spans="3:5" x14ac:dyDescent="0.25">
      <c r="C68" s="1">
        <v>5</v>
      </c>
      <c r="D68" s="1" t="s">
        <v>2</v>
      </c>
      <c r="E68" s="1">
        <v>14.43</v>
      </c>
    </row>
    <row r="69" spans="3:5" x14ac:dyDescent="0.25">
      <c r="C69" s="1">
        <v>6</v>
      </c>
      <c r="D69" s="1" t="s">
        <v>2</v>
      </c>
      <c r="E69" s="1">
        <v>26.12</v>
      </c>
    </row>
    <row r="70" spans="3:5" x14ac:dyDescent="0.25">
      <c r="C70" s="1">
        <v>7</v>
      </c>
      <c r="D70" s="1" t="s">
        <v>2</v>
      </c>
      <c r="E70" s="1">
        <v>18.41</v>
      </c>
    </row>
    <row r="71" spans="3:5" x14ac:dyDescent="0.25">
      <c r="C71" s="1">
        <v>8</v>
      </c>
      <c r="D71" s="1" t="s">
        <v>2</v>
      </c>
      <c r="E71" s="1">
        <v>2.4500000000000002</v>
      </c>
    </row>
    <row r="72" spans="3:5" x14ac:dyDescent="0.25">
      <c r="C72" s="1">
        <v>9</v>
      </c>
      <c r="D72" s="1" t="s">
        <v>2</v>
      </c>
      <c r="E72" s="1">
        <v>1.81</v>
      </c>
    </row>
    <row r="73" spans="3:5" x14ac:dyDescent="0.25">
      <c r="C73" s="1">
        <v>10</v>
      </c>
      <c r="D73" s="1" t="s">
        <v>2</v>
      </c>
      <c r="E73" s="1">
        <v>3.66</v>
      </c>
    </row>
    <row r="74" spans="3:5" x14ac:dyDescent="0.25">
      <c r="C74" s="1">
        <v>11</v>
      </c>
      <c r="D74" s="1" t="s">
        <v>2</v>
      </c>
      <c r="E74" s="1">
        <v>3.55</v>
      </c>
    </row>
    <row r="75" spans="3:5" x14ac:dyDescent="0.25">
      <c r="C75" s="1">
        <v>12</v>
      </c>
      <c r="D75" s="1" t="s">
        <v>2</v>
      </c>
      <c r="E75" s="1">
        <v>7.4</v>
      </c>
    </row>
    <row r="76" spans="3:5" x14ac:dyDescent="0.25">
      <c r="C76" s="1">
        <v>13</v>
      </c>
      <c r="D76" s="1" t="s">
        <v>2</v>
      </c>
      <c r="E76" s="1">
        <v>1.77</v>
      </c>
    </row>
    <row r="77" spans="3:5" x14ac:dyDescent="0.25">
      <c r="C77" s="1">
        <v>14</v>
      </c>
      <c r="D77" s="1" t="s">
        <v>2</v>
      </c>
      <c r="E77" s="1">
        <v>11.36</v>
      </c>
    </row>
    <row r="78" spans="3:5" x14ac:dyDescent="0.25">
      <c r="C78" s="1">
        <v>15</v>
      </c>
      <c r="D78" s="1" t="s">
        <v>2</v>
      </c>
      <c r="E78" s="1">
        <v>12.14</v>
      </c>
    </row>
    <row r="79" spans="3:5" x14ac:dyDescent="0.25">
      <c r="C79" s="1">
        <v>16</v>
      </c>
      <c r="D79" s="1" t="s">
        <v>2</v>
      </c>
      <c r="E79" s="1">
        <v>8.0500000000000007</v>
      </c>
    </row>
    <row r="80" spans="3:5" x14ac:dyDescent="0.25">
      <c r="C80" s="1">
        <v>17</v>
      </c>
      <c r="D80" s="1" t="s">
        <v>2</v>
      </c>
      <c r="E80" s="1">
        <v>12.27</v>
      </c>
    </row>
    <row r="81" spans="3:5" x14ac:dyDescent="0.25">
      <c r="C81" s="1">
        <v>18</v>
      </c>
      <c r="D81" s="1" t="s">
        <v>2</v>
      </c>
      <c r="E81" s="1">
        <v>5.09</v>
      </c>
    </row>
    <row r="82" spans="3:5" x14ac:dyDescent="0.25">
      <c r="C82" s="1">
        <v>19</v>
      </c>
      <c r="D82" s="1" t="s">
        <v>2</v>
      </c>
      <c r="E82" s="1">
        <v>3.87</v>
      </c>
    </row>
    <row r="83" spans="3:5" x14ac:dyDescent="0.25">
      <c r="C83" s="1">
        <v>20</v>
      </c>
      <c r="D83" s="1" t="s">
        <v>2</v>
      </c>
      <c r="E83" s="1">
        <v>2.78</v>
      </c>
    </row>
    <row r="84" spans="3:5" x14ac:dyDescent="0.25">
      <c r="C84" s="1">
        <v>21</v>
      </c>
      <c r="D84" s="1" t="s">
        <v>2</v>
      </c>
      <c r="E84" s="1">
        <v>1.25</v>
      </c>
    </row>
    <row r="85" spans="3:5" x14ac:dyDescent="0.25">
      <c r="C85" s="1">
        <v>22</v>
      </c>
      <c r="D85" s="1" t="s">
        <v>2</v>
      </c>
      <c r="E85" s="1">
        <v>5.56</v>
      </c>
    </row>
    <row r="86" spans="3:5" x14ac:dyDescent="0.25">
      <c r="C86" s="1">
        <v>23</v>
      </c>
      <c r="D86" s="1" t="s">
        <v>2</v>
      </c>
      <c r="E86" s="1">
        <v>6.67</v>
      </c>
    </row>
    <row r="87" spans="3:5" x14ac:dyDescent="0.25">
      <c r="C87" s="1">
        <v>24</v>
      </c>
      <c r="D87" s="1" t="s">
        <v>2</v>
      </c>
      <c r="E87" s="1">
        <v>0.93</v>
      </c>
    </row>
    <row r="88" spans="3:5" x14ac:dyDescent="0.25">
      <c r="C88" s="1">
        <v>25</v>
      </c>
      <c r="D88" s="1" t="s">
        <v>2</v>
      </c>
      <c r="E88" s="1">
        <v>6.97</v>
      </c>
    </row>
    <row r="89" spans="3:5" x14ac:dyDescent="0.25">
      <c r="C89" s="1">
        <v>26</v>
      </c>
      <c r="D89" s="1" t="s">
        <v>2</v>
      </c>
      <c r="E89" s="1">
        <v>7.09</v>
      </c>
    </row>
    <row r="90" spans="3:5" x14ac:dyDescent="0.25">
      <c r="C90" s="1">
        <v>27</v>
      </c>
      <c r="D90" s="1" t="s">
        <v>2</v>
      </c>
      <c r="E90" s="1">
        <v>8</v>
      </c>
    </row>
    <row r="91" spans="3:5" x14ac:dyDescent="0.25">
      <c r="C91" s="1">
        <v>28</v>
      </c>
      <c r="D91" s="1" t="s">
        <v>2</v>
      </c>
      <c r="E91" s="1">
        <v>2.0299999999999998</v>
      </c>
    </row>
    <row r="92" spans="3:5" x14ac:dyDescent="0.25">
      <c r="C92" s="1">
        <v>29</v>
      </c>
      <c r="D92" s="1" t="s">
        <v>2</v>
      </c>
      <c r="E92" s="1">
        <v>2.29</v>
      </c>
    </row>
    <row r="93" spans="3:5" x14ac:dyDescent="0.25">
      <c r="C93" s="1">
        <v>30</v>
      </c>
      <c r="D93" s="1" t="s">
        <v>2</v>
      </c>
      <c r="E93" s="1">
        <v>9.18</v>
      </c>
    </row>
    <row r="94" spans="3:5" x14ac:dyDescent="0.25">
      <c r="C94" s="1">
        <v>31</v>
      </c>
      <c r="D94" s="1" t="s">
        <v>2</v>
      </c>
      <c r="E94" s="1">
        <v>14.2</v>
      </c>
    </row>
    <row r="95" spans="3:5" x14ac:dyDescent="0.25">
      <c r="C95" s="1">
        <v>1</v>
      </c>
      <c r="D95" s="1" t="s">
        <v>3</v>
      </c>
      <c r="E95" s="1">
        <v>7.98</v>
      </c>
    </row>
    <row r="96" spans="3:5" x14ac:dyDescent="0.25">
      <c r="C96" s="1">
        <v>2</v>
      </c>
      <c r="D96" s="1" t="s">
        <v>3</v>
      </c>
      <c r="E96" s="1">
        <v>5.66</v>
      </c>
    </row>
    <row r="97" spans="3:5" x14ac:dyDescent="0.25">
      <c r="C97" s="1">
        <v>3</v>
      </c>
      <c r="D97" s="1" t="s">
        <v>3</v>
      </c>
      <c r="E97" s="1">
        <v>0.06</v>
      </c>
    </row>
    <row r="98" spans="3:5" x14ac:dyDescent="0.25">
      <c r="C98" s="1">
        <v>4</v>
      </c>
      <c r="D98" s="1" t="s">
        <v>3</v>
      </c>
      <c r="E98" s="1">
        <v>11.2</v>
      </c>
    </row>
    <row r="99" spans="3:5" x14ac:dyDescent="0.25">
      <c r="C99" s="1">
        <v>5</v>
      </c>
      <c r="D99" s="1" t="s">
        <v>3</v>
      </c>
      <c r="E99" s="1">
        <v>35.94</v>
      </c>
    </row>
    <row r="100" spans="3:5" x14ac:dyDescent="0.25">
      <c r="C100" s="1">
        <v>6</v>
      </c>
      <c r="D100" s="1" t="s">
        <v>3</v>
      </c>
      <c r="E100" s="1">
        <v>5.98</v>
      </c>
    </row>
    <row r="101" spans="3:5" x14ac:dyDescent="0.25">
      <c r="C101" s="1">
        <v>7</v>
      </c>
      <c r="D101" s="1" t="s">
        <v>3</v>
      </c>
      <c r="E101" s="1">
        <v>9.1199999999999992</v>
      </c>
    </row>
    <row r="102" spans="3:5" x14ac:dyDescent="0.25">
      <c r="C102" s="1">
        <v>8</v>
      </c>
      <c r="D102" s="1" t="s">
        <v>3</v>
      </c>
      <c r="E102" s="1">
        <v>4.79</v>
      </c>
    </row>
    <row r="103" spans="3:5" x14ac:dyDescent="0.25">
      <c r="C103" s="1">
        <v>9</v>
      </c>
      <c r="D103" s="1" t="s">
        <v>3</v>
      </c>
      <c r="E103" s="1">
        <v>5.4</v>
      </c>
    </row>
    <row r="104" spans="3:5" x14ac:dyDescent="0.25">
      <c r="C104" s="1">
        <v>10</v>
      </c>
      <c r="D104" s="1" t="s">
        <v>3</v>
      </c>
      <c r="E104" s="1">
        <v>1.36</v>
      </c>
    </row>
    <row r="105" spans="3:5" x14ac:dyDescent="0.25">
      <c r="C105" s="1">
        <v>11</v>
      </c>
      <c r="D105" s="1" t="s">
        <v>3</v>
      </c>
      <c r="E105" s="1">
        <v>0.47</v>
      </c>
    </row>
    <row r="106" spans="3:5" x14ac:dyDescent="0.25">
      <c r="C106" s="1">
        <v>12</v>
      </c>
      <c r="D106" s="1" t="s">
        <v>3</v>
      </c>
      <c r="E106" s="1">
        <v>0.71</v>
      </c>
    </row>
    <row r="107" spans="3:5" x14ac:dyDescent="0.25">
      <c r="C107" s="1">
        <v>13</v>
      </c>
      <c r="D107" s="1" t="s">
        <v>3</v>
      </c>
      <c r="E107" s="1">
        <v>1.23</v>
      </c>
    </row>
    <row r="108" spans="3:5" x14ac:dyDescent="0.25">
      <c r="C108" s="1">
        <v>14</v>
      </c>
      <c r="D108" s="1" t="s">
        <v>3</v>
      </c>
      <c r="E108" s="1">
        <v>5.42</v>
      </c>
    </row>
    <row r="109" spans="3:5" x14ac:dyDescent="0.25">
      <c r="C109" s="1">
        <v>15</v>
      </c>
      <c r="D109" s="1" t="s">
        <v>3</v>
      </c>
      <c r="E109" s="1">
        <v>0.93</v>
      </c>
    </row>
    <row r="110" spans="3:5" x14ac:dyDescent="0.25">
      <c r="C110" s="1">
        <v>16</v>
      </c>
      <c r="D110" s="1" t="s">
        <v>3</v>
      </c>
      <c r="E110" s="1">
        <v>1.95</v>
      </c>
    </row>
    <row r="111" spans="3:5" x14ac:dyDescent="0.25">
      <c r="C111" s="1">
        <v>17</v>
      </c>
      <c r="D111" s="1" t="s">
        <v>3</v>
      </c>
      <c r="E111" s="1">
        <v>3.92</v>
      </c>
    </row>
    <row r="112" spans="3:5" x14ac:dyDescent="0.25">
      <c r="C112" s="1">
        <v>18</v>
      </c>
      <c r="D112" s="1" t="s">
        <v>3</v>
      </c>
      <c r="E112" s="1">
        <v>9.9</v>
      </c>
    </row>
    <row r="113" spans="3:5" x14ac:dyDescent="0.25">
      <c r="C113" s="1">
        <v>19</v>
      </c>
      <c r="D113" s="1" t="s">
        <v>3</v>
      </c>
      <c r="E113" s="1">
        <v>18.88</v>
      </c>
    </row>
    <row r="114" spans="3:5" x14ac:dyDescent="0.25">
      <c r="C114" s="1">
        <v>20</v>
      </c>
      <c r="D114" s="1" t="s">
        <v>3</v>
      </c>
      <c r="E114" s="1">
        <v>22.7</v>
      </c>
    </row>
    <row r="115" spans="3:5" x14ac:dyDescent="0.25">
      <c r="C115" s="1">
        <v>21</v>
      </c>
      <c r="D115" s="1" t="s">
        <v>3</v>
      </c>
      <c r="E115" s="1">
        <v>3.41</v>
      </c>
    </row>
    <row r="116" spans="3:5" x14ac:dyDescent="0.25">
      <c r="C116" s="1">
        <v>22</v>
      </c>
      <c r="D116" s="1" t="s">
        <v>3</v>
      </c>
      <c r="E116" s="1">
        <v>3.9</v>
      </c>
    </row>
    <row r="117" spans="3:5" x14ac:dyDescent="0.25">
      <c r="C117" s="1">
        <v>23</v>
      </c>
      <c r="D117" s="1" t="s">
        <v>3</v>
      </c>
      <c r="E117" s="1">
        <v>3.39</v>
      </c>
    </row>
    <row r="118" spans="3:5" x14ac:dyDescent="0.25">
      <c r="C118" s="1">
        <v>24</v>
      </c>
      <c r="D118" s="1" t="s">
        <v>3</v>
      </c>
      <c r="E118" s="1">
        <v>16.07</v>
      </c>
    </row>
    <row r="119" spans="3:5" x14ac:dyDescent="0.25">
      <c r="C119" s="1">
        <v>25</v>
      </c>
      <c r="D119" s="1" t="s">
        <v>3</v>
      </c>
      <c r="E119" s="1">
        <v>5.08</v>
      </c>
    </row>
    <row r="120" spans="3:5" x14ac:dyDescent="0.25">
      <c r="C120" s="1">
        <v>26</v>
      </c>
      <c r="D120" s="1" t="s">
        <v>3</v>
      </c>
      <c r="E120" s="1">
        <v>5.23</v>
      </c>
    </row>
    <row r="121" spans="3:5" x14ac:dyDescent="0.25">
      <c r="C121" s="1">
        <v>27</v>
      </c>
      <c r="D121" s="1" t="s">
        <v>3</v>
      </c>
      <c r="E121" s="1">
        <v>1.53</v>
      </c>
    </row>
    <row r="122" spans="3:5" x14ac:dyDescent="0.25">
      <c r="C122" s="1">
        <v>28</v>
      </c>
      <c r="D122" s="1" t="s">
        <v>3</v>
      </c>
      <c r="E122" s="1">
        <v>1.81</v>
      </c>
    </row>
    <row r="123" spans="3:5" x14ac:dyDescent="0.25">
      <c r="C123" s="1">
        <v>29</v>
      </c>
      <c r="D123" s="1" t="s">
        <v>3</v>
      </c>
      <c r="E123" s="1">
        <v>8.6</v>
      </c>
    </row>
    <row r="124" spans="3:5" x14ac:dyDescent="0.25">
      <c r="C124" s="1">
        <v>30</v>
      </c>
      <c r="D124" s="1" t="s">
        <v>3</v>
      </c>
      <c r="E124" s="1">
        <v>6.32</v>
      </c>
    </row>
    <row r="125" spans="3:5" x14ac:dyDescent="0.25">
      <c r="C125" s="1">
        <v>1</v>
      </c>
      <c r="D125" s="1" t="s">
        <v>4</v>
      </c>
      <c r="E125" s="1">
        <v>0.09</v>
      </c>
    </row>
    <row r="126" spans="3:5" x14ac:dyDescent="0.25">
      <c r="C126" s="1">
        <v>2</v>
      </c>
      <c r="D126" s="1" t="s">
        <v>4</v>
      </c>
      <c r="E126" s="1">
        <v>0</v>
      </c>
    </row>
    <row r="127" spans="3:5" x14ac:dyDescent="0.25">
      <c r="C127" s="1">
        <v>3</v>
      </c>
      <c r="D127" s="1" t="s">
        <v>4</v>
      </c>
      <c r="E127" s="1">
        <v>0.33</v>
      </c>
    </row>
    <row r="128" spans="3:5" x14ac:dyDescent="0.25">
      <c r="C128" s="1">
        <v>4</v>
      </c>
      <c r="D128" s="1" t="s">
        <v>4</v>
      </c>
      <c r="E128" s="1">
        <v>3.31</v>
      </c>
    </row>
    <row r="129" spans="3:5" x14ac:dyDescent="0.25">
      <c r="C129" s="1">
        <v>5</v>
      </c>
      <c r="D129" s="1" t="s">
        <v>4</v>
      </c>
      <c r="E129" s="1">
        <v>10.82</v>
      </c>
    </row>
    <row r="130" spans="3:5" x14ac:dyDescent="0.25">
      <c r="C130" s="1">
        <v>6</v>
      </c>
      <c r="D130" s="1" t="s">
        <v>4</v>
      </c>
      <c r="E130" s="1">
        <v>37.71</v>
      </c>
    </row>
    <row r="131" spans="3:5" x14ac:dyDescent="0.25">
      <c r="C131" s="1">
        <v>7</v>
      </c>
      <c r="D131" s="1" t="s">
        <v>4</v>
      </c>
      <c r="E131" s="1">
        <v>10.39</v>
      </c>
    </row>
    <row r="132" spans="3:5" x14ac:dyDescent="0.25">
      <c r="C132" s="1">
        <v>8</v>
      </c>
      <c r="D132" s="1" t="s">
        <v>4</v>
      </c>
      <c r="E132" s="1">
        <v>2.87</v>
      </c>
    </row>
    <row r="133" spans="3:5" x14ac:dyDescent="0.25">
      <c r="C133" s="1">
        <v>9</v>
      </c>
      <c r="D133" s="1" t="s">
        <v>4</v>
      </c>
      <c r="E133" s="1">
        <v>0.91</v>
      </c>
    </row>
    <row r="134" spans="3:5" x14ac:dyDescent="0.25">
      <c r="C134" s="1">
        <v>10</v>
      </c>
      <c r="D134" s="1" t="s">
        <v>4</v>
      </c>
      <c r="E134" s="1">
        <v>3.43</v>
      </c>
    </row>
    <row r="135" spans="3:5" x14ac:dyDescent="0.25">
      <c r="C135" s="1">
        <v>11</v>
      </c>
      <c r="D135" s="1" t="s">
        <v>4</v>
      </c>
      <c r="E135" s="1">
        <v>7.56</v>
      </c>
    </row>
    <row r="136" spans="3:5" x14ac:dyDescent="0.25">
      <c r="C136" s="1">
        <v>12</v>
      </c>
      <c r="D136" s="1" t="s">
        <v>4</v>
      </c>
      <c r="E136" s="1">
        <v>10.11</v>
      </c>
    </row>
    <row r="137" spans="3:5" x14ac:dyDescent="0.25">
      <c r="C137" s="1">
        <v>13</v>
      </c>
      <c r="D137" s="1" t="s">
        <v>4</v>
      </c>
      <c r="E137" s="1">
        <v>5.5</v>
      </c>
    </row>
    <row r="138" spans="3:5" x14ac:dyDescent="0.25">
      <c r="C138" s="1">
        <v>14</v>
      </c>
      <c r="D138" s="1" t="s">
        <v>4</v>
      </c>
      <c r="E138" s="1">
        <v>2.29</v>
      </c>
    </row>
    <row r="139" spans="3:5" x14ac:dyDescent="0.25">
      <c r="C139" s="1">
        <v>15</v>
      </c>
      <c r="D139" s="1" t="s">
        <v>4</v>
      </c>
      <c r="E139" s="1">
        <v>3.43</v>
      </c>
    </row>
    <row r="140" spans="3:5" x14ac:dyDescent="0.25">
      <c r="C140" s="1">
        <v>16</v>
      </c>
      <c r="D140" s="1" t="s">
        <v>4</v>
      </c>
      <c r="E140" s="1">
        <v>9.44</v>
      </c>
    </row>
    <row r="141" spans="3:5" x14ac:dyDescent="0.25">
      <c r="C141" s="1">
        <v>17</v>
      </c>
      <c r="D141" s="1" t="s">
        <v>4</v>
      </c>
      <c r="E141" s="1">
        <v>15.72</v>
      </c>
    </row>
    <row r="142" spans="3:5" x14ac:dyDescent="0.25">
      <c r="C142" s="1">
        <v>18</v>
      </c>
      <c r="D142" s="1" t="s">
        <v>4</v>
      </c>
      <c r="E142" s="1">
        <v>5.29</v>
      </c>
    </row>
    <row r="143" spans="3:5" x14ac:dyDescent="0.25">
      <c r="C143" s="1">
        <v>19</v>
      </c>
      <c r="D143" s="1" t="s">
        <v>4</v>
      </c>
      <c r="E143" s="1">
        <v>3.18</v>
      </c>
    </row>
    <row r="144" spans="3:5" x14ac:dyDescent="0.25">
      <c r="C144" s="1">
        <v>20</v>
      </c>
      <c r="D144" s="1" t="s">
        <v>4</v>
      </c>
      <c r="E144" s="1">
        <v>0.19</v>
      </c>
    </row>
    <row r="145" spans="3:5" x14ac:dyDescent="0.25">
      <c r="C145" s="1">
        <v>21</v>
      </c>
      <c r="D145" s="1" t="s">
        <v>4</v>
      </c>
      <c r="E145" s="1">
        <v>0.78</v>
      </c>
    </row>
    <row r="146" spans="3:5" x14ac:dyDescent="0.25">
      <c r="C146" s="1">
        <v>22</v>
      </c>
      <c r="D146" s="1" t="s">
        <v>4</v>
      </c>
      <c r="E146" s="1">
        <v>2.42</v>
      </c>
    </row>
    <row r="147" spans="3:5" x14ac:dyDescent="0.25">
      <c r="C147" s="1">
        <v>23</v>
      </c>
      <c r="D147" s="1" t="s">
        <v>4</v>
      </c>
      <c r="E147" s="1">
        <v>2.97</v>
      </c>
    </row>
    <row r="148" spans="3:5" x14ac:dyDescent="0.25">
      <c r="C148" s="1">
        <v>24</v>
      </c>
      <c r="D148" s="1" t="s">
        <v>4</v>
      </c>
      <c r="E148" s="1">
        <v>8.3000000000000007</v>
      </c>
    </row>
    <row r="149" spans="3:5" x14ac:dyDescent="0.25">
      <c r="C149" s="1">
        <v>25</v>
      </c>
      <c r="D149" s="1" t="s">
        <v>4</v>
      </c>
      <c r="E149" s="1">
        <v>5.17</v>
      </c>
    </row>
    <row r="150" spans="3:5" x14ac:dyDescent="0.25">
      <c r="C150" s="1">
        <v>26</v>
      </c>
      <c r="D150" s="1" t="s">
        <v>4</v>
      </c>
      <c r="E150" s="1">
        <v>8.5299999999999994</v>
      </c>
    </row>
    <row r="151" spans="3:5" x14ac:dyDescent="0.25">
      <c r="C151" s="1">
        <v>27</v>
      </c>
      <c r="D151" s="1" t="s">
        <v>4</v>
      </c>
      <c r="E151" s="1">
        <v>1.56</v>
      </c>
    </row>
    <row r="152" spans="3:5" x14ac:dyDescent="0.25">
      <c r="C152" s="1">
        <v>28</v>
      </c>
      <c r="D152" s="1" t="s">
        <v>4</v>
      </c>
      <c r="E152" s="1">
        <v>1.81</v>
      </c>
    </row>
    <row r="153" spans="3:5" x14ac:dyDescent="0.25">
      <c r="C153" s="1">
        <v>29</v>
      </c>
      <c r="D153" s="1" t="s">
        <v>4</v>
      </c>
      <c r="E153" s="1">
        <v>1.78</v>
      </c>
    </row>
    <row r="154" spans="3:5" x14ac:dyDescent="0.25">
      <c r="C154" s="1">
        <v>30</v>
      </c>
      <c r="D154" s="1" t="s">
        <v>4</v>
      </c>
      <c r="E154" s="1">
        <v>0.74</v>
      </c>
    </row>
    <row r="155" spans="3:5" x14ac:dyDescent="0.25">
      <c r="C155" s="1">
        <v>31</v>
      </c>
      <c r="D155" s="1" t="s">
        <v>4</v>
      </c>
      <c r="E155" s="1">
        <v>0.17</v>
      </c>
    </row>
    <row r="156" spans="3:5" x14ac:dyDescent="0.25">
      <c r="C156" s="1">
        <v>1</v>
      </c>
      <c r="D156" s="1" t="s">
        <v>5</v>
      </c>
      <c r="E156" s="1">
        <v>7.59</v>
      </c>
    </row>
    <row r="157" spans="3:5" x14ac:dyDescent="0.25">
      <c r="C157" s="1">
        <v>2</v>
      </c>
      <c r="D157" s="1" t="s">
        <v>5</v>
      </c>
      <c r="E157" s="1">
        <v>2.29</v>
      </c>
    </row>
    <row r="158" spans="3:5" x14ac:dyDescent="0.25">
      <c r="C158" s="1">
        <v>3</v>
      </c>
      <c r="D158" s="1" t="s">
        <v>5</v>
      </c>
      <c r="E158" s="1">
        <v>7.81</v>
      </c>
    </row>
    <row r="159" spans="3:5" x14ac:dyDescent="0.25">
      <c r="C159" s="1">
        <v>4</v>
      </c>
      <c r="D159" s="1" t="s">
        <v>5</v>
      </c>
      <c r="E159" s="1">
        <v>17.670000000000002</v>
      </c>
    </row>
    <row r="160" spans="3:5" x14ac:dyDescent="0.25">
      <c r="C160" s="1">
        <v>5</v>
      </c>
      <c r="D160" s="1" t="s">
        <v>5</v>
      </c>
      <c r="E160" s="1">
        <v>12.78</v>
      </c>
    </row>
    <row r="161" spans="3:5" x14ac:dyDescent="0.25">
      <c r="C161" s="1">
        <v>6</v>
      </c>
      <c r="D161" s="1" t="s">
        <v>5</v>
      </c>
      <c r="E161" s="1">
        <v>0.38</v>
      </c>
    </row>
    <row r="162" spans="3:5" x14ac:dyDescent="0.25">
      <c r="C162" s="1">
        <v>7</v>
      </c>
      <c r="D162" s="1" t="s">
        <v>5</v>
      </c>
      <c r="E162" s="1">
        <v>1.18</v>
      </c>
    </row>
    <row r="163" spans="3:5" x14ac:dyDescent="0.25">
      <c r="C163" s="1">
        <v>8</v>
      </c>
      <c r="D163" s="1" t="s">
        <v>5</v>
      </c>
      <c r="E163" s="1">
        <v>0.42</v>
      </c>
    </row>
    <row r="164" spans="3:5" x14ac:dyDescent="0.25">
      <c r="C164" s="1">
        <v>9</v>
      </c>
      <c r="D164" s="1" t="s">
        <v>5</v>
      </c>
      <c r="E164" s="1">
        <v>1.1599999999999999</v>
      </c>
    </row>
    <row r="165" spans="3:5" x14ac:dyDescent="0.25">
      <c r="C165" s="1">
        <v>10</v>
      </c>
      <c r="D165" s="1" t="s">
        <v>5</v>
      </c>
      <c r="E165" s="1">
        <v>4.2</v>
      </c>
    </row>
    <row r="166" spans="3:5" x14ac:dyDescent="0.25">
      <c r="C166" s="1">
        <v>11</v>
      </c>
      <c r="D166" s="1" t="s">
        <v>5</v>
      </c>
      <c r="E166" s="1">
        <v>6.22</v>
      </c>
    </row>
    <row r="167" spans="3:5" x14ac:dyDescent="0.25">
      <c r="C167" s="1">
        <v>12</v>
      </c>
      <c r="D167" s="1" t="s">
        <v>5</v>
      </c>
      <c r="E167" s="1">
        <v>0.92</v>
      </c>
    </row>
    <row r="168" spans="3:5" x14ac:dyDescent="0.25">
      <c r="C168" s="1">
        <v>13</v>
      </c>
      <c r="D168" s="1" t="s">
        <v>5</v>
      </c>
      <c r="E168" s="1">
        <v>0.47</v>
      </c>
    </row>
    <row r="169" spans="3:5" x14ac:dyDescent="0.25">
      <c r="C169" s="1">
        <v>14</v>
      </c>
      <c r="D169" s="1" t="s">
        <v>5</v>
      </c>
      <c r="E169" s="1">
        <v>0.01</v>
      </c>
    </row>
    <row r="170" spans="3:5" x14ac:dyDescent="0.25">
      <c r="C170" s="1">
        <v>15</v>
      </c>
      <c r="D170" s="1" t="s">
        <v>5</v>
      </c>
      <c r="E170" s="1">
        <v>0</v>
      </c>
    </row>
    <row r="171" spans="3:5" x14ac:dyDescent="0.25">
      <c r="C171" s="1">
        <v>16</v>
      </c>
      <c r="D171" s="1" t="s">
        <v>5</v>
      </c>
      <c r="E171" s="1">
        <v>0.02</v>
      </c>
    </row>
    <row r="172" spans="3:5" x14ac:dyDescent="0.25">
      <c r="C172" s="1">
        <v>17</v>
      </c>
      <c r="D172" s="1" t="s">
        <v>5</v>
      </c>
      <c r="E172" s="1">
        <v>1.32</v>
      </c>
    </row>
    <row r="173" spans="3:5" x14ac:dyDescent="0.25">
      <c r="C173" s="1">
        <v>18</v>
      </c>
      <c r="D173" s="1" t="s">
        <v>5</v>
      </c>
      <c r="E173" s="1">
        <v>5</v>
      </c>
    </row>
    <row r="174" spans="3:5" x14ac:dyDescent="0.25">
      <c r="C174" s="1">
        <v>19</v>
      </c>
      <c r="D174" s="1" t="s">
        <v>5</v>
      </c>
      <c r="E174" s="1">
        <v>5.88</v>
      </c>
    </row>
    <row r="175" spans="3:5" x14ac:dyDescent="0.25">
      <c r="C175" s="1">
        <v>20</v>
      </c>
      <c r="D175" s="1" t="s">
        <v>5</v>
      </c>
      <c r="E175" s="1">
        <v>2.29</v>
      </c>
    </row>
    <row r="176" spans="3:5" x14ac:dyDescent="0.25">
      <c r="C176" s="1">
        <v>21</v>
      </c>
      <c r="D176" s="1" t="s">
        <v>5</v>
      </c>
      <c r="E176" s="1">
        <v>0.1</v>
      </c>
    </row>
    <row r="177" spans="3:5" x14ac:dyDescent="0.25">
      <c r="C177" s="1">
        <v>22</v>
      </c>
      <c r="D177" s="1" t="s">
        <v>5</v>
      </c>
      <c r="E177" s="1">
        <v>4.4800000000000004</v>
      </c>
    </row>
    <row r="178" spans="3:5" x14ac:dyDescent="0.25">
      <c r="C178" s="1">
        <v>23</v>
      </c>
      <c r="D178" s="1" t="s">
        <v>5</v>
      </c>
      <c r="E178" s="1">
        <v>5.19</v>
      </c>
    </row>
    <row r="179" spans="3:5" x14ac:dyDescent="0.25">
      <c r="C179" s="1">
        <v>24</v>
      </c>
      <c r="D179" s="1" t="s">
        <v>5</v>
      </c>
      <c r="E179" s="1">
        <v>1.79</v>
      </c>
    </row>
    <row r="180" spans="3:5" x14ac:dyDescent="0.25">
      <c r="C180" s="1">
        <v>25</v>
      </c>
      <c r="D180" s="1" t="s">
        <v>5</v>
      </c>
      <c r="E180" s="1">
        <v>2.69</v>
      </c>
    </row>
    <row r="181" spans="3:5" x14ac:dyDescent="0.25">
      <c r="C181" s="1">
        <v>26</v>
      </c>
      <c r="D181" s="1" t="s">
        <v>5</v>
      </c>
      <c r="E181" s="1">
        <v>1.37</v>
      </c>
    </row>
    <row r="182" spans="3:5" x14ac:dyDescent="0.25">
      <c r="C182" s="1">
        <v>27</v>
      </c>
      <c r="D182" s="1" t="s">
        <v>5</v>
      </c>
      <c r="E182" s="1">
        <v>0</v>
      </c>
    </row>
    <row r="183" spans="3:5" x14ac:dyDescent="0.25">
      <c r="C183" s="1">
        <v>28</v>
      </c>
      <c r="D183" s="1" t="s">
        <v>5</v>
      </c>
      <c r="E183" s="1">
        <v>5.45</v>
      </c>
    </row>
    <row r="184" spans="3:5" x14ac:dyDescent="0.25">
      <c r="C184" s="1">
        <v>29</v>
      </c>
      <c r="D184" s="1" t="s">
        <v>5</v>
      </c>
      <c r="E184" s="1">
        <v>8.81</v>
      </c>
    </row>
    <row r="185" spans="3:5" x14ac:dyDescent="0.25">
      <c r="C185" s="1">
        <v>30</v>
      </c>
      <c r="D185" s="1" t="s">
        <v>5</v>
      </c>
      <c r="E185" s="1">
        <v>0.78</v>
      </c>
    </row>
    <row r="186" spans="3:5" x14ac:dyDescent="0.25">
      <c r="C186" s="1">
        <v>1</v>
      </c>
      <c r="D186" s="1" t="s">
        <v>6</v>
      </c>
      <c r="E186" s="1">
        <v>2.56</v>
      </c>
    </row>
    <row r="187" spans="3:5" x14ac:dyDescent="0.25">
      <c r="C187" s="1">
        <v>2</v>
      </c>
      <c r="D187" s="1" t="s">
        <v>6</v>
      </c>
      <c r="E187" s="1">
        <v>0.79</v>
      </c>
    </row>
    <row r="188" spans="3:5" x14ac:dyDescent="0.25">
      <c r="C188" s="1">
        <v>3</v>
      </c>
      <c r="D188" s="1" t="s">
        <v>6</v>
      </c>
      <c r="E188" s="1">
        <v>1.89</v>
      </c>
    </row>
    <row r="189" spans="3:5" x14ac:dyDescent="0.25">
      <c r="C189" s="1">
        <v>4</v>
      </c>
      <c r="D189" s="1" t="s">
        <v>6</v>
      </c>
      <c r="E189" s="1">
        <v>4.8</v>
      </c>
    </row>
    <row r="190" spans="3:5" x14ac:dyDescent="0.25">
      <c r="C190" s="1">
        <v>5</v>
      </c>
      <c r="D190" s="1" t="s">
        <v>6</v>
      </c>
      <c r="E190" s="1">
        <v>1.54</v>
      </c>
    </row>
    <row r="191" spans="3:5" x14ac:dyDescent="0.25">
      <c r="C191" s="1">
        <v>6</v>
      </c>
      <c r="D191" s="1" t="s">
        <v>6</v>
      </c>
      <c r="E191" s="1">
        <v>7.0000000000000007E-2</v>
      </c>
    </row>
    <row r="192" spans="3:5" x14ac:dyDescent="0.25">
      <c r="C192" s="1">
        <v>7</v>
      </c>
      <c r="D192" s="1" t="s">
        <v>6</v>
      </c>
      <c r="E192" s="1">
        <v>0.86</v>
      </c>
    </row>
    <row r="193" spans="3:5" x14ac:dyDescent="0.25">
      <c r="C193" s="1">
        <v>8</v>
      </c>
      <c r="D193" s="1" t="s">
        <v>6</v>
      </c>
      <c r="E193" s="1">
        <v>4.03</v>
      </c>
    </row>
    <row r="194" spans="3:5" x14ac:dyDescent="0.25">
      <c r="C194" s="1">
        <v>9</v>
      </c>
      <c r="D194" s="1" t="s">
        <v>6</v>
      </c>
      <c r="E194" s="1">
        <v>2.63</v>
      </c>
    </row>
    <row r="195" spans="3:5" x14ac:dyDescent="0.25">
      <c r="C195" s="1">
        <v>10</v>
      </c>
      <c r="D195" s="1" t="s">
        <v>6</v>
      </c>
      <c r="E195" s="1">
        <v>1.56</v>
      </c>
    </row>
    <row r="196" spans="3:5" x14ac:dyDescent="0.25">
      <c r="C196" s="1">
        <v>11</v>
      </c>
      <c r="D196" s="1" t="s">
        <v>6</v>
      </c>
      <c r="E196" s="1">
        <v>1.34</v>
      </c>
    </row>
    <row r="197" spans="3:5" x14ac:dyDescent="0.25">
      <c r="C197" s="1">
        <v>12</v>
      </c>
      <c r="D197" s="1" t="s">
        <v>6</v>
      </c>
      <c r="E197" s="1">
        <v>7.12</v>
      </c>
    </row>
    <row r="198" spans="3:5" x14ac:dyDescent="0.25">
      <c r="C198" s="1">
        <v>13</v>
      </c>
      <c r="D198" s="1" t="s">
        <v>6</v>
      </c>
      <c r="E198" s="1">
        <v>2.09</v>
      </c>
    </row>
    <row r="199" spans="3:5" x14ac:dyDescent="0.25">
      <c r="C199" s="1">
        <v>14</v>
      </c>
      <c r="D199" s="1" t="s">
        <v>6</v>
      </c>
      <c r="E199" s="1">
        <v>9.35</v>
      </c>
    </row>
    <row r="200" spans="3:5" x14ac:dyDescent="0.25">
      <c r="C200" s="1">
        <v>15</v>
      </c>
      <c r="D200" s="1" t="s">
        <v>6</v>
      </c>
      <c r="E200" s="1">
        <v>3.05</v>
      </c>
    </row>
    <row r="201" spans="3:5" x14ac:dyDescent="0.25">
      <c r="C201" s="1">
        <v>16</v>
      </c>
      <c r="D201" s="1" t="s">
        <v>6</v>
      </c>
      <c r="E201" s="1">
        <v>0.51</v>
      </c>
    </row>
    <row r="202" spans="3:5" x14ac:dyDescent="0.25">
      <c r="C202" s="1">
        <v>17</v>
      </c>
      <c r="D202" s="1" t="s">
        <v>6</v>
      </c>
      <c r="E202" s="1">
        <v>5.16</v>
      </c>
    </row>
    <row r="203" spans="3:5" x14ac:dyDescent="0.25">
      <c r="C203" s="1">
        <v>18</v>
      </c>
      <c r="D203" s="1" t="s">
        <v>6</v>
      </c>
      <c r="E203" s="1">
        <v>2.25</v>
      </c>
    </row>
    <row r="204" spans="3:5" x14ac:dyDescent="0.25">
      <c r="C204" s="1">
        <v>19</v>
      </c>
      <c r="D204" s="1" t="s">
        <v>6</v>
      </c>
      <c r="E204" s="1">
        <v>1.99</v>
      </c>
    </row>
    <row r="205" spans="3:5" x14ac:dyDescent="0.25">
      <c r="C205" s="1">
        <v>20</v>
      </c>
      <c r="D205" s="1" t="s">
        <v>6</v>
      </c>
      <c r="E205" s="1">
        <v>1.22</v>
      </c>
    </row>
    <row r="206" spans="3:5" x14ac:dyDescent="0.25">
      <c r="C206" s="1">
        <v>21</v>
      </c>
      <c r="D206" s="1" t="s">
        <v>6</v>
      </c>
      <c r="E206" s="1">
        <v>0.23</v>
      </c>
    </row>
    <row r="207" spans="3:5" x14ac:dyDescent="0.25">
      <c r="C207" s="1">
        <v>22</v>
      </c>
      <c r="D207" s="1" t="s">
        <v>6</v>
      </c>
      <c r="E207" s="1">
        <v>0.05</v>
      </c>
    </row>
    <row r="208" spans="3:5" x14ac:dyDescent="0.25">
      <c r="C208" s="1">
        <v>23</v>
      </c>
      <c r="D208" s="1" t="s">
        <v>6</v>
      </c>
      <c r="E208" s="1">
        <v>1.0900000000000001</v>
      </c>
    </row>
    <row r="209" spans="3:5" x14ac:dyDescent="0.25">
      <c r="C209" s="1">
        <v>24</v>
      </c>
      <c r="D209" s="1" t="s">
        <v>6</v>
      </c>
      <c r="E209" s="1">
        <v>2</v>
      </c>
    </row>
    <row r="210" spans="3:5" x14ac:dyDescent="0.25">
      <c r="C210" s="1">
        <v>25</v>
      </c>
      <c r="D210" s="1" t="s">
        <v>6</v>
      </c>
      <c r="E210" s="1">
        <v>2.57</v>
      </c>
    </row>
    <row r="211" spans="3:5" x14ac:dyDescent="0.25">
      <c r="C211" s="1">
        <v>26</v>
      </c>
      <c r="D211" s="1" t="s">
        <v>6</v>
      </c>
      <c r="E211" s="1">
        <v>4.34</v>
      </c>
    </row>
    <row r="212" spans="3:5" x14ac:dyDescent="0.25">
      <c r="C212" s="1">
        <v>27</v>
      </c>
      <c r="D212" s="1" t="s">
        <v>6</v>
      </c>
      <c r="E212" s="1">
        <v>8.98</v>
      </c>
    </row>
    <row r="213" spans="3:5" x14ac:dyDescent="0.25">
      <c r="C213" s="1">
        <v>28</v>
      </c>
      <c r="D213" s="1" t="s">
        <v>6</v>
      </c>
      <c r="E213" s="1">
        <v>3.66</v>
      </c>
    </row>
    <row r="214" spans="3:5" x14ac:dyDescent="0.25">
      <c r="C214" s="1">
        <v>29</v>
      </c>
      <c r="D214" s="1" t="s">
        <v>6</v>
      </c>
      <c r="E214" s="1">
        <v>1.87</v>
      </c>
    </row>
    <row r="215" spans="3:5" x14ac:dyDescent="0.25">
      <c r="C215" s="1">
        <v>30</v>
      </c>
      <c r="D215" s="1" t="s">
        <v>6</v>
      </c>
      <c r="E215" s="1">
        <v>0.18</v>
      </c>
    </row>
    <row r="216" spans="3:5" x14ac:dyDescent="0.25">
      <c r="C216" s="1">
        <v>31</v>
      </c>
      <c r="D216" s="1" t="s">
        <v>6</v>
      </c>
      <c r="E216" s="1">
        <v>2.11</v>
      </c>
    </row>
    <row r="217" spans="3:5" x14ac:dyDescent="0.25">
      <c r="C217" s="1">
        <v>1</v>
      </c>
      <c r="D217" s="1" t="s">
        <v>7</v>
      </c>
      <c r="E217" s="1">
        <v>5.33</v>
      </c>
    </row>
    <row r="218" spans="3:5" x14ac:dyDescent="0.25">
      <c r="C218" s="1">
        <v>2</v>
      </c>
      <c r="D218" s="1" t="s">
        <v>7</v>
      </c>
      <c r="E218" s="1">
        <v>1.98</v>
      </c>
    </row>
    <row r="219" spans="3:5" x14ac:dyDescent="0.25">
      <c r="C219" s="1">
        <v>3</v>
      </c>
      <c r="D219" s="1" t="s">
        <v>7</v>
      </c>
      <c r="E219" s="1">
        <v>2.29</v>
      </c>
    </row>
    <row r="220" spans="3:5" x14ac:dyDescent="0.25">
      <c r="C220" s="1">
        <v>4</v>
      </c>
      <c r="D220" s="1" t="s">
        <v>7</v>
      </c>
      <c r="E220" s="1">
        <v>2.36</v>
      </c>
    </row>
    <row r="221" spans="3:5" x14ac:dyDescent="0.25">
      <c r="C221" s="1">
        <v>5</v>
      </c>
      <c r="D221" s="1" t="s">
        <v>7</v>
      </c>
      <c r="E221" s="1">
        <v>6.73</v>
      </c>
    </row>
    <row r="222" spans="3:5" x14ac:dyDescent="0.25">
      <c r="C222" s="1">
        <v>6</v>
      </c>
      <c r="D222" s="1" t="s">
        <v>7</v>
      </c>
      <c r="E222" s="1">
        <v>1.38</v>
      </c>
    </row>
    <row r="223" spans="3:5" x14ac:dyDescent="0.25">
      <c r="C223" s="1">
        <v>7</v>
      </c>
      <c r="D223" s="1" t="s">
        <v>7</v>
      </c>
      <c r="E223" s="1">
        <v>0.32</v>
      </c>
    </row>
    <row r="224" spans="3:5" x14ac:dyDescent="0.25">
      <c r="C224" s="1">
        <v>8</v>
      </c>
      <c r="D224" s="1" t="s">
        <v>7</v>
      </c>
      <c r="E224" s="1">
        <v>1.1599999999999999</v>
      </c>
    </row>
    <row r="225" spans="3:5" x14ac:dyDescent="0.25">
      <c r="C225" s="1">
        <v>9</v>
      </c>
      <c r="D225" s="1" t="s">
        <v>7</v>
      </c>
      <c r="E225" s="1">
        <v>3.49</v>
      </c>
    </row>
    <row r="226" spans="3:5" x14ac:dyDescent="0.25">
      <c r="C226" s="1">
        <v>10</v>
      </c>
      <c r="D226" s="1" t="s">
        <v>7</v>
      </c>
      <c r="E226" s="1">
        <v>1.17</v>
      </c>
    </row>
    <row r="227" spans="3:5" x14ac:dyDescent="0.25">
      <c r="C227" s="1">
        <v>11</v>
      </c>
      <c r="D227" s="1" t="s">
        <v>7</v>
      </c>
      <c r="E227" s="1">
        <v>1.44</v>
      </c>
    </row>
    <row r="228" spans="3:5" x14ac:dyDescent="0.25">
      <c r="C228" s="1">
        <v>12</v>
      </c>
      <c r="D228" s="1" t="s">
        <v>7</v>
      </c>
      <c r="E228" s="1">
        <v>0.04</v>
      </c>
    </row>
    <row r="229" spans="3:5" x14ac:dyDescent="0.25">
      <c r="C229" s="1">
        <v>13</v>
      </c>
      <c r="D229" s="1" t="s">
        <v>7</v>
      </c>
      <c r="E229" s="1">
        <v>0.28999999999999998</v>
      </c>
    </row>
    <row r="230" spans="3:5" x14ac:dyDescent="0.25">
      <c r="C230" s="1">
        <v>14</v>
      </c>
      <c r="D230" s="1" t="s">
        <v>7</v>
      </c>
      <c r="E230" s="1">
        <v>1.1299999999999999</v>
      </c>
    </row>
    <row r="231" spans="3:5" x14ac:dyDescent="0.25">
      <c r="C231" s="1">
        <v>15</v>
      </c>
      <c r="D231" s="1" t="s">
        <v>7</v>
      </c>
      <c r="E231" s="1">
        <v>0.05</v>
      </c>
    </row>
    <row r="232" spans="3:5" x14ac:dyDescent="0.25">
      <c r="C232" s="1">
        <v>16</v>
      </c>
      <c r="D232" s="1" t="s">
        <v>7</v>
      </c>
      <c r="E232" s="1">
        <v>0.22</v>
      </c>
    </row>
    <row r="233" spans="3:5" x14ac:dyDescent="0.25">
      <c r="C233" s="1">
        <v>17</v>
      </c>
      <c r="D233" s="1" t="s">
        <v>7</v>
      </c>
      <c r="E233" s="1">
        <v>0.28999999999999998</v>
      </c>
    </row>
    <row r="234" spans="3:5" x14ac:dyDescent="0.25">
      <c r="C234" s="1">
        <v>18</v>
      </c>
      <c r="D234" s="1" t="s">
        <v>7</v>
      </c>
      <c r="E234" s="1">
        <v>0.28000000000000003</v>
      </c>
    </row>
    <row r="235" spans="3:5" x14ac:dyDescent="0.25">
      <c r="C235" s="1">
        <v>19</v>
      </c>
      <c r="D235" s="1" t="s">
        <v>7</v>
      </c>
      <c r="E235" s="1">
        <v>0.51</v>
      </c>
    </row>
    <row r="236" spans="3:5" x14ac:dyDescent="0.25">
      <c r="C236" s="1">
        <v>20</v>
      </c>
      <c r="D236" s="1" t="s">
        <v>7</v>
      </c>
      <c r="E236" s="1">
        <v>0.85</v>
      </c>
    </row>
    <row r="237" spans="3:5" x14ac:dyDescent="0.25">
      <c r="C237" s="1">
        <v>21</v>
      </c>
      <c r="D237" s="1" t="s">
        <v>7</v>
      </c>
      <c r="E237" s="1">
        <v>0.02</v>
      </c>
    </row>
    <row r="238" spans="3:5" x14ac:dyDescent="0.25">
      <c r="C238" s="1">
        <v>22</v>
      </c>
      <c r="D238" s="1" t="s">
        <v>7</v>
      </c>
      <c r="E238" s="1">
        <v>0</v>
      </c>
    </row>
    <row r="239" spans="3:5" x14ac:dyDescent="0.25">
      <c r="C239" s="1">
        <v>23</v>
      </c>
      <c r="D239" s="1" t="s">
        <v>7</v>
      </c>
      <c r="E239" s="1">
        <v>0</v>
      </c>
    </row>
    <row r="240" spans="3:5" x14ac:dyDescent="0.25">
      <c r="C240" s="1">
        <v>24</v>
      </c>
      <c r="D240" s="1" t="s">
        <v>7</v>
      </c>
      <c r="E240" s="1">
        <v>0</v>
      </c>
    </row>
    <row r="241" spans="3:5" x14ac:dyDescent="0.25">
      <c r="C241" s="1">
        <v>25</v>
      </c>
      <c r="D241" s="1" t="s">
        <v>7</v>
      </c>
      <c r="E241" s="1">
        <v>0</v>
      </c>
    </row>
    <row r="242" spans="3:5" x14ac:dyDescent="0.25">
      <c r="C242" s="1">
        <v>26</v>
      </c>
      <c r="D242" s="1" t="s">
        <v>7</v>
      </c>
      <c r="E242" s="1">
        <v>0</v>
      </c>
    </row>
    <row r="243" spans="3:5" x14ac:dyDescent="0.25">
      <c r="C243" s="1">
        <v>27</v>
      </c>
      <c r="D243" s="1" t="s">
        <v>7</v>
      </c>
      <c r="E243" s="1">
        <v>0</v>
      </c>
    </row>
    <row r="244" spans="3:5" x14ac:dyDescent="0.25">
      <c r="C244" s="1">
        <v>28</v>
      </c>
      <c r="D244" s="1" t="s">
        <v>7</v>
      </c>
      <c r="E244" s="1">
        <v>0.01</v>
      </c>
    </row>
    <row r="245" spans="3:5" x14ac:dyDescent="0.25">
      <c r="C245" s="1">
        <v>29</v>
      </c>
      <c r="D245" s="1" t="s">
        <v>7</v>
      </c>
      <c r="E245" s="1">
        <v>2.96</v>
      </c>
    </row>
    <row r="246" spans="3:5" x14ac:dyDescent="0.25">
      <c r="C246" s="1">
        <v>30</v>
      </c>
      <c r="D246" s="1" t="s">
        <v>7</v>
      </c>
      <c r="E246" s="1">
        <v>0.68</v>
      </c>
    </row>
    <row r="247" spans="3:5" x14ac:dyDescent="0.25">
      <c r="C247" s="1">
        <v>31</v>
      </c>
      <c r="D247" s="1" t="s">
        <v>7</v>
      </c>
      <c r="E247" s="1">
        <v>0</v>
      </c>
    </row>
    <row r="248" spans="3:5" x14ac:dyDescent="0.25">
      <c r="C248" s="1">
        <v>1</v>
      </c>
      <c r="D248" s="1" t="s">
        <v>8</v>
      </c>
      <c r="E248" s="1">
        <v>0</v>
      </c>
    </row>
    <row r="249" spans="3:5" x14ac:dyDescent="0.25">
      <c r="C249" s="1">
        <v>2</v>
      </c>
      <c r="D249" s="1" t="s">
        <v>8</v>
      </c>
      <c r="E249" s="1">
        <v>0.63</v>
      </c>
    </row>
    <row r="250" spans="3:5" x14ac:dyDescent="0.25">
      <c r="C250" s="1">
        <v>3</v>
      </c>
      <c r="D250" s="1" t="s">
        <v>8</v>
      </c>
      <c r="E250" s="1">
        <v>2.21</v>
      </c>
    </row>
    <row r="251" spans="3:5" x14ac:dyDescent="0.25">
      <c r="C251" s="1">
        <v>4</v>
      </c>
      <c r="D251" s="1" t="s">
        <v>8</v>
      </c>
      <c r="E251" s="1">
        <v>1.87</v>
      </c>
    </row>
    <row r="252" spans="3:5" x14ac:dyDescent="0.25">
      <c r="C252" s="1">
        <v>5</v>
      </c>
      <c r="D252" s="1" t="s">
        <v>8</v>
      </c>
      <c r="E252" s="1">
        <v>0.21</v>
      </c>
    </row>
    <row r="253" spans="3:5" x14ac:dyDescent="0.25">
      <c r="C253" s="1">
        <v>6</v>
      </c>
      <c r="D253" s="1" t="s">
        <v>8</v>
      </c>
      <c r="E253" s="1">
        <v>1.41</v>
      </c>
    </row>
    <row r="254" spans="3:5" x14ac:dyDescent="0.25">
      <c r="C254" s="1">
        <v>7</v>
      </c>
      <c r="D254" s="1" t="s">
        <v>8</v>
      </c>
      <c r="E254" s="1">
        <v>0.19</v>
      </c>
    </row>
    <row r="255" spans="3:5" x14ac:dyDescent="0.25">
      <c r="C255" s="1">
        <v>8</v>
      </c>
      <c r="D255" s="1" t="s">
        <v>8</v>
      </c>
      <c r="E255" s="1">
        <v>0.01</v>
      </c>
    </row>
    <row r="256" spans="3:5" x14ac:dyDescent="0.25">
      <c r="C256" s="1">
        <v>9</v>
      </c>
      <c r="D256" s="1" t="s">
        <v>8</v>
      </c>
      <c r="E256" s="1">
        <v>2.56</v>
      </c>
    </row>
    <row r="257" spans="3:5" x14ac:dyDescent="0.25">
      <c r="C257" s="1">
        <v>10</v>
      </c>
      <c r="D257" s="1" t="s">
        <v>8</v>
      </c>
      <c r="E257" s="1">
        <v>0.51</v>
      </c>
    </row>
    <row r="258" spans="3:5" x14ac:dyDescent="0.25">
      <c r="C258" s="1">
        <v>11</v>
      </c>
      <c r="D258" s="1" t="s">
        <v>8</v>
      </c>
      <c r="E258" s="1">
        <v>7.0000000000000007E-2</v>
      </c>
    </row>
    <row r="259" spans="3:5" x14ac:dyDescent="0.25">
      <c r="C259" s="1">
        <v>12</v>
      </c>
      <c r="D259" s="1" t="s">
        <v>8</v>
      </c>
      <c r="E259" s="1">
        <v>18.98</v>
      </c>
    </row>
    <row r="260" spans="3:5" x14ac:dyDescent="0.25">
      <c r="C260" s="1">
        <v>13</v>
      </c>
      <c r="D260" s="1" t="s">
        <v>8</v>
      </c>
      <c r="E260" s="1">
        <v>6.04</v>
      </c>
    </row>
    <row r="261" spans="3:5" x14ac:dyDescent="0.25">
      <c r="C261" s="1">
        <v>14</v>
      </c>
      <c r="D261" s="1" t="s">
        <v>8</v>
      </c>
      <c r="E261" s="1">
        <v>0.74</v>
      </c>
    </row>
    <row r="262" spans="3:5" x14ac:dyDescent="0.25">
      <c r="C262" s="1">
        <v>15</v>
      </c>
      <c r="D262" s="1" t="s">
        <v>8</v>
      </c>
      <c r="E262" s="1">
        <v>2.63</v>
      </c>
    </row>
    <row r="263" spans="3:5" x14ac:dyDescent="0.25">
      <c r="C263" s="1">
        <v>16</v>
      </c>
      <c r="D263" s="1" t="s">
        <v>8</v>
      </c>
      <c r="E263" s="1">
        <v>11.59</v>
      </c>
    </row>
    <row r="264" spans="3:5" x14ac:dyDescent="0.25">
      <c r="C264" s="1">
        <v>17</v>
      </c>
      <c r="D264" s="1" t="s">
        <v>8</v>
      </c>
      <c r="E264" s="1">
        <v>0.51</v>
      </c>
    </row>
    <row r="265" spans="3:5" x14ac:dyDescent="0.25">
      <c r="C265" s="1">
        <v>18</v>
      </c>
      <c r="D265" s="1" t="s">
        <v>8</v>
      </c>
      <c r="E265" s="1">
        <v>0.02</v>
      </c>
    </row>
    <row r="266" spans="3:5" x14ac:dyDescent="0.25">
      <c r="C266" s="1">
        <v>19</v>
      </c>
      <c r="D266" s="1" t="s">
        <v>8</v>
      </c>
      <c r="E266" s="1">
        <v>22.02</v>
      </c>
    </row>
    <row r="267" spans="3:5" x14ac:dyDescent="0.25">
      <c r="C267" s="1">
        <v>20</v>
      </c>
      <c r="D267" s="1" t="s">
        <v>8</v>
      </c>
      <c r="E267" s="1">
        <v>4.78</v>
      </c>
    </row>
    <row r="268" spans="3:5" x14ac:dyDescent="0.25">
      <c r="C268" s="1">
        <v>21</v>
      </c>
      <c r="D268" s="1" t="s">
        <v>8</v>
      </c>
      <c r="E268" s="1">
        <v>1.84</v>
      </c>
    </row>
    <row r="269" spans="3:5" x14ac:dyDescent="0.25">
      <c r="C269" s="1">
        <v>22</v>
      </c>
      <c r="D269" s="1" t="s">
        <v>8</v>
      </c>
      <c r="E269" s="1">
        <v>0.68</v>
      </c>
    </row>
    <row r="270" spans="3:5" x14ac:dyDescent="0.25">
      <c r="C270" s="1">
        <v>23</v>
      </c>
      <c r="D270" s="1" t="s">
        <v>8</v>
      </c>
      <c r="E270" s="1">
        <v>20.56</v>
      </c>
    </row>
    <row r="271" spans="3:5" x14ac:dyDescent="0.25">
      <c r="C271" s="1">
        <v>24</v>
      </c>
      <c r="D271" s="1" t="s">
        <v>8</v>
      </c>
      <c r="E271" s="1">
        <v>16.16</v>
      </c>
    </row>
    <row r="272" spans="3:5" x14ac:dyDescent="0.25">
      <c r="C272" s="1">
        <v>25</v>
      </c>
      <c r="D272" s="1" t="s">
        <v>8</v>
      </c>
      <c r="E272" s="1">
        <v>0.27</v>
      </c>
    </row>
    <row r="273" spans="3:5" x14ac:dyDescent="0.25">
      <c r="C273" s="1">
        <v>26</v>
      </c>
      <c r="D273" s="1" t="s">
        <v>8</v>
      </c>
      <c r="E273" s="1">
        <v>0.02</v>
      </c>
    </row>
    <row r="274" spans="3:5" x14ac:dyDescent="0.25">
      <c r="C274" s="1">
        <v>27</v>
      </c>
      <c r="D274" s="1" t="s">
        <v>8</v>
      </c>
      <c r="E274" s="1">
        <v>0.42</v>
      </c>
    </row>
    <row r="275" spans="3:5" x14ac:dyDescent="0.25">
      <c r="C275" s="1">
        <v>28</v>
      </c>
      <c r="D275" s="1" t="s">
        <v>8</v>
      </c>
      <c r="E275" s="1">
        <v>2.29</v>
      </c>
    </row>
    <row r="276" spans="3:5" x14ac:dyDescent="0.25">
      <c r="C276" s="1">
        <v>29</v>
      </c>
      <c r="D276" s="1" t="s">
        <v>8</v>
      </c>
      <c r="E276" s="1">
        <v>0.61</v>
      </c>
    </row>
    <row r="277" spans="3:5" x14ac:dyDescent="0.25">
      <c r="C277" s="1">
        <v>30</v>
      </c>
      <c r="D277" s="1" t="s">
        <v>8</v>
      </c>
      <c r="E277" s="1">
        <v>2.11</v>
      </c>
    </row>
    <row r="278" spans="3:5" x14ac:dyDescent="0.25">
      <c r="C278" s="1">
        <v>1</v>
      </c>
      <c r="D278" s="3" t="s">
        <v>9</v>
      </c>
      <c r="E278" s="1">
        <v>4.42</v>
      </c>
    </row>
    <row r="279" spans="3:5" x14ac:dyDescent="0.25">
      <c r="C279" s="1">
        <v>2</v>
      </c>
      <c r="D279" s="3" t="s">
        <v>9</v>
      </c>
      <c r="E279" s="1">
        <v>0.02</v>
      </c>
    </row>
    <row r="280" spans="3:5" x14ac:dyDescent="0.25">
      <c r="C280" s="1">
        <v>3</v>
      </c>
      <c r="D280" s="3" t="s">
        <v>9</v>
      </c>
      <c r="E280" s="1">
        <v>0</v>
      </c>
    </row>
    <row r="281" spans="3:5" x14ac:dyDescent="0.25">
      <c r="C281" s="1">
        <v>4</v>
      </c>
      <c r="D281" s="3" t="s">
        <v>9</v>
      </c>
      <c r="E281" s="1">
        <v>9.73</v>
      </c>
    </row>
    <row r="282" spans="3:5" x14ac:dyDescent="0.25">
      <c r="C282" s="1">
        <v>5</v>
      </c>
      <c r="D282" s="3" t="s">
        <v>9</v>
      </c>
      <c r="E282" s="1">
        <v>6.43</v>
      </c>
    </row>
    <row r="283" spans="3:5" x14ac:dyDescent="0.25">
      <c r="C283" s="1">
        <v>6</v>
      </c>
      <c r="D283" s="3" t="s">
        <v>9</v>
      </c>
      <c r="E283" s="1">
        <v>18.14</v>
      </c>
    </row>
    <row r="284" spans="3:5" x14ac:dyDescent="0.25">
      <c r="C284" s="1">
        <v>7</v>
      </c>
      <c r="D284" s="3" t="s">
        <v>9</v>
      </c>
      <c r="E284" s="1">
        <v>34.93</v>
      </c>
    </row>
    <row r="285" spans="3:5" x14ac:dyDescent="0.25">
      <c r="C285" s="1">
        <v>8</v>
      </c>
      <c r="D285" s="3" t="s">
        <v>9</v>
      </c>
      <c r="E285" s="1">
        <v>1.73</v>
      </c>
    </row>
    <row r="286" spans="3:5" x14ac:dyDescent="0.25">
      <c r="C286" s="1">
        <v>9</v>
      </c>
      <c r="D286" s="3" t="s">
        <v>9</v>
      </c>
      <c r="E286" s="1">
        <v>0.01</v>
      </c>
    </row>
    <row r="287" spans="3:5" x14ac:dyDescent="0.25">
      <c r="C287" s="1">
        <v>10</v>
      </c>
      <c r="D287" s="3" t="s">
        <v>9</v>
      </c>
      <c r="E287" s="1">
        <v>0.02</v>
      </c>
    </row>
    <row r="288" spans="3:5" x14ac:dyDescent="0.25">
      <c r="C288" s="1">
        <v>11</v>
      </c>
      <c r="D288" s="3" t="s">
        <v>9</v>
      </c>
      <c r="E288" s="1">
        <v>0.01</v>
      </c>
    </row>
    <row r="289" spans="3:7" x14ac:dyDescent="0.25">
      <c r="C289" s="1">
        <v>12</v>
      </c>
      <c r="D289" s="3" t="s">
        <v>9</v>
      </c>
      <c r="E289" s="1">
        <v>0.53</v>
      </c>
    </row>
    <row r="290" spans="3:7" x14ac:dyDescent="0.25">
      <c r="C290" s="1">
        <v>13</v>
      </c>
      <c r="D290" s="3" t="s">
        <v>9</v>
      </c>
      <c r="E290" s="1">
        <v>2.34</v>
      </c>
    </row>
    <row r="291" spans="3:7" x14ac:dyDescent="0.25">
      <c r="C291" s="1">
        <v>14</v>
      </c>
      <c r="D291" s="3" t="s">
        <v>9</v>
      </c>
      <c r="E291" s="1">
        <v>10.18</v>
      </c>
    </row>
    <row r="292" spans="3:7" x14ac:dyDescent="0.25">
      <c r="C292" s="1">
        <v>15</v>
      </c>
      <c r="D292" s="3" t="s">
        <v>9</v>
      </c>
      <c r="E292" s="1">
        <v>8.89</v>
      </c>
    </row>
    <row r="293" spans="3:7" x14ac:dyDescent="0.25">
      <c r="C293" s="1">
        <v>16</v>
      </c>
      <c r="D293" s="3" t="s">
        <v>9</v>
      </c>
      <c r="E293" s="1">
        <v>2.92</v>
      </c>
    </row>
    <row r="294" spans="3:7" x14ac:dyDescent="0.25">
      <c r="C294" s="1">
        <v>17</v>
      </c>
      <c r="D294" s="3" t="s">
        <v>9</v>
      </c>
      <c r="E294" s="1">
        <v>21.77</v>
      </c>
    </row>
    <row r="295" spans="3:7" x14ac:dyDescent="0.25">
      <c r="C295" s="1">
        <v>18</v>
      </c>
      <c r="D295" s="3" t="s">
        <v>9</v>
      </c>
      <c r="E295" s="1">
        <v>18.739999999999998</v>
      </c>
    </row>
    <row r="296" spans="3:7" x14ac:dyDescent="0.25">
      <c r="C296" s="1">
        <v>19</v>
      </c>
      <c r="D296" s="3" t="s">
        <v>9</v>
      </c>
      <c r="E296" s="1">
        <v>26.25</v>
      </c>
    </row>
    <row r="297" spans="3:7" x14ac:dyDescent="0.25">
      <c r="C297" s="1">
        <v>20</v>
      </c>
      <c r="D297" s="3" t="s">
        <v>9</v>
      </c>
      <c r="E297" s="1">
        <v>10.67</v>
      </c>
      <c r="G297">
        <f>SUM(E278:E308)</f>
        <v>259.84999999999997</v>
      </c>
    </row>
    <row r="298" spans="3:7" x14ac:dyDescent="0.25">
      <c r="C298" s="1">
        <v>21</v>
      </c>
      <c r="D298" s="3" t="s">
        <v>9</v>
      </c>
      <c r="E298" s="1">
        <v>5.78</v>
      </c>
    </row>
    <row r="299" spans="3:7" x14ac:dyDescent="0.25">
      <c r="C299" s="1">
        <v>22</v>
      </c>
      <c r="D299" s="3" t="s">
        <v>9</v>
      </c>
      <c r="E299" s="1">
        <v>5.88</v>
      </c>
    </row>
    <row r="300" spans="3:7" x14ac:dyDescent="0.25">
      <c r="C300" s="1">
        <v>23</v>
      </c>
      <c r="D300" s="3" t="s">
        <v>9</v>
      </c>
      <c r="E300" s="1">
        <v>2.87</v>
      </c>
    </row>
    <row r="301" spans="3:7" x14ac:dyDescent="0.25">
      <c r="C301" s="1">
        <v>24</v>
      </c>
      <c r="D301" s="3" t="s">
        <v>9</v>
      </c>
      <c r="E301" s="1">
        <v>20.05</v>
      </c>
    </row>
    <row r="302" spans="3:7" x14ac:dyDescent="0.25">
      <c r="C302" s="1">
        <v>25</v>
      </c>
      <c r="D302" s="3" t="s">
        <v>9</v>
      </c>
      <c r="E302" s="1">
        <v>6.25</v>
      </c>
    </row>
    <row r="303" spans="3:7" x14ac:dyDescent="0.25">
      <c r="C303" s="1">
        <v>26</v>
      </c>
      <c r="D303" s="3" t="s">
        <v>9</v>
      </c>
      <c r="E303" s="1">
        <v>8.5</v>
      </c>
    </row>
    <row r="304" spans="3:7" x14ac:dyDescent="0.25">
      <c r="C304" s="1">
        <v>27</v>
      </c>
      <c r="D304" s="3" t="s">
        <v>9</v>
      </c>
      <c r="E304" s="1">
        <v>2.6</v>
      </c>
    </row>
    <row r="305" spans="3:5" x14ac:dyDescent="0.25">
      <c r="C305" s="1">
        <v>28</v>
      </c>
      <c r="D305" s="3" t="s">
        <v>9</v>
      </c>
      <c r="E305" s="1">
        <v>24.07</v>
      </c>
    </row>
    <row r="306" spans="3:5" x14ac:dyDescent="0.25">
      <c r="C306" s="1">
        <v>29</v>
      </c>
      <c r="D306" s="3" t="s">
        <v>9</v>
      </c>
      <c r="E306" s="1">
        <v>2.42</v>
      </c>
    </row>
    <row r="307" spans="3:5" x14ac:dyDescent="0.25">
      <c r="C307" s="1">
        <v>30</v>
      </c>
      <c r="D307" s="3" t="s">
        <v>9</v>
      </c>
      <c r="E307" s="1">
        <v>1.86</v>
      </c>
    </row>
    <row r="308" spans="3:5" x14ac:dyDescent="0.25">
      <c r="C308" s="1">
        <v>31</v>
      </c>
      <c r="D308" s="3" t="s">
        <v>9</v>
      </c>
      <c r="E308" s="1">
        <v>1.84</v>
      </c>
    </row>
    <row r="309" spans="3:5" x14ac:dyDescent="0.25">
      <c r="C309" s="1">
        <v>1</v>
      </c>
      <c r="D309" s="1" t="s">
        <v>10</v>
      </c>
      <c r="E309" s="1">
        <v>4.9000000000000004</v>
      </c>
    </row>
    <row r="310" spans="3:5" x14ac:dyDescent="0.25">
      <c r="C310" s="1">
        <v>2</v>
      </c>
      <c r="D310" s="1" t="s">
        <v>10</v>
      </c>
      <c r="E310" s="1">
        <v>9.0500000000000007</v>
      </c>
    </row>
    <row r="311" spans="3:5" x14ac:dyDescent="0.25">
      <c r="C311" s="1">
        <v>3</v>
      </c>
      <c r="D311" s="1" t="s">
        <v>10</v>
      </c>
      <c r="E311" s="1">
        <v>0.81</v>
      </c>
    </row>
    <row r="312" spans="3:5" x14ac:dyDescent="0.25">
      <c r="C312" s="1">
        <v>4</v>
      </c>
      <c r="D312" s="1" t="s">
        <v>10</v>
      </c>
      <c r="E312" s="1">
        <v>0.01</v>
      </c>
    </row>
    <row r="313" spans="3:5" x14ac:dyDescent="0.25">
      <c r="C313" s="1">
        <v>5</v>
      </c>
      <c r="D313" s="1" t="s">
        <v>10</v>
      </c>
      <c r="E313" s="1">
        <v>0.06</v>
      </c>
    </row>
    <row r="314" spans="3:5" x14ac:dyDescent="0.25">
      <c r="C314" s="1">
        <v>6</v>
      </c>
      <c r="D314" s="1" t="s">
        <v>10</v>
      </c>
      <c r="E314" s="1">
        <v>16.71</v>
      </c>
    </row>
    <row r="315" spans="3:5" x14ac:dyDescent="0.25">
      <c r="C315" s="1">
        <v>7</v>
      </c>
      <c r="D315" s="1" t="s">
        <v>10</v>
      </c>
      <c r="E315" s="1">
        <v>4.88</v>
      </c>
    </row>
    <row r="316" spans="3:5" x14ac:dyDescent="0.25">
      <c r="C316" s="1">
        <v>8</v>
      </c>
      <c r="D316" s="1" t="s">
        <v>10</v>
      </c>
      <c r="E316" s="1">
        <v>2.5099999999999998</v>
      </c>
    </row>
    <row r="317" spans="3:5" x14ac:dyDescent="0.25">
      <c r="C317" s="1">
        <v>9</v>
      </c>
      <c r="D317" s="1" t="s">
        <v>10</v>
      </c>
      <c r="E317" s="1">
        <v>7.68</v>
      </c>
    </row>
    <row r="318" spans="3:5" x14ac:dyDescent="0.25">
      <c r="C318" s="1">
        <v>10</v>
      </c>
      <c r="D318" s="1" t="s">
        <v>10</v>
      </c>
      <c r="E318" s="1">
        <v>1.73</v>
      </c>
    </row>
    <row r="319" spans="3:5" x14ac:dyDescent="0.25">
      <c r="C319" s="1">
        <v>11</v>
      </c>
      <c r="D319" s="1" t="s">
        <v>10</v>
      </c>
      <c r="E319" s="1">
        <v>1.44</v>
      </c>
    </row>
    <row r="320" spans="3:5" x14ac:dyDescent="0.25">
      <c r="C320" s="1">
        <v>12</v>
      </c>
      <c r="D320" s="1" t="s">
        <v>10</v>
      </c>
      <c r="E320" s="1">
        <v>7.31</v>
      </c>
    </row>
    <row r="321" spans="3:5" x14ac:dyDescent="0.25">
      <c r="C321" s="1">
        <v>13</v>
      </c>
      <c r="D321" s="1" t="s">
        <v>10</v>
      </c>
      <c r="E321" s="1">
        <v>1.3</v>
      </c>
    </row>
    <row r="322" spans="3:5" x14ac:dyDescent="0.25">
      <c r="C322" s="1">
        <v>14</v>
      </c>
      <c r="D322" s="1" t="s">
        <v>10</v>
      </c>
      <c r="E322" s="1">
        <v>0.38</v>
      </c>
    </row>
    <row r="323" spans="3:5" x14ac:dyDescent="0.25">
      <c r="C323" s="1">
        <v>15</v>
      </c>
      <c r="D323" s="1" t="s">
        <v>10</v>
      </c>
      <c r="E323" s="1">
        <v>2.93</v>
      </c>
    </row>
    <row r="324" spans="3:5" x14ac:dyDescent="0.25">
      <c r="C324" s="1">
        <v>16</v>
      </c>
      <c r="D324" s="1" t="s">
        <v>10</v>
      </c>
      <c r="E324" s="1">
        <v>2.91</v>
      </c>
    </row>
    <row r="325" spans="3:5" x14ac:dyDescent="0.25">
      <c r="C325" s="1">
        <v>17</v>
      </c>
      <c r="D325" s="1" t="s">
        <v>10</v>
      </c>
      <c r="E325" s="1">
        <v>1.05</v>
      </c>
    </row>
    <row r="326" spans="3:5" x14ac:dyDescent="0.25">
      <c r="C326" s="1">
        <v>18</v>
      </c>
      <c r="D326" s="1" t="s">
        <v>10</v>
      </c>
      <c r="E326" s="1">
        <v>10.83</v>
      </c>
    </row>
    <row r="327" spans="3:5" x14ac:dyDescent="0.25">
      <c r="C327" s="1">
        <v>19</v>
      </c>
      <c r="D327" s="1" t="s">
        <v>10</v>
      </c>
      <c r="E327" s="1">
        <v>1.03</v>
      </c>
    </row>
    <row r="328" spans="3:5" x14ac:dyDescent="0.25">
      <c r="C328" s="1">
        <v>20</v>
      </c>
      <c r="D328" s="1" t="s">
        <v>10</v>
      </c>
      <c r="E328" s="1">
        <v>1.19</v>
      </c>
    </row>
    <row r="329" spans="3:5" x14ac:dyDescent="0.25">
      <c r="C329" s="1">
        <v>21</v>
      </c>
      <c r="D329" s="1" t="s">
        <v>10</v>
      </c>
      <c r="E329" s="1">
        <v>2.66</v>
      </c>
    </row>
    <row r="330" spans="3:5" x14ac:dyDescent="0.25">
      <c r="C330" s="1">
        <v>22</v>
      </c>
      <c r="D330" s="1" t="s">
        <v>10</v>
      </c>
      <c r="E330" s="1">
        <v>4.2</v>
      </c>
    </row>
    <row r="331" spans="3:5" x14ac:dyDescent="0.25">
      <c r="C331" s="1">
        <v>23</v>
      </c>
      <c r="D331" s="1" t="s">
        <v>10</v>
      </c>
      <c r="E331" s="1">
        <v>35.25</v>
      </c>
    </row>
    <row r="332" spans="3:5" x14ac:dyDescent="0.25">
      <c r="C332" s="1">
        <v>24</v>
      </c>
      <c r="D332" s="1" t="s">
        <v>10</v>
      </c>
      <c r="E332" s="1">
        <v>4.43</v>
      </c>
    </row>
    <row r="333" spans="3:5" x14ac:dyDescent="0.25">
      <c r="C333" s="1">
        <v>25</v>
      </c>
      <c r="D333" s="1" t="s">
        <v>10</v>
      </c>
      <c r="E333" s="1">
        <v>1.32</v>
      </c>
    </row>
    <row r="334" spans="3:5" x14ac:dyDescent="0.25">
      <c r="C334" s="1">
        <v>26</v>
      </c>
      <c r="D334" s="1" t="s">
        <v>10</v>
      </c>
      <c r="E334" s="1">
        <v>9.9</v>
      </c>
    </row>
    <row r="335" spans="3:5" x14ac:dyDescent="0.25">
      <c r="C335" s="1">
        <v>27</v>
      </c>
      <c r="D335" s="1" t="s">
        <v>10</v>
      </c>
      <c r="E335" s="1">
        <v>7.59</v>
      </c>
    </row>
    <row r="336" spans="3:5" x14ac:dyDescent="0.25">
      <c r="C336" s="1">
        <v>28</v>
      </c>
      <c r="D336" s="1" t="s">
        <v>10</v>
      </c>
      <c r="E336" s="1">
        <v>7.95</v>
      </c>
    </row>
    <row r="337" spans="3:5" x14ac:dyDescent="0.25">
      <c r="C337" s="1">
        <v>29</v>
      </c>
      <c r="D337" s="1" t="s">
        <v>10</v>
      </c>
      <c r="E337" s="1">
        <v>14.89</v>
      </c>
    </row>
    <row r="338" spans="3:5" x14ac:dyDescent="0.25">
      <c r="C338" s="1">
        <v>30</v>
      </c>
      <c r="D338" s="1" t="s">
        <v>10</v>
      </c>
      <c r="E338" s="1">
        <v>2.6</v>
      </c>
    </row>
    <row r="339" spans="3:5" x14ac:dyDescent="0.25">
      <c r="C339" s="1">
        <v>1</v>
      </c>
      <c r="D339" s="3" t="s">
        <v>11</v>
      </c>
      <c r="E339" s="1">
        <v>0.78</v>
      </c>
    </row>
    <row r="340" spans="3:5" x14ac:dyDescent="0.25">
      <c r="C340" s="1">
        <v>2</v>
      </c>
      <c r="D340" s="3" t="s">
        <v>11</v>
      </c>
      <c r="E340" s="1">
        <v>0.93</v>
      </c>
    </row>
    <row r="341" spans="3:5" x14ac:dyDescent="0.25">
      <c r="C341" s="1">
        <v>3</v>
      </c>
      <c r="D341" s="3" t="s">
        <v>11</v>
      </c>
      <c r="E341" s="1">
        <v>3.45</v>
      </c>
    </row>
    <row r="342" spans="3:5" x14ac:dyDescent="0.25">
      <c r="C342" s="1">
        <v>4</v>
      </c>
      <c r="D342" s="3" t="s">
        <v>11</v>
      </c>
      <c r="E342" s="1">
        <v>6.33</v>
      </c>
    </row>
    <row r="343" spans="3:5" x14ac:dyDescent="0.25">
      <c r="C343" s="1">
        <v>5</v>
      </c>
      <c r="D343" s="3" t="s">
        <v>11</v>
      </c>
      <c r="E343" s="1">
        <v>3.77</v>
      </c>
    </row>
    <row r="344" spans="3:5" x14ac:dyDescent="0.25">
      <c r="C344" s="1">
        <v>6</v>
      </c>
      <c r="D344" s="3" t="s">
        <v>11</v>
      </c>
      <c r="E344" s="1">
        <v>7.01</v>
      </c>
    </row>
    <row r="345" spans="3:5" x14ac:dyDescent="0.25">
      <c r="C345" s="1">
        <v>7</v>
      </c>
      <c r="D345" s="3" t="s">
        <v>11</v>
      </c>
      <c r="E345" s="1">
        <v>8.9600000000000009</v>
      </c>
    </row>
    <row r="346" spans="3:5" x14ac:dyDescent="0.25">
      <c r="C346" s="1">
        <v>8</v>
      </c>
      <c r="D346" s="3" t="s">
        <v>11</v>
      </c>
      <c r="E346" s="1">
        <v>8.61</v>
      </c>
    </row>
    <row r="347" spans="3:5" x14ac:dyDescent="0.25">
      <c r="C347" s="1">
        <v>9</v>
      </c>
      <c r="D347" s="3" t="s">
        <v>11</v>
      </c>
      <c r="E347" s="1">
        <v>2.76</v>
      </c>
    </row>
    <row r="348" spans="3:5" x14ac:dyDescent="0.25">
      <c r="C348" s="1">
        <v>10</v>
      </c>
      <c r="D348" s="3" t="s">
        <v>11</v>
      </c>
      <c r="E348" s="1">
        <v>1.04</v>
      </c>
    </row>
    <row r="349" spans="3:5" x14ac:dyDescent="0.25">
      <c r="C349" s="1">
        <v>11</v>
      </c>
      <c r="D349" s="3" t="s">
        <v>11</v>
      </c>
      <c r="E349" s="1">
        <v>0.25</v>
      </c>
    </row>
    <row r="350" spans="3:5" x14ac:dyDescent="0.25">
      <c r="C350" s="1">
        <v>12</v>
      </c>
      <c r="D350" s="3" t="s">
        <v>11</v>
      </c>
      <c r="E350" s="1">
        <v>0</v>
      </c>
    </row>
    <row r="351" spans="3:5" x14ac:dyDescent="0.25">
      <c r="C351" s="1">
        <v>13</v>
      </c>
      <c r="D351" s="3" t="s">
        <v>11</v>
      </c>
      <c r="E351" s="1">
        <v>1.46</v>
      </c>
    </row>
    <row r="352" spans="3:5" x14ac:dyDescent="0.25">
      <c r="C352" s="1">
        <v>14</v>
      </c>
      <c r="D352" s="3" t="s">
        <v>11</v>
      </c>
      <c r="E352" s="1">
        <v>1.26</v>
      </c>
    </row>
    <row r="353" spans="3:5" x14ac:dyDescent="0.25">
      <c r="C353" s="1">
        <v>15</v>
      </c>
      <c r="D353" s="3" t="s">
        <v>11</v>
      </c>
      <c r="E353" s="1">
        <v>0.78</v>
      </c>
    </row>
    <row r="354" spans="3:5" x14ac:dyDescent="0.25">
      <c r="C354" s="1">
        <v>16</v>
      </c>
      <c r="D354" s="3" t="s">
        <v>11</v>
      </c>
      <c r="E354" s="1">
        <v>1.38</v>
      </c>
    </row>
    <row r="355" spans="3:5" x14ac:dyDescent="0.25">
      <c r="C355" s="1">
        <v>17</v>
      </c>
      <c r="D355" s="3" t="s">
        <v>11</v>
      </c>
      <c r="E355" s="1">
        <v>1.44</v>
      </c>
    </row>
    <row r="356" spans="3:5" x14ac:dyDescent="0.25">
      <c r="C356" s="1">
        <v>18</v>
      </c>
      <c r="D356" s="3" t="s">
        <v>11</v>
      </c>
      <c r="E356" s="1">
        <v>0.61</v>
      </c>
    </row>
    <row r="357" spans="3:5" x14ac:dyDescent="0.25">
      <c r="C357" s="1">
        <v>19</v>
      </c>
      <c r="D357" s="3" t="s">
        <v>11</v>
      </c>
      <c r="E357" s="1">
        <v>0.24</v>
      </c>
    </row>
    <row r="358" spans="3:5" x14ac:dyDescent="0.25">
      <c r="C358" s="1">
        <v>20</v>
      </c>
      <c r="D358" s="3" t="s">
        <v>11</v>
      </c>
      <c r="E358" s="1">
        <v>7.0000000000000007E-2</v>
      </c>
    </row>
    <row r="359" spans="3:5" x14ac:dyDescent="0.25">
      <c r="C359" s="1">
        <v>21</v>
      </c>
      <c r="D359" s="3" t="s">
        <v>11</v>
      </c>
      <c r="E359" s="1">
        <v>0</v>
      </c>
    </row>
    <row r="360" spans="3:5" x14ac:dyDescent="0.25">
      <c r="C360" s="1">
        <v>22</v>
      </c>
      <c r="D360" s="3" t="s">
        <v>11</v>
      </c>
      <c r="E360" s="1">
        <v>0.41</v>
      </c>
    </row>
    <row r="361" spans="3:5" x14ac:dyDescent="0.25">
      <c r="C361" s="1">
        <v>23</v>
      </c>
      <c r="D361" s="3" t="s">
        <v>11</v>
      </c>
      <c r="E361" s="1">
        <v>1.49</v>
      </c>
    </row>
    <row r="362" spans="3:5" x14ac:dyDescent="0.25">
      <c r="C362" s="1">
        <v>24</v>
      </c>
      <c r="D362" s="3" t="s">
        <v>11</v>
      </c>
      <c r="E362" s="1">
        <v>0.05</v>
      </c>
    </row>
    <row r="363" spans="3:5" x14ac:dyDescent="0.25">
      <c r="C363" s="1">
        <v>25</v>
      </c>
      <c r="D363" s="3" t="s">
        <v>11</v>
      </c>
      <c r="E363" s="1">
        <v>3.33</v>
      </c>
    </row>
    <row r="364" spans="3:5" x14ac:dyDescent="0.25">
      <c r="C364" s="1">
        <v>26</v>
      </c>
      <c r="D364" s="3" t="s">
        <v>11</v>
      </c>
      <c r="E364" s="1">
        <v>0.97</v>
      </c>
    </row>
    <row r="365" spans="3:5" x14ac:dyDescent="0.25">
      <c r="C365" s="1">
        <v>27</v>
      </c>
      <c r="D365" s="3" t="s">
        <v>11</v>
      </c>
      <c r="E365" s="1">
        <v>0.03</v>
      </c>
    </row>
    <row r="366" spans="3:5" x14ac:dyDescent="0.25">
      <c r="C366" s="1">
        <v>28</v>
      </c>
      <c r="D366" s="3" t="s">
        <v>11</v>
      </c>
      <c r="E366" s="1">
        <v>0</v>
      </c>
    </row>
    <row r="367" spans="3:5" x14ac:dyDescent="0.25">
      <c r="C367" s="1">
        <v>29</v>
      </c>
      <c r="D367" s="3" t="s">
        <v>11</v>
      </c>
      <c r="E367" s="1">
        <v>0.4</v>
      </c>
    </row>
    <row r="368" spans="3:5" x14ac:dyDescent="0.25">
      <c r="C368" s="1">
        <v>30</v>
      </c>
      <c r="D368" s="3" t="s">
        <v>11</v>
      </c>
      <c r="E368" s="1">
        <v>11.05</v>
      </c>
    </row>
    <row r="369" spans="3:5" x14ac:dyDescent="0.25">
      <c r="C369" s="1">
        <v>31</v>
      </c>
      <c r="D369" s="3" t="s">
        <v>11</v>
      </c>
      <c r="E369" s="1">
        <v>4.1500000000000004</v>
      </c>
    </row>
  </sheetData>
  <mergeCells count="6">
    <mergeCell ref="A1:E2"/>
    <mergeCell ref="A3:B3"/>
    <mergeCell ref="L18:M18"/>
    <mergeCell ref="N18:O18"/>
    <mergeCell ref="C3:E3"/>
    <mergeCell ref="F3:J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BD794-7C22-4B56-9EF4-B99C9A10C71E}">
  <dimension ref="A1:J25"/>
  <sheetViews>
    <sheetView topLeftCell="A14" zoomScale="120" zoomScaleNormal="120" workbookViewId="0">
      <selection activeCell="I7" sqref="I7"/>
    </sheetView>
  </sheetViews>
  <sheetFormatPr baseColWidth="10" defaultRowHeight="15" x14ac:dyDescent="0.25"/>
  <cols>
    <col min="1" max="1" width="26.140625" bestFit="1" customWidth="1"/>
    <col min="2" max="2" width="12.85546875" bestFit="1" customWidth="1"/>
    <col min="3" max="3" width="10.140625" customWidth="1"/>
    <col min="9" max="9" width="21.42578125" customWidth="1"/>
  </cols>
  <sheetData>
    <row r="1" spans="1:10" x14ac:dyDescent="0.25">
      <c r="I1" s="154" t="s">
        <v>97</v>
      </c>
      <c r="J1" s="155"/>
    </row>
    <row r="2" spans="1:10" x14ac:dyDescent="0.25">
      <c r="I2" s="111"/>
      <c r="J2" s="112"/>
    </row>
    <row r="3" spans="1:10" x14ac:dyDescent="0.25">
      <c r="I3" s="111"/>
      <c r="J3" s="112"/>
    </row>
    <row r="4" spans="1:10" x14ac:dyDescent="0.25">
      <c r="I4" s="111"/>
      <c r="J4" s="112"/>
    </row>
    <row r="5" spans="1:10" x14ac:dyDescent="0.25">
      <c r="I5" s="111"/>
      <c r="J5" s="112"/>
    </row>
    <row r="6" spans="1:10" ht="15.75" thickBot="1" x14ac:dyDescent="0.3">
      <c r="I6" s="113"/>
      <c r="J6" s="114"/>
    </row>
    <row r="7" spans="1:10" ht="15.75" thickBot="1" x14ac:dyDescent="0.3"/>
    <row r="8" spans="1:10" x14ac:dyDescent="0.25">
      <c r="A8" s="150" t="s">
        <v>29</v>
      </c>
      <c r="B8" s="153"/>
    </row>
    <row r="9" spans="1:10" x14ac:dyDescent="0.25">
      <c r="A9" s="107" t="s">
        <v>25</v>
      </c>
      <c r="B9" s="110">
        <f>B15*C10*B16*B13</f>
        <v>2.3557385086053453E-5</v>
      </c>
      <c r="C9" s="4">
        <f>B9*1000</f>
        <v>2.3557385086053453E-2</v>
      </c>
      <c r="D9" s="1" t="s">
        <v>94</v>
      </c>
      <c r="E9" s="6">
        <f>C9*60</f>
        <v>1.4134431051632073</v>
      </c>
      <c r="F9" s="1" t="s">
        <v>96</v>
      </c>
      <c r="I9" s="7">
        <v>2.3557385086053453E-5</v>
      </c>
      <c r="J9">
        <f>I9*1000</f>
        <v>2.3557385086053453E-2</v>
      </c>
    </row>
    <row r="10" spans="1:10" x14ac:dyDescent="0.25">
      <c r="A10" s="107" t="s">
        <v>28</v>
      </c>
      <c r="B10" s="5">
        <f>(418.7194*(B11^0.189969))/(B12^0.61885)</f>
        <v>96.546660188743644</v>
      </c>
      <c r="C10" s="7">
        <f>B10*(1/1000)*(1/3600)</f>
        <v>2.6818516719095459E-5</v>
      </c>
      <c r="D10" s="1" t="s">
        <v>95</v>
      </c>
      <c r="I10">
        <f>C10*1000</f>
        <v>2.6818516719095457E-2</v>
      </c>
    </row>
    <row r="11" spans="1:10" x14ac:dyDescent="0.25">
      <c r="A11" s="107" t="s">
        <v>20</v>
      </c>
      <c r="B11" s="93">
        <v>3</v>
      </c>
    </row>
    <row r="12" spans="1:10" x14ac:dyDescent="0.25">
      <c r="A12" s="107" t="s">
        <v>27</v>
      </c>
      <c r="B12" s="93">
        <v>15</v>
      </c>
    </row>
    <row r="13" spans="1:10" ht="15.75" thickBot="1" x14ac:dyDescent="0.3">
      <c r="A13" s="108" t="s">
        <v>26</v>
      </c>
      <c r="B13" s="96">
        <v>1.6E-2</v>
      </c>
    </row>
    <row r="14" spans="1:10" ht="15.75" thickBot="1" x14ac:dyDescent="0.3"/>
    <row r="15" spans="1:10" x14ac:dyDescent="0.25">
      <c r="A15" s="106" t="s">
        <v>21</v>
      </c>
      <c r="B15" s="109">
        <v>0.9</v>
      </c>
    </row>
    <row r="16" spans="1:10" x14ac:dyDescent="0.25">
      <c r="A16" s="107" t="s">
        <v>22</v>
      </c>
      <c r="B16" s="93">
        <v>61</v>
      </c>
    </row>
    <row r="17" spans="1:2" x14ac:dyDescent="0.25">
      <c r="A17" s="107" t="s">
        <v>23</v>
      </c>
      <c r="B17" s="93">
        <v>4</v>
      </c>
    </row>
    <row r="18" spans="1:2" ht="15.75" thickBot="1" x14ac:dyDescent="0.3">
      <c r="A18" s="108" t="s">
        <v>24</v>
      </c>
      <c r="B18" s="96">
        <v>12</v>
      </c>
    </row>
    <row r="19" spans="1:2" x14ac:dyDescent="0.25">
      <c r="A19" s="85"/>
      <c r="B19" s="8"/>
    </row>
    <row r="20" spans="1:2" x14ac:dyDescent="0.25">
      <c r="B20" s="8"/>
    </row>
    <row r="21" spans="1:2" x14ac:dyDescent="0.25">
      <c r="B21" s="8"/>
    </row>
    <row r="22" spans="1:2" x14ac:dyDescent="0.25">
      <c r="B22" s="8"/>
    </row>
    <row r="23" spans="1:2" x14ac:dyDescent="0.25">
      <c r="B23" s="8"/>
    </row>
    <row r="24" spans="1:2" x14ac:dyDescent="0.25">
      <c r="B24" s="8"/>
    </row>
    <row r="25" spans="1:2" x14ac:dyDescent="0.25">
      <c r="B25" s="8"/>
    </row>
  </sheetData>
  <mergeCells count="2">
    <mergeCell ref="A8:B8"/>
    <mergeCell ref="I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48C6A-2AF0-48AF-AB82-40339AB9B3F9}">
  <dimension ref="B1:AP64"/>
  <sheetViews>
    <sheetView zoomScaleNormal="100" workbookViewId="0">
      <selection activeCell="D3" sqref="D3:F3"/>
    </sheetView>
  </sheetViews>
  <sheetFormatPr baseColWidth="10" defaultRowHeight="15" x14ac:dyDescent="0.25"/>
  <cols>
    <col min="1" max="1" width="1.5703125" style="14" customWidth="1"/>
    <col min="2" max="2" width="5.140625" style="16" customWidth="1"/>
    <col min="3" max="3" width="5.42578125" style="17" customWidth="1"/>
    <col min="4" max="4" width="19.28515625" style="14" bestFit="1" customWidth="1"/>
    <col min="5" max="5" width="8.7109375" style="14" bestFit="1" customWidth="1"/>
    <col min="6" max="6" width="11.85546875" style="14" customWidth="1"/>
    <col min="7" max="7" width="3.5703125" style="14" customWidth="1"/>
    <col min="8" max="8" width="9" style="14" customWidth="1"/>
    <col min="9" max="9" width="8.140625" style="14" bestFit="1" customWidth="1"/>
    <col min="10" max="10" width="8.28515625" style="14" customWidth="1"/>
    <col min="11" max="11" width="10.85546875" style="14" customWidth="1"/>
    <col min="12" max="12" width="7.7109375" style="14" customWidth="1"/>
    <col min="13" max="13" width="7.42578125" style="14" customWidth="1"/>
    <col min="14" max="14" width="6.5703125" style="14" customWidth="1"/>
    <col min="15" max="15" width="9" style="14" bestFit="1" customWidth="1"/>
    <col min="16" max="16" width="7.5703125" style="14" customWidth="1"/>
    <col min="17" max="17" width="2.28515625" style="14" customWidth="1"/>
    <col min="18" max="18" width="7.5703125" style="14" customWidth="1"/>
    <col min="19" max="19" width="12.28515625" style="14" bestFit="1" customWidth="1"/>
    <col min="20" max="20" width="12" style="14" bestFit="1" customWidth="1"/>
    <col min="21" max="21" width="2.28515625" style="14" customWidth="1"/>
    <col min="22" max="22" width="5.42578125" style="14" customWidth="1"/>
    <col min="23" max="23" width="3.140625" style="14" customWidth="1"/>
    <col min="24" max="24" width="2.7109375" style="14" customWidth="1"/>
    <col min="25" max="25" width="5.28515625" style="14" customWidth="1"/>
    <col min="26" max="26" width="7.28515625" style="14" customWidth="1"/>
    <col min="27" max="27" width="4.85546875" style="14" customWidth="1"/>
    <col min="28" max="28" width="7.28515625" style="14" customWidth="1"/>
    <col min="29" max="29" width="2.28515625" style="14" customWidth="1"/>
    <col min="30" max="30" width="7.28515625" style="14" customWidth="1"/>
    <col min="31" max="31" width="8.7109375" style="14" bestFit="1" customWidth="1"/>
    <col min="32" max="32" width="7.28515625" style="14" customWidth="1"/>
    <col min="33" max="33" width="0.28515625" style="14" customWidth="1"/>
    <col min="34" max="34" width="6.7109375" style="14" customWidth="1"/>
    <col min="35" max="35" width="2.28515625" style="14" customWidth="1"/>
    <col min="36" max="36" width="6.7109375" style="14" customWidth="1"/>
    <col min="37" max="37" width="2.42578125" style="14" customWidth="1"/>
    <col min="38" max="38" width="6.7109375" style="14" customWidth="1"/>
    <col min="39" max="16384" width="11.42578125" style="14"/>
  </cols>
  <sheetData>
    <row r="1" spans="2:42" ht="17.25" customHeight="1" x14ac:dyDescent="0.25">
      <c r="B1" s="11" t="s">
        <v>73</v>
      </c>
      <c r="C1" s="12"/>
      <c r="D1" s="13" t="s">
        <v>74</v>
      </c>
      <c r="E1" s="13"/>
      <c r="F1" s="13"/>
      <c r="K1" s="15"/>
      <c r="L1" s="15"/>
      <c r="M1" s="15"/>
      <c r="N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</row>
    <row r="2" spans="2:42" ht="15.75" thickBot="1" x14ac:dyDescent="0.3">
      <c r="K2" s="17"/>
      <c r="M2" s="18"/>
      <c r="N2" s="18"/>
    </row>
    <row r="3" spans="2:42" ht="15.75" thickBot="1" x14ac:dyDescent="0.3">
      <c r="D3" s="183" t="s">
        <v>75</v>
      </c>
      <c r="E3" s="184"/>
      <c r="F3" s="185"/>
      <c r="K3" s="183" t="s">
        <v>75</v>
      </c>
      <c r="L3" s="184"/>
      <c r="M3" s="185"/>
    </row>
    <row r="4" spans="2:42" x14ac:dyDescent="0.25">
      <c r="D4" s="20" t="s">
        <v>31</v>
      </c>
      <c r="E4" s="21" t="s">
        <v>32</v>
      </c>
      <c r="F4" s="22"/>
      <c r="G4" s="186" t="s">
        <v>30</v>
      </c>
      <c r="H4" s="184"/>
      <c r="I4" s="185"/>
      <c r="K4" s="20" t="s">
        <v>31</v>
      </c>
      <c r="L4" s="21" t="s">
        <v>32</v>
      </c>
      <c r="M4" s="22"/>
      <c r="N4" s="186" t="s">
        <v>30</v>
      </c>
      <c r="O4" s="184"/>
      <c r="P4" s="185"/>
      <c r="T4" s="160" t="s">
        <v>33</v>
      </c>
      <c r="U4" s="162" t="s">
        <v>34</v>
      </c>
      <c r="V4" s="23" t="s">
        <v>35</v>
      </c>
      <c r="W4" s="23" t="s">
        <v>36</v>
      </c>
      <c r="X4" s="23" t="s">
        <v>37</v>
      </c>
      <c r="Y4" s="24"/>
      <c r="Z4" s="160" t="s">
        <v>38</v>
      </c>
      <c r="AA4" s="162" t="s">
        <v>34</v>
      </c>
      <c r="AB4" s="25" t="s">
        <v>39</v>
      </c>
      <c r="AC4" s="26"/>
      <c r="AD4" s="26"/>
      <c r="AE4" s="24"/>
      <c r="AF4" s="160" t="s">
        <v>40</v>
      </c>
      <c r="AG4" s="158" t="s">
        <v>34</v>
      </c>
      <c r="AH4" s="23" t="s">
        <v>38</v>
      </c>
      <c r="AI4" s="23" t="s">
        <v>36</v>
      </c>
      <c r="AJ4" s="23" t="s">
        <v>37</v>
      </c>
      <c r="AK4" s="27"/>
      <c r="AL4" s="160" t="s">
        <v>41</v>
      </c>
      <c r="AM4" s="162" t="s">
        <v>34</v>
      </c>
      <c r="AN4" s="25" t="str">
        <f>D8</f>
        <v>e</v>
      </c>
      <c r="AO4" s="26"/>
      <c r="AP4" s="28"/>
    </row>
    <row r="5" spans="2:42" x14ac:dyDescent="0.25">
      <c r="D5" s="29" t="s">
        <v>37</v>
      </c>
      <c r="E5" s="30">
        <v>12.7</v>
      </c>
      <c r="F5" s="31" t="s">
        <v>42</v>
      </c>
      <c r="G5" s="32" t="s">
        <v>39</v>
      </c>
      <c r="H5" s="33">
        <v>3.0000000000000001E-3</v>
      </c>
      <c r="I5" s="31" t="s">
        <v>43</v>
      </c>
      <c r="K5" s="29" t="s">
        <v>37</v>
      </c>
      <c r="L5" s="30">
        <v>12.7</v>
      </c>
      <c r="M5" s="31" t="s">
        <v>42</v>
      </c>
      <c r="N5" s="32" t="s">
        <v>39</v>
      </c>
      <c r="O5" s="33">
        <v>3.0000000000000001E-3</v>
      </c>
      <c r="P5" s="31" t="s">
        <v>43</v>
      </c>
      <c r="T5" s="161"/>
      <c r="U5" s="163"/>
      <c r="V5" s="159">
        <v>4</v>
      </c>
      <c r="W5" s="159"/>
      <c r="X5" s="159"/>
      <c r="Y5" s="35"/>
      <c r="Z5" s="161"/>
      <c r="AA5" s="163"/>
      <c r="AB5" s="34" t="s">
        <v>33</v>
      </c>
      <c r="AC5" s="36"/>
      <c r="AD5" s="36"/>
      <c r="AE5" s="35"/>
      <c r="AF5" s="161"/>
      <c r="AG5" s="159"/>
      <c r="AH5" s="159" t="s">
        <v>44</v>
      </c>
      <c r="AI5" s="159"/>
      <c r="AJ5" s="159"/>
      <c r="AK5" s="37"/>
      <c r="AL5" s="161"/>
      <c r="AM5" s="163"/>
      <c r="AN5" s="34" t="str">
        <f>D6</f>
        <v>D</v>
      </c>
      <c r="AO5" s="36"/>
      <c r="AP5" s="38"/>
    </row>
    <row r="6" spans="2:42" x14ac:dyDescent="0.25">
      <c r="D6" s="29" t="s">
        <v>37</v>
      </c>
      <c r="E6" s="30">
        <f>E5/1000</f>
        <v>1.2699999999999999E-2</v>
      </c>
      <c r="F6" s="31" t="s">
        <v>45</v>
      </c>
      <c r="G6" s="32" t="s">
        <v>39</v>
      </c>
      <c r="H6" s="33">
        <f>H5/1000</f>
        <v>3.0000000000000001E-6</v>
      </c>
      <c r="I6" s="31" t="s">
        <v>46</v>
      </c>
      <c r="K6" s="29" t="s">
        <v>37</v>
      </c>
      <c r="L6" s="30">
        <f>L5/1000</f>
        <v>1.2699999999999999E-2</v>
      </c>
      <c r="M6" s="31" t="s">
        <v>45</v>
      </c>
      <c r="N6" s="32" t="s">
        <v>39</v>
      </c>
      <c r="O6" s="33">
        <f>O5/1000</f>
        <v>3.0000000000000001E-6</v>
      </c>
      <c r="P6" s="31" t="s">
        <v>46</v>
      </c>
      <c r="T6" s="39"/>
      <c r="U6" s="16"/>
      <c r="V6" s="17"/>
      <c r="W6" s="17"/>
      <c r="X6" s="17"/>
      <c r="Y6" s="38"/>
      <c r="Z6" s="40"/>
      <c r="AE6" s="38"/>
      <c r="AF6" s="40"/>
      <c r="AG6" s="17"/>
      <c r="AK6" s="38"/>
      <c r="AL6" s="40"/>
      <c r="AP6" s="38"/>
    </row>
    <row r="7" spans="2:42" x14ac:dyDescent="0.25">
      <c r="D7" s="29" t="s">
        <v>47</v>
      </c>
      <c r="E7" s="30">
        <v>4.5</v>
      </c>
      <c r="F7" s="31" t="s">
        <v>45</v>
      </c>
      <c r="G7" s="32" t="s">
        <v>44</v>
      </c>
      <c r="H7" s="41">
        <v>1.004E-6</v>
      </c>
      <c r="I7" s="31" t="s">
        <v>48</v>
      </c>
      <c r="K7" s="29" t="s">
        <v>47</v>
      </c>
      <c r="L7" s="30">
        <v>4.5</v>
      </c>
      <c r="M7" s="31" t="s">
        <v>45</v>
      </c>
      <c r="N7" s="32" t="s">
        <v>44</v>
      </c>
      <c r="O7" s="41">
        <v>1.004E-6</v>
      </c>
      <c r="P7" s="31" t="s">
        <v>48</v>
      </c>
      <c r="T7" s="157" t="s">
        <v>33</v>
      </c>
      <c r="U7" s="156" t="s">
        <v>34</v>
      </c>
      <c r="V7" s="42" t="s">
        <v>35</v>
      </c>
      <c r="W7" s="42" t="s">
        <v>36</v>
      </c>
      <c r="X7" s="42">
        <f>E6</f>
        <v>1.2699999999999999E-2</v>
      </c>
      <c r="Y7" s="38"/>
      <c r="Z7" s="157" t="s">
        <v>38</v>
      </c>
      <c r="AA7" s="156" t="s">
        <v>34</v>
      </c>
      <c r="AB7" s="43">
        <f>H6</f>
        <v>3.0000000000000001E-6</v>
      </c>
      <c r="AE7" s="38"/>
      <c r="AF7" s="157" t="s">
        <v>40</v>
      </c>
      <c r="AG7" s="166" t="s">
        <v>34</v>
      </c>
      <c r="AH7" s="42">
        <f>AB9</f>
        <v>2.3E-2</v>
      </c>
      <c r="AI7" s="42" t="s">
        <v>36</v>
      </c>
      <c r="AJ7" s="42">
        <f>E6</f>
        <v>1.2699999999999999E-2</v>
      </c>
      <c r="AK7" s="38"/>
      <c r="AL7" s="157" t="s">
        <v>41</v>
      </c>
      <c r="AM7" s="156" t="s">
        <v>34</v>
      </c>
      <c r="AN7" s="43">
        <f>E8</f>
        <v>1.5E-3</v>
      </c>
      <c r="AO7" s="166" t="s">
        <v>42</v>
      </c>
      <c r="AP7" s="167"/>
    </row>
    <row r="8" spans="2:42" x14ac:dyDescent="0.25">
      <c r="B8" s="14"/>
      <c r="C8" s="14"/>
      <c r="D8" s="29" t="s">
        <v>49</v>
      </c>
      <c r="E8" s="30">
        <v>1.5E-3</v>
      </c>
      <c r="F8" s="31" t="s">
        <v>42</v>
      </c>
      <c r="G8" s="32" t="s">
        <v>70</v>
      </c>
      <c r="H8" s="33">
        <v>0.7</v>
      </c>
      <c r="I8" s="31" t="s">
        <v>72</v>
      </c>
      <c r="K8" s="29" t="s">
        <v>49</v>
      </c>
      <c r="L8" s="30">
        <v>1.5E-3</v>
      </c>
      <c r="M8" s="31" t="s">
        <v>42</v>
      </c>
      <c r="N8" s="32" t="s">
        <v>70</v>
      </c>
      <c r="O8" s="33">
        <v>0.7</v>
      </c>
      <c r="P8" s="31" t="s">
        <v>72</v>
      </c>
      <c r="T8" s="157"/>
      <c r="U8" s="156"/>
      <c r="V8" s="166">
        <v>4</v>
      </c>
      <c r="W8" s="166"/>
      <c r="X8" s="166"/>
      <c r="Y8" s="38"/>
      <c r="Z8" s="157"/>
      <c r="AA8" s="156"/>
      <c r="AB8" s="16">
        <f>V9</f>
        <v>1.2999999999999999E-4</v>
      </c>
      <c r="AE8" s="38"/>
      <c r="AF8" s="157"/>
      <c r="AG8" s="166"/>
      <c r="AH8" s="168">
        <f>H7</f>
        <v>1.004E-6</v>
      </c>
      <c r="AI8" s="166"/>
      <c r="AJ8" s="166"/>
      <c r="AK8" s="38"/>
      <c r="AL8" s="157"/>
      <c r="AM8" s="156"/>
      <c r="AN8" s="16">
        <f>E6*1000</f>
        <v>12.7</v>
      </c>
      <c r="AO8" s="156" t="s">
        <v>42</v>
      </c>
      <c r="AP8" s="169"/>
    </row>
    <row r="9" spans="2:42" ht="15.75" thickBot="1" x14ac:dyDescent="0.3">
      <c r="B9" s="14"/>
      <c r="C9" s="14"/>
      <c r="D9" s="45" t="s">
        <v>41</v>
      </c>
      <c r="E9" s="46">
        <f>E8/(E5)</f>
        <v>1.1811023622047246E-4</v>
      </c>
      <c r="F9" s="47" t="s">
        <v>50</v>
      </c>
      <c r="G9" s="48" t="s">
        <v>71</v>
      </c>
      <c r="H9" s="49">
        <v>4</v>
      </c>
      <c r="I9" s="50" t="s">
        <v>72</v>
      </c>
      <c r="K9" s="45" t="s">
        <v>41</v>
      </c>
      <c r="L9" s="46">
        <f>L8/(L5)</f>
        <v>1.1811023622047246E-4</v>
      </c>
      <c r="M9" s="47" t="s">
        <v>50</v>
      </c>
      <c r="N9" s="48" t="s">
        <v>71</v>
      </c>
      <c r="O9" s="49">
        <v>4</v>
      </c>
      <c r="P9" s="50" t="s">
        <v>72</v>
      </c>
      <c r="T9" s="51" t="s">
        <v>33</v>
      </c>
      <c r="U9" s="52" t="s">
        <v>34</v>
      </c>
      <c r="V9" s="170">
        <f>ROUND(PI()*(E6^2)/4,5)</f>
        <v>1.2999999999999999E-4</v>
      </c>
      <c r="W9" s="170"/>
      <c r="X9" s="52" t="s">
        <v>51</v>
      </c>
      <c r="Y9" s="53"/>
      <c r="Z9" s="54" t="s">
        <v>38</v>
      </c>
      <c r="AA9" s="52" t="s">
        <v>34</v>
      </c>
      <c r="AB9" s="55">
        <f>ROUND(AB7/AB8,3)</f>
        <v>2.3E-2</v>
      </c>
      <c r="AC9" s="170" t="s">
        <v>52</v>
      </c>
      <c r="AD9" s="170"/>
      <c r="AE9" s="53"/>
      <c r="AF9" s="56" t="s">
        <v>40</v>
      </c>
      <c r="AG9" s="57" t="s">
        <v>34</v>
      </c>
      <c r="AH9" s="171">
        <f>AB9*E6/H7</f>
        <v>290.9362549800797</v>
      </c>
      <c r="AI9" s="170"/>
      <c r="AJ9" s="170"/>
      <c r="AK9" s="53"/>
      <c r="AL9" s="56" t="s">
        <v>41</v>
      </c>
      <c r="AM9" s="57" t="s">
        <v>34</v>
      </c>
      <c r="AN9" s="57">
        <f>AN7/AN8</f>
        <v>1.1811023622047246E-4</v>
      </c>
      <c r="AO9" s="172"/>
      <c r="AP9" s="173"/>
    </row>
    <row r="11" spans="2:42" ht="15.75" thickBot="1" x14ac:dyDescent="0.3"/>
    <row r="12" spans="2:42" x14ac:dyDescent="0.25">
      <c r="D12" s="180" t="s">
        <v>80</v>
      </c>
      <c r="E12" s="181"/>
      <c r="F12" s="181"/>
      <c r="G12" s="181"/>
      <c r="H12" s="181"/>
      <c r="I12" s="181"/>
      <c r="J12" s="181"/>
      <c r="K12" s="181"/>
      <c r="L12" s="181"/>
      <c r="M12" s="76"/>
      <c r="N12" s="77"/>
      <c r="O12" s="77"/>
      <c r="P12" s="77"/>
      <c r="Q12" s="77"/>
      <c r="R12" s="77"/>
      <c r="S12" s="77"/>
      <c r="T12" s="77"/>
      <c r="U12" s="77"/>
      <c r="V12" s="77"/>
    </row>
    <row r="13" spans="2:42" x14ac:dyDescent="0.25">
      <c r="D13" s="78" t="s">
        <v>56</v>
      </c>
      <c r="E13" s="59" t="s">
        <v>34</v>
      </c>
      <c r="F13" s="74">
        <f>L13</f>
        <v>3.4392833923282523E-4</v>
      </c>
      <c r="G13" s="59" t="s">
        <v>72</v>
      </c>
      <c r="H13" s="59"/>
      <c r="I13" s="59"/>
      <c r="J13" s="59"/>
      <c r="K13" s="59"/>
      <c r="L13" s="19">
        <f>F14*(E7/E6)*(AB9^2/19.62)</f>
        <v>3.4392833923282523E-4</v>
      </c>
      <c r="M13" s="60"/>
      <c r="N13" s="59"/>
      <c r="O13" s="59"/>
      <c r="P13" s="59"/>
      <c r="Q13" s="59"/>
      <c r="R13" s="59"/>
      <c r="S13" s="59"/>
      <c r="T13" s="59"/>
      <c r="U13" s="59"/>
      <c r="V13" s="59"/>
    </row>
    <row r="14" spans="2:42" x14ac:dyDescent="0.25">
      <c r="D14" s="58" t="s">
        <v>79</v>
      </c>
      <c r="E14" s="59" t="s">
        <v>34</v>
      </c>
      <c r="F14" s="73">
        <v>3.5999999999999997E-2</v>
      </c>
      <c r="G14" s="73" t="s">
        <v>72</v>
      </c>
      <c r="H14" s="59"/>
      <c r="I14" s="59"/>
      <c r="J14" s="59"/>
      <c r="K14" s="59"/>
      <c r="L14" s="59"/>
      <c r="M14" s="60"/>
      <c r="N14" s="59"/>
      <c r="O14" s="59"/>
      <c r="P14" s="59"/>
      <c r="Q14" s="59"/>
      <c r="R14" s="59"/>
      <c r="S14" s="59"/>
      <c r="T14" s="59"/>
      <c r="U14" s="59"/>
      <c r="V14" s="59"/>
    </row>
    <row r="15" spans="2:42" ht="15.75" thickBot="1" x14ac:dyDescent="0.3">
      <c r="D15" s="79"/>
      <c r="E15" s="63"/>
      <c r="F15" s="63"/>
      <c r="G15" s="63"/>
      <c r="H15" s="63"/>
      <c r="I15" s="63"/>
      <c r="J15" s="63"/>
      <c r="K15" s="63"/>
      <c r="L15" s="63"/>
      <c r="M15" s="64"/>
      <c r="N15" s="19"/>
      <c r="O15" s="19"/>
      <c r="P15" s="19"/>
      <c r="Q15" s="19"/>
      <c r="R15" s="19"/>
      <c r="S15" s="19"/>
      <c r="T15" s="19"/>
    </row>
    <row r="16" spans="2:42" x14ac:dyDescent="0.25">
      <c r="D16" s="180" t="s">
        <v>81</v>
      </c>
      <c r="E16" s="181"/>
      <c r="F16" s="181"/>
      <c r="G16" s="181"/>
      <c r="H16" s="181"/>
      <c r="I16" s="181"/>
      <c r="J16" s="181"/>
      <c r="K16" s="181"/>
      <c r="L16" s="181"/>
      <c r="M16" s="76"/>
      <c r="N16" s="19"/>
      <c r="O16" s="19"/>
      <c r="P16" s="19"/>
      <c r="Q16" s="19"/>
      <c r="R16" s="19"/>
      <c r="S16" s="19"/>
      <c r="T16" s="19"/>
    </row>
    <row r="17" spans="2:22" x14ac:dyDescent="0.25">
      <c r="D17" s="80" t="s">
        <v>64</v>
      </c>
      <c r="E17" s="17" t="s">
        <v>34</v>
      </c>
      <c r="F17" s="17">
        <f>ROUND(I21*AB9^2/19.62,3)</f>
        <v>0</v>
      </c>
      <c r="G17" s="19" t="s">
        <v>72</v>
      </c>
      <c r="H17" s="179" t="s">
        <v>82</v>
      </c>
      <c r="I17" s="166"/>
      <c r="J17" s="166"/>
      <c r="K17" s="166"/>
      <c r="L17" s="166"/>
      <c r="M17" s="61"/>
      <c r="N17" s="19"/>
      <c r="O17" s="19"/>
      <c r="P17" s="19"/>
      <c r="Q17" s="19"/>
      <c r="R17" s="19"/>
      <c r="S17" s="19"/>
      <c r="T17" s="19"/>
    </row>
    <row r="18" spans="2:22" x14ac:dyDescent="0.25">
      <c r="D18" s="75"/>
      <c r="E18" s="19"/>
      <c r="F18" s="19"/>
      <c r="G18" s="19"/>
      <c r="H18" s="70" t="s">
        <v>66</v>
      </c>
      <c r="I18" s="17">
        <v>0.9</v>
      </c>
      <c r="L18" s="17"/>
      <c r="M18" s="61"/>
      <c r="N18" s="19"/>
      <c r="O18" s="19"/>
      <c r="P18" s="19"/>
      <c r="Q18" s="19"/>
      <c r="R18" s="19"/>
      <c r="S18" s="19"/>
      <c r="T18" s="19"/>
    </row>
    <row r="19" spans="2:22" x14ac:dyDescent="0.25">
      <c r="D19" s="75"/>
      <c r="E19" s="19"/>
      <c r="F19" s="19"/>
      <c r="G19" s="19"/>
      <c r="H19" s="70" t="s">
        <v>67</v>
      </c>
      <c r="I19" s="17">
        <v>0.24</v>
      </c>
      <c r="L19" s="17"/>
      <c r="M19" s="61"/>
      <c r="N19" s="19"/>
      <c r="O19" s="19"/>
      <c r="P19" s="19"/>
      <c r="Q19" s="19"/>
      <c r="R19" s="19"/>
      <c r="S19" s="19"/>
      <c r="T19" s="19"/>
      <c r="U19" s="19"/>
      <c r="V19" s="19"/>
    </row>
    <row r="20" spans="2:22" x14ac:dyDescent="0.25">
      <c r="D20" s="75"/>
      <c r="E20" s="19"/>
      <c r="F20" s="19"/>
      <c r="G20" s="19"/>
      <c r="H20" s="70" t="s">
        <v>68</v>
      </c>
      <c r="I20" s="17">
        <v>2.75</v>
      </c>
      <c r="L20" s="17"/>
      <c r="M20" s="61"/>
      <c r="N20" s="19"/>
      <c r="O20" s="19"/>
      <c r="P20" s="19"/>
      <c r="Q20" s="164" t="s">
        <v>53</v>
      </c>
      <c r="R20" s="164"/>
      <c r="S20" s="33" t="s">
        <v>54</v>
      </c>
      <c r="T20" s="164" t="s">
        <v>55</v>
      </c>
      <c r="U20" s="164"/>
      <c r="V20" s="19"/>
    </row>
    <row r="21" spans="2:22" ht="15.75" thickBot="1" x14ac:dyDescent="0.3">
      <c r="D21" s="79"/>
      <c r="E21" s="63"/>
      <c r="F21" s="63"/>
      <c r="G21" s="63"/>
      <c r="H21" s="81" t="s">
        <v>69</v>
      </c>
      <c r="I21" s="57">
        <f>SUM(I18:I20)+J18</f>
        <v>3.89</v>
      </c>
      <c r="J21" s="62"/>
      <c r="K21" s="62"/>
      <c r="L21" s="62"/>
      <c r="M21" s="64"/>
      <c r="N21" s="19"/>
      <c r="O21" s="19"/>
      <c r="P21" s="19"/>
      <c r="Q21" s="164">
        <v>0.02</v>
      </c>
      <c r="R21" s="164"/>
      <c r="S21" s="33">
        <f>1/(Q21)^(1/2)</f>
        <v>7.0710678118654755</v>
      </c>
      <c r="T21" s="165">
        <f>-2*LOG(($AN$9/3.7)+2.51/($AH$9*(Q21)^(1/2)))</f>
        <v>2.4288238543007816</v>
      </c>
      <c r="U21" s="165"/>
      <c r="V21" s="19"/>
    </row>
    <row r="22" spans="2:22" x14ac:dyDescent="0.25">
      <c r="D22" s="180" t="s">
        <v>86</v>
      </c>
      <c r="E22" s="181"/>
      <c r="F22" s="181"/>
      <c r="G22" s="181"/>
      <c r="H22" s="181"/>
      <c r="I22" s="181"/>
      <c r="J22" s="181"/>
      <c r="K22" s="181"/>
      <c r="L22" s="181"/>
      <c r="M22" s="76"/>
      <c r="Q22" s="164">
        <v>1.2999999999999999E-2</v>
      </c>
      <c r="R22" s="164"/>
      <c r="S22" s="33">
        <f>1/(Q22)^(1/2)</f>
        <v>8.7705801930702929</v>
      </c>
      <c r="T22" s="165">
        <f>-2*LOG(($AN$9/3.7)+2.51/($AH$9*(Q22)^(1/2)))</f>
        <v>2.2418252408144301</v>
      </c>
      <c r="U22" s="165"/>
    </row>
    <row r="23" spans="2:22" ht="15.75" thickBot="1" x14ac:dyDescent="0.3">
      <c r="D23" s="56" t="s">
        <v>65</v>
      </c>
      <c r="E23" s="57" t="s">
        <v>34</v>
      </c>
      <c r="F23" s="57">
        <f>SUM(F13+F17)</f>
        <v>3.4392833923282523E-4</v>
      </c>
      <c r="G23" s="62"/>
      <c r="H23" s="62"/>
      <c r="I23" s="62"/>
      <c r="J23" s="62"/>
      <c r="K23" s="62"/>
      <c r="L23" s="62"/>
      <c r="M23" s="53"/>
      <c r="Q23" s="176">
        <v>1.7399999999999999E-2</v>
      </c>
      <c r="R23" s="176"/>
      <c r="S23" s="65">
        <f>1/(Q23)^(1/2)</f>
        <v>7.5809804357890336</v>
      </c>
      <c r="T23" s="177">
        <f>-2*LOG(($AN$9/3.7)+2.51/($AH$9*(Q23)^(1/2)))</f>
        <v>2.3683736624672664</v>
      </c>
      <c r="U23" s="177"/>
    </row>
    <row r="24" spans="2:22" x14ac:dyDescent="0.25">
      <c r="D24" s="180" t="s">
        <v>87</v>
      </c>
      <c r="E24" s="181"/>
      <c r="F24" s="181"/>
      <c r="G24" s="181"/>
      <c r="H24" s="181"/>
      <c r="I24" s="181"/>
      <c r="J24" s="181"/>
      <c r="K24" s="181"/>
      <c r="L24" s="181"/>
      <c r="M24" s="76"/>
      <c r="Q24" s="178">
        <v>3.5999999999999997E-2</v>
      </c>
      <c r="R24" s="178"/>
      <c r="S24" s="66">
        <f>1/(Q24)^(1/2)</f>
        <v>5.2704627669472996</v>
      </c>
      <c r="T24" s="175">
        <f>-2*LOG(($AN$9/3.7)+2.51/($AH$9*(Q24)^(1/2)))</f>
        <v>2.6839411768251837</v>
      </c>
      <c r="U24" s="175"/>
    </row>
    <row r="25" spans="2:22" x14ac:dyDescent="0.25">
      <c r="D25" s="80" t="s">
        <v>76</v>
      </c>
      <c r="E25" s="17" t="s">
        <v>34</v>
      </c>
      <c r="F25" s="17">
        <v>9810</v>
      </c>
      <c r="G25" s="166" t="s">
        <v>57</v>
      </c>
      <c r="H25" s="166"/>
      <c r="I25" s="166" t="s">
        <v>58</v>
      </c>
      <c r="J25" s="166"/>
      <c r="K25" s="166"/>
      <c r="L25" s="166"/>
      <c r="M25" s="38"/>
    </row>
    <row r="26" spans="2:22" x14ac:dyDescent="0.25">
      <c r="D26" s="80" t="s">
        <v>59</v>
      </c>
      <c r="E26" s="17" t="s">
        <v>34</v>
      </c>
      <c r="F26" s="17">
        <f>H6</f>
        <v>3.0000000000000001E-6</v>
      </c>
      <c r="G26" s="166" t="s">
        <v>46</v>
      </c>
      <c r="H26" s="166"/>
      <c r="I26" s="166" t="s">
        <v>60</v>
      </c>
      <c r="J26" s="166"/>
      <c r="K26" s="166"/>
      <c r="L26" s="166"/>
      <c r="M26" s="38"/>
    </row>
    <row r="27" spans="2:22" x14ac:dyDescent="0.25">
      <c r="D27" s="82" t="s">
        <v>83</v>
      </c>
      <c r="E27" s="17" t="s">
        <v>34</v>
      </c>
      <c r="F27" s="17">
        <f>H9-H8</f>
        <v>3.3</v>
      </c>
      <c r="G27" s="166" t="s">
        <v>45</v>
      </c>
      <c r="H27" s="166"/>
      <c r="M27" s="38"/>
    </row>
    <row r="28" spans="2:22" ht="15.75" thickBot="1" x14ac:dyDescent="0.3">
      <c r="B28" s="67"/>
      <c r="C28" s="67"/>
      <c r="D28" s="56" t="s">
        <v>77</v>
      </c>
      <c r="E28" s="57" t="s">
        <v>34</v>
      </c>
      <c r="F28" s="57">
        <f>F27+S30+F23</f>
        <v>3.3003439283392328</v>
      </c>
      <c r="G28" s="182" t="s">
        <v>45</v>
      </c>
      <c r="H28" s="182"/>
      <c r="I28" s="182" t="s">
        <v>61</v>
      </c>
      <c r="J28" s="182"/>
      <c r="K28" s="182"/>
      <c r="L28" s="182"/>
      <c r="M28" s="53"/>
      <c r="S28" s="67"/>
      <c r="T28" s="67"/>
    </row>
    <row r="29" spans="2:22" x14ac:dyDescent="0.25">
      <c r="B29" s="67"/>
      <c r="C29" s="67"/>
      <c r="D29" s="180" t="s">
        <v>87</v>
      </c>
      <c r="E29" s="181"/>
      <c r="F29" s="181"/>
      <c r="G29" s="181"/>
      <c r="H29" s="181"/>
      <c r="I29" s="181"/>
      <c r="J29" s="181"/>
      <c r="K29" s="181"/>
      <c r="L29" s="181"/>
      <c r="M29" s="76"/>
      <c r="S29" s="67"/>
      <c r="T29" s="67"/>
    </row>
    <row r="30" spans="2:22" x14ac:dyDescent="0.25">
      <c r="B30" s="67"/>
      <c r="C30" s="67"/>
      <c r="D30" s="80" t="s">
        <v>84</v>
      </c>
      <c r="E30" s="17" t="s">
        <v>34</v>
      </c>
      <c r="F30" s="69">
        <v>0.75</v>
      </c>
      <c r="G30" s="17"/>
      <c r="M30" s="38"/>
      <c r="Q30" s="72" t="s">
        <v>63</v>
      </c>
      <c r="R30" s="17" t="s">
        <v>34</v>
      </c>
      <c r="S30" s="71">
        <f>ROUND(AB9^2/(2*8.91),3)</f>
        <v>0</v>
      </c>
      <c r="T30" s="67"/>
    </row>
    <row r="31" spans="2:22" ht="15.75" thickBot="1" x14ac:dyDescent="0.3">
      <c r="B31" s="67"/>
      <c r="C31" s="67"/>
      <c r="D31" s="56" t="s">
        <v>85</v>
      </c>
      <c r="E31" s="57" t="s">
        <v>34</v>
      </c>
      <c r="F31" s="57">
        <f>F25*F26*F28/F30</f>
        <v>0.1295054957480315</v>
      </c>
      <c r="G31" s="182" t="s">
        <v>62</v>
      </c>
      <c r="H31" s="182"/>
      <c r="I31" s="182"/>
      <c r="J31" s="182"/>
      <c r="K31" s="182"/>
      <c r="L31" s="182"/>
      <c r="M31" s="53"/>
      <c r="Q31" s="68" t="s">
        <v>78</v>
      </c>
      <c r="R31" s="17" t="s">
        <v>34</v>
      </c>
      <c r="S31" s="17">
        <f>F13</f>
        <v>3.4392833923282523E-4</v>
      </c>
      <c r="T31" s="67"/>
    </row>
    <row r="32" spans="2:22" x14ac:dyDescent="0.25">
      <c r="B32" s="67"/>
      <c r="C32" s="67"/>
      <c r="I32" s="166"/>
      <c r="J32" s="166"/>
      <c r="K32" s="166"/>
      <c r="L32" s="166"/>
      <c r="S32" s="67"/>
      <c r="T32" s="67"/>
    </row>
    <row r="33" spans="2:24" x14ac:dyDescent="0.25">
      <c r="B33" s="67"/>
      <c r="C33" s="67"/>
      <c r="S33" s="67"/>
      <c r="T33" s="67"/>
    </row>
    <row r="34" spans="2:24" x14ac:dyDescent="0.25">
      <c r="B34" s="67"/>
      <c r="C34" s="67"/>
      <c r="S34" s="67"/>
      <c r="T34" s="67"/>
    </row>
    <row r="35" spans="2:24" x14ac:dyDescent="0.25">
      <c r="B35" s="67"/>
      <c r="C35" s="67"/>
      <c r="S35" s="67"/>
      <c r="T35" s="67"/>
    </row>
    <row r="36" spans="2:24" x14ac:dyDescent="0.25">
      <c r="B36" s="67"/>
      <c r="C36" s="67"/>
      <c r="S36" s="67"/>
      <c r="T36" s="67"/>
    </row>
    <row r="37" spans="2:24" ht="42" customHeight="1" x14ac:dyDescent="0.25">
      <c r="B37" s="67"/>
      <c r="C37" s="14"/>
      <c r="S37" s="67"/>
      <c r="T37" s="67"/>
    </row>
    <row r="38" spans="2:24" x14ac:dyDescent="0.25">
      <c r="B38" s="14"/>
      <c r="C38" s="14"/>
    </row>
    <row r="39" spans="2:24" x14ac:dyDescent="0.25">
      <c r="B39" s="14"/>
      <c r="C39" s="14"/>
    </row>
    <row r="40" spans="2:24" x14ac:dyDescent="0.25">
      <c r="B40" s="14"/>
      <c r="C40" s="14"/>
      <c r="J40" s="17"/>
      <c r="K40" s="17"/>
      <c r="P40" s="17"/>
      <c r="Q40" s="168"/>
      <c r="R40" s="168"/>
    </row>
    <row r="41" spans="2:24" x14ac:dyDescent="0.25">
      <c r="B41" s="14"/>
      <c r="C41" s="14"/>
      <c r="J41" s="17"/>
      <c r="K41" s="17"/>
      <c r="P41" s="17"/>
      <c r="Q41" s="44"/>
      <c r="R41" s="44"/>
    </row>
    <row r="42" spans="2:24" x14ac:dyDescent="0.25">
      <c r="B42" s="14"/>
      <c r="C42" s="14"/>
      <c r="J42" s="17"/>
      <c r="K42" s="17"/>
      <c r="P42" s="17"/>
      <c r="Q42" s="44"/>
      <c r="R42" s="44"/>
    </row>
    <row r="43" spans="2:24" x14ac:dyDescent="0.25">
      <c r="B43" s="14"/>
      <c r="C43" s="14"/>
      <c r="P43" s="17"/>
      <c r="Q43" s="166"/>
      <c r="R43" s="166"/>
    </row>
    <row r="44" spans="2:24" hidden="1" x14ac:dyDescent="0.25">
      <c r="B44" s="14"/>
      <c r="C44" s="14"/>
      <c r="R44" s="14">
        <f>F31/1000</f>
        <v>1.2950549574803149E-4</v>
      </c>
      <c r="T44" s="14">
        <f>F31*0.75</f>
        <v>9.7129121811023622E-2</v>
      </c>
      <c r="X44" s="14">
        <f>F25*F26*F28</f>
        <v>9.7129121811023622E-2</v>
      </c>
    </row>
    <row r="45" spans="2:24" x14ac:dyDescent="0.25">
      <c r="B45" s="14"/>
      <c r="C45" s="14"/>
    </row>
    <row r="46" spans="2:24" x14ac:dyDescent="0.25">
      <c r="B46" s="14"/>
      <c r="C46" s="14"/>
    </row>
    <row r="47" spans="2:24" x14ac:dyDescent="0.25">
      <c r="B47" s="14"/>
      <c r="C47" s="14"/>
    </row>
    <row r="48" spans="2:24" x14ac:dyDescent="0.25">
      <c r="B48" s="14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</row>
    <row r="49" spans="2:17" x14ac:dyDescent="0.25">
      <c r="B49" s="14"/>
      <c r="C49" s="166"/>
      <c r="D49" s="166"/>
      <c r="E49" s="166"/>
      <c r="F49" s="166"/>
      <c r="G49" s="17"/>
      <c r="H49" s="17"/>
      <c r="I49" s="17"/>
      <c r="O49" s="17"/>
      <c r="P49" s="17"/>
      <c r="Q49" s="17"/>
    </row>
    <row r="50" spans="2:17" x14ac:dyDescent="0.25">
      <c r="B50" s="14"/>
      <c r="C50" s="14"/>
      <c r="N50" s="17"/>
      <c r="O50" s="17"/>
      <c r="P50" s="17"/>
      <c r="Q50" s="17"/>
    </row>
    <row r="51" spans="2:17" x14ac:dyDescent="0.25">
      <c r="B51" s="14"/>
      <c r="C51" s="14"/>
      <c r="O51" s="17"/>
      <c r="P51" s="17"/>
      <c r="Q51" s="17"/>
    </row>
    <row r="52" spans="2:17" x14ac:dyDescent="0.25">
      <c r="B52" s="14"/>
      <c r="C52" s="14"/>
      <c r="O52" s="17"/>
      <c r="P52" s="17"/>
      <c r="Q52" s="17"/>
    </row>
    <row r="53" spans="2:17" x14ac:dyDescent="0.25">
      <c r="B53" s="14"/>
      <c r="C53" s="14"/>
      <c r="O53" s="17"/>
      <c r="P53" s="17"/>
      <c r="Q53" s="17"/>
    </row>
    <row r="54" spans="2:17" x14ac:dyDescent="0.25">
      <c r="B54" s="14"/>
      <c r="C54" s="14"/>
      <c r="O54" s="17"/>
      <c r="P54" s="17"/>
      <c r="Q54" s="17"/>
    </row>
    <row r="55" spans="2:17" x14ac:dyDescent="0.25">
      <c r="B55" s="14"/>
      <c r="D55" s="17"/>
      <c r="E55" s="17"/>
      <c r="F55" s="166"/>
      <c r="G55" s="166"/>
      <c r="H55" s="166"/>
      <c r="I55" s="166"/>
      <c r="J55" s="166"/>
      <c r="K55" s="166"/>
      <c r="O55" s="17"/>
      <c r="P55" s="17"/>
      <c r="Q55" s="17"/>
    </row>
    <row r="56" spans="2:17" x14ac:dyDescent="0.25">
      <c r="B56" s="14"/>
      <c r="C56" s="14"/>
      <c r="F56" s="17"/>
      <c r="K56" s="17"/>
      <c r="L56" s="17"/>
      <c r="M56" s="17"/>
      <c r="O56" s="17"/>
      <c r="P56" s="17"/>
      <c r="Q56" s="17"/>
    </row>
    <row r="57" spans="2:17" x14ac:dyDescent="0.25">
      <c r="B57" s="14"/>
      <c r="D57" s="17"/>
      <c r="E57" s="17"/>
      <c r="F57" s="17"/>
      <c r="K57" s="17"/>
      <c r="L57" s="17"/>
      <c r="M57" s="17"/>
      <c r="O57" s="17"/>
      <c r="P57" s="17"/>
      <c r="Q57" s="17"/>
    </row>
    <row r="58" spans="2:17" x14ac:dyDescent="0.25">
      <c r="B58" s="14"/>
      <c r="D58" s="17"/>
      <c r="E58" s="17"/>
      <c r="F58" s="17"/>
      <c r="K58" s="17"/>
      <c r="L58" s="17"/>
      <c r="M58" s="17"/>
      <c r="O58" s="17"/>
      <c r="P58" s="17"/>
      <c r="Q58" s="17"/>
    </row>
    <row r="59" spans="2:17" x14ac:dyDescent="0.25">
      <c r="I59" s="17"/>
      <c r="K59" s="166"/>
      <c r="L59" s="166"/>
      <c r="M59" s="166"/>
      <c r="O59" s="17"/>
      <c r="P59" s="17"/>
      <c r="Q59" s="17"/>
    </row>
    <row r="60" spans="2:17" x14ac:dyDescent="0.25">
      <c r="I60" s="17"/>
      <c r="K60" s="166"/>
      <c r="L60" s="166"/>
      <c r="M60" s="166"/>
      <c r="O60" s="17"/>
      <c r="P60" s="83"/>
      <c r="Q60" s="84"/>
    </row>
    <row r="61" spans="2:17" x14ac:dyDescent="0.25">
      <c r="I61" s="17"/>
      <c r="K61" s="166"/>
      <c r="L61" s="166"/>
      <c r="M61" s="166"/>
      <c r="O61" s="17"/>
    </row>
    <row r="62" spans="2:17" x14ac:dyDescent="0.25">
      <c r="C62" s="14"/>
      <c r="I62" s="17"/>
      <c r="K62" s="166"/>
      <c r="L62" s="166"/>
      <c r="M62" s="166"/>
      <c r="O62" s="17"/>
    </row>
    <row r="63" spans="2:17" x14ac:dyDescent="0.25">
      <c r="I63" s="17"/>
      <c r="K63" s="17"/>
      <c r="L63" s="17"/>
      <c r="M63" s="17"/>
      <c r="O63" s="17"/>
    </row>
    <row r="64" spans="2:17" x14ac:dyDescent="0.25">
      <c r="C64" s="14"/>
      <c r="O64" s="17"/>
      <c r="P64" s="166"/>
      <c r="Q64" s="166"/>
    </row>
  </sheetData>
  <mergeCells count="67">
    <mergeCell ref="D3:F3"/>
    <mergeCell ref="D12:L12"/>
    <mergeCell ref="D16:L16"/>
    <mergeCell ref="D22:L22"/>
    <mergeCell ref="Q43:R43"/>
    <mergeCell ref="G4:I4"/>
    <mergeCell ref="G27:H27"/>
    <mergeCell ref="D24:L24"/>
    <mergeCell ref="I26:L26"/>
    <mergeCell ref="G28:H28"/>
    <mergeCell ref="I28:L28"/>
    <mergeCell ref="Q20:R20"/>
    <mergeCell ref="K3:M3"/>
    <mergeCell ref="N4:P4"/>
    <mergeCell ref="K60:M60"/>
    <mergeCell ref="K61:M61"/>
    <mergeCell ref="K62:M62"/>
    <mergeCell ref="H17:L17"/>
    <mergeCell ref="P64:Q64"/>
    <mergeCell ref="Q40:R40"/>
    <mergeCell ref="D29:L29"/>
    <mergeCell ref="I31:L31"/>
    <mergeCell ref="G31:H31"/>
    <mergeCell ref="I32:L32"/>
    <mergeCell ref="F55:G55"/>
    <mergeCell ref="H55:K55"/>
    <mergeCell ref="K59:M59"/>
    <mergeCell ref="G25:H25"/>
    <mergeCell ref="I25:L25"/>
    <mergeCell ref="G26:H26"/>
    <mergeCell ref="C48:Q48"/>
    <mergeCell ref="C49:F49"/>
    <mergeCell ref="T24:U24"/>
    <mergeCell ref="Q22:R22"/>
    <mergeCell ref="T22:U22"/>
    <mergeCell ref="Q23:R23"/>
    <mergeCell ref="T23:U23"/>
    <mergeCell ref="Q24:R24"/>
    <mergeCell ref="T20:U20"/>
    <mergeCell ref="Q21:R21"/>
    <mergeCell ref="T21:U21"/>
    <mergeCell ref="AO7:AP7"/>
    <mergeCell ref="V8:X8"/>
    <mergeCell ref="AH8:AJ8"/>
    <mergeCell ref="AO8:AP8"/>
    <mergeCell ref="V9:W9"/>
    <mergeCell ref="AC9:AD9"/>
    <mergeCell ref="AH9:AJ9"/>
    <mergeCell ref="AO9:AP9"/>
    <mergeCell ref="Z7:Z8"/>
    <mergeCell ref="AA7:AA8"/>
    <mergeCell ref="AF7:AF8"/>
    <mergeCell ref="AG7:AG8"/>
    <mergeCell ref="AL7:AL8"/>
    <mergeCell ref="AM7:AM8"/>
    <mergeCell ref="T7:T8"/>
    <mergeCell ref="U7:U8"/>
    <mergeCell ref="AG4:AG5"/>
    <mergeCell ref="AL4:AL5"/>
    <mergeCell ref="AM4:AM5"/>
    <mergeCell ref="V5:X5"/>
    <mergeCell ref="AH5:AJ5"/>
    <mergeCell ref="T4:T5"/>
    <mergeCell ref="U4:U5"/>
    <mergeCell ref="Z4:Z5"/>
    <mergeCell ref="AA4:AA5"/>
    <mergeCell ref="AF4:AF5"/>
  </mergeCells>
  <pageMargins left="0.7" right="0.7" top="0.75" bottom="0.75" header="0.3" footer="0.3"/>
  <pageSetup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EDC21-DD20-4FE0-8BFB-8A360BE4CAEC}">
  <dimension ref="B1:BM64"/>
  <sheetViews>
    <sheetView zoomScaleNormal="100" workbookViewId="0">
      <selection activeCell="AL31" sqref="AL31"/>
    </sheetView>
  </sheetViews>
  <sheetFormatPr baseColWidth="10" defaultRowHeight="15" x14ac:dyDescent="0.25"/>
  <cols>
    <col min="1" max="1" width="1.5703125" style="14" customWidth="1"/>
    <col min="2" max="2" width="5.140625" style="16" customWidth="1"/>
    <col min="3" max="3" width="5.42578125" style="17" customWidth="1"/>
    <col min="4" max="4" width="19.28515625" style="14" bestFit="1" customWidth="1"/>
    <col min="5" max="5" width="8.7109375" style="14" bestFit="1" customWidth="1"/>
    <col min="6" max="6" width="11.85546875" style="14" customWidth="1"/>
    <col min="7" max="7" width="3.5703125" style="14" customWidth="1"/>
    <col min="8" max="8" width="9" style="14" customWidth="1"/>
    <col min="9" max="9" width="8.140625" style="14" bestFit="1" customWidth="1"/>
    <col min="10" max="10" width="8.28515625" style="14" customWidth="1"/>
    <col min="11" max="11" width="7.5703125" style="14" customWidth="1"/>
    <col min="12" max="12" width="6" style="14" customWidth="1"/>
    <col min="13" max="13" width="11.140625" style="14" customWidth="1"/>
    <col min="14" max="14" width="6.5703125" style="14" customWidth="1"/>
    <col min="15" max="15" width="9" style="14" bestFit="1" customWidth="1"/>
    <col min="16" max="16" width="7.5703125" style="14" customWidth="1"/>
    <col min="17" max="17" width="2.28515625" style="14" customWidth="1"/>
    <col min="18" max="18" width="7.5703125" style="14" customWidth="1"/>
    <col min="19" max="19" width="12.28515625" style="14" bestFit="1" customWidth="1"/>
    <col min="20" max="20" width="12" style="14" bestFit="1" customWidth="1"/>
    <col min="21" max="21" width="2.28515625" style="14" customWidth="1"/>
    <col min="22" max="22" width="5.42578125" style="14" customWidth="1"/>
    <col min="23" max="23" width="3.140625" style="14" customWidth="1"/>
    <col min="24" max="24" width="2.7109375" style="14" customWidth="1"/>
    <col min="25" max="25" width="5.28515625" style="14" customWidth="1"/>
    <col min="26" max="26" width="7.28515625" style="14" customWidth="1"/>
    <col min="27" max="27" width="4.85546875" style="14" customWidth="1"/>
    <col min="28" max="28" width="7.28515625" style="14" customWidth="1"/>
    <col min="29" max="29" width="2.28515625" style="14" customWidth="1"/>
    <col min="30" max="30" width="7.28515625" style="14" customWidth="1"/>
    <col min="31" max="31" width="8.7109375" style="14" bestFit="1" customWidth="1"/>
    <col min="32" max="32" width="7.28515625" style="14" customWidth="1"/>
    <col min="33" max="33" width="0.28515625" style="14" customWidth="1"/>
    <col min="34" max="34" width="6.7109375" style="14" customWidth="1"/>
    <col min="35" max="35" width="2.28515625" style="14" customWidth="1"/>
    <col min="36" max="36" width="20.28515625" style="14" customWidth="1"/>
    <col min="37" max="37" width="7.5703125" style="14" customWidth="1"/>
    <col min="38" max="38" width="13.28515625" style="14" customWidth="1"/>
    <col min="39" max="42" width="11.42578125" style="14"/>
    <col min="43" max="43" width="6.42578125" style="14" customWidth="1"/>
    <col min="44" max="44" width="6.5703125" style="14" customWidth="1"/>
    <col min="45" max="45" width="6.7109375" style="14" customWidth="1"/>
    <col min="46" max="46" width="6.42578125" style="14" customWidth="1"/>
    <col min="47" max="47" width="4" style="14" customWidth="1"/>
    <col min="48" max="48" width="11.42578125" style="14"/>
    <col min="49" max="49" width="6.85546875" style="14" customWidth="1"/>
    <col min="50" max="50" width="6" style="14" customWidth="1"/>
    <col min="51" max="51" width="11.42578125" style="14"/>
    <col min="52" max="52" width="3.140625" style="14" customWidth="1"/>
    <col min="53" max="53" width="8" style="14" customWidth="1"/>
    <col min="54" max="54" width="4.5703125" style="14" customWidth="1"/>
    <col min="55" max="55" width="7" style="14" customWidth="1"/>
    <col min="56" max="56" width="5.5703125" style="14" customWidth="1"/>
    <col min="57" max="57" width="7.5703125" style="14" customWidth="1"/>
    <col min="58" max="58" width="8.140625" style="14" customWidth="1"/>
    <col min="59" max="59" width="6.28515625" style="14" customWidth="1"/>
    <col min="60" max="60" width="11.42578125" style="14"/>
    <col min="61" max="61" width="7" style="14" customWidth="1"/>
    <col min="62" max="62" width="5.42578125" style="14" customWidth="1"/>
    <col min="63" max="63" width="10.7109375" style="14" customWidth="1"/>
    <col min="64" max="64" width="7.85546875" style="14" customWidth="1"/>
    <col min="65" max="65" width="4.140625" style="14" customWidth="1"/>
    <col min="66" max="16384" width="11.42578125" style="14"/>
  </cols>
  <sheetData>
    <row r="1" spans="2:65" ht="17.25" customHeight="1" x14ac:dyDescent="0.25">
      <c r="B1" s="11" t="s">
        <v>73</v>
      </c>
      <c r="C1" s="12"/>
      <c r="D1" s="13" t="s">
        <v>74</v>
      </c>
      <c r="E1" s="13"/>
      <c r="F1" s="13"/>
      <c r="K1" s="15"/>
      <c r="L1" s="15"/>
      <c r="M1" s="15"/>
      <c r="N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</row>
    <row r="2" spans="2:65" ht="15.75" thickBot="1" x14ac:dyDescent="0.3">
      <c r="K2" s="17"/>
      <c r="M2" s="18"/>
      <c r="N2" s="18"/>
    </row>
    <row r="3" spans="2:65" ht="15.75" thickBot="1" x14ac:dyDescent="0.3">
      <c r="D3" s="183" t="s">
        <v>98</v>
      </c>
      <c r="E3" s="184"/>
      <c r="F3" s="185"/>
      <c r="AJ3" s="183" t="s">
        <v>99</v>
      </c>
      <c r="AK3" s="184"/>
      <c r="AL3" s="185"/>
    </row>
    <row r="4" spans="2:65" x14ac:dyDescent="0.25">
      <c r="D4" s="20" t="s">
        <v>31</v>
      </c>
      <c r="E4" s="21" t="s">
        <v>32</v>
      </c>
      <c r="F4" s="22"/>
      <c r="G4" s="186" t="s">
        <v>30</v>
      </c>
      <c r="H4" s="184"/>
      <c r="I4" s="185"/>
      <c r="K4" s="160" t="s">
        <v>33</v>
      </c>
      <c r="L4" s="162" t="s">
        <v>34</v>
      </c>
      <c r="M4" s="23" t="s">
        <v>35</v>
      </c>
      <c r="N4" s="23" t="s">
        <v>36</v>
      </c>
      <c r="O4" s="23" t="s">
        <v>37</v>
      </c>
      <c r="P4" s="24"/>
      <c r="Q4" s="160" t="s">
        <v>38</v>
      </c>
      <c r="R4" s="162" t="s">
        <v>34</v>
      </c>
      <c r="S4" s="25" t="s">
        <v>39</v>
      </c>
      <c r="T4" s="26"/>
      <c r="U4" s="26"/>
      <c r="V4" s="24"/>
      <c r="W4" s="160" t="s">
        <v>40</v>
      </c>
      <c r="X4" s="158" t="s">
        <v>34</v>
      </c>
      <c r="Y4" s="23" t="s">
        <v>38</v>
      </c>
      <c r="Z4" s="23" t="s">
        <v>36</v>
      </c>
      <c r="AA4" s="23" t="s">
        <v>37</v>
      </c>
      <c r="AB4" s="27"/>
      <c r="AC4" s="160" t="s">
        <v>41</v>
      </c>
      <c r="AD4" s="162" t="s">
        <v>34</v>
      </c>
      <c r="AE4" s="25" t="str">
        <f>D8</f>
        <v>e</v>
      </c>
      <c r="AF4" s="26"/>
      <c r="AG4" s="28"/>
      <c r="AJ4" s="20" t="s">
        <v>31</v>
      </c>
      <c r="AK4" s="21" t="s">
        <v>32</v>
      </c>
      <c r="AL4" s="22"/>
      <c r="AM4" s="186" t="s">
        <v>30</v>
      </c>
      <c r="AN4" s="184"/>
      <c r="AO4" s="185"/>
      <c r="AQ4" s="160" t="s">
        <v>33</v>
      </c>
      <c r="AR4" s="162" t="s">
        <v>34</v>
      </c>
      <c r="AS4" s="23" t="s">
        <v>35</v>
      </c>
      <c r="AT4" s="23" t="s">
        <v>36</v>
      </c>
      <c r="AU4" s="23" t="s">
        <v>37</v>
      </c>
      <c r="AV4" s="24"/>
      <c r="AW4" s="160" t="s">
        <v>38</v>
      </c>
      <c r="AX4" s="162" t="s">
        <v>34</v>
      </c>
      <c r="AY4" s="25" t="s">
        <v>39</v>
      </c>
      <c r="AZ4" s="26"/>
      <c r="BA4" s="26"/>
      <c r="BB4" s="24"/>
      <c r="BC4" s="160" t="s">
        <v>40</v>
      </c>
      <c r="BD4" s="158" t="s">
        <v>34</v>
      </c>
      <c r="BE4" s="23" t="s">
        <v>38</v>
      </c>
      <c r="BF4" s="23" t="s">
        <v>36</v>
      </c>
      <c r="BG4" s="23" t="s">
        <v>37</v>
      </c>
      <c r="BH4" s="27"/>
      <c r="BI4" s="160" t="s">
        <v>41</v>
      </c>
      <c r="BJ4" s="162" t="s">
        <v>34</v>
      </c>
      <c r="BK4" s="25" t="str">
        <f>AJ8</f>
        <v>e</v>
      </c>
      <c r="BL4" s="26"/>
      <c r="BM4" s="28"/>
    </row>
    <row r="5" spans="2:65" x14ac:dyDescent="0.25">
      <c r="D5" s="29" t="s">
        <v>37</v>
      </c>
      <c r="E5" s="30">
        <v>12.7</v>
      </c>
      <c r="F5" s="31" t="s">
        <v>42</v>
      </c>
      <c r="G5" s="32" t="s">
        <v>39</v>
      </c>
      <c r="H5" s="33">
        <v>3.0000000000000001E-3</v>
      </c>
      <c r="I5" s="31" t="s">
        <v>43</v>
      </c>
      <c r="K5" s="161"/>
      <c r="L5" s="163"/>
      <c r="M5" s="187">
        <v>4</v>
      </c>
      <c r="N5" s="187"/>
      <c r="O5" s="187"/>
      <c r="P5" s="35"/>
      <c r="Q5" s="161"/>
      <c r="R5" s="163"/>
      <c r="S5" s="34" t="s">
        <v>33</v>
      </c>
      <c r="T5" s="36"/>
      <c r="U5" s="36"/>
      <c r="V5" s="35"/>
      <c r="W5" s="161"/>
      <c r="X5" s="159"/>
      <c r="Y5" s="159" t="s">
        <v>44</v>
      </c>
      <c r="Z5" s="159"/>
      <c r="AA5" s="159"/>
      <c r="AB5" s="37"/>
      <c r="AC5" s="161"/>
      <c r="AD5" s="163"/>
      <c r="AE5" s="34" t="str">
        <f>D6</f>
        <v>D</v>
      </c>
      <c r="AF5" s="36"/>
      <c r="AG5" s="38"/>
      <c r="AJ5" s="29" t="s">
        <v>37</v>
      </c>
      <c r="AK5" s="30">
        <v>12.7</v>
      </c>
      <c r="AL5" s="31" t="s">
        <v>42</v>
      </c>
      <c r="AM5" s="32" t="s">
        <v>39</v>
      </c>
      <c r="AN5" s="33">
        <v>3.0000000000000001E-3</v>
      </c>
      <c r="AO5" s="31" t="s">
        <v>43</v>
      </c>
      <c r="AQ5" s="161"/>
      <c r="AR5" s="163"/>
      <c r="AS5" s="187">
        <v>4</v>
      </c>
      <c r="AT5" s="187"/>
      <c r="AU5" s="187"/>
      <c r="AV5" s="35"/>
      <c r="AW5" s="161"/>
      <c r="AX5" s="163"/>
      <c r="AY5" s="34" t="s">
        <v>33</v>
      </c>
      <c r="AZ5" s="36"/>
      <c r="BA5" s="36"/>
      <c r="BB5" s="35"/>
      <c r="BC5" s="161"/>
      <c r="BD5" s="159"/>
      <c r="BE5" s="159" t="s">
        <v>44</v>
      </c>
      <c r="BF5" s="159"/>
      <c r="BG5" s="159"/>
      <c r="BH5" s="37"/>
      <c r="BI5" s="161"/>
      <c r="BJ5" s="163"/>
      <c r="BK5" s="34" t="str">
        <f>AJ6</f>
        <v>D</v>
      </c>
      <c r="BL5" s="36"/>
      <c r="BM5" s="38"/>
    </row>
    <row r="6" spans="2:65" x14ac:dyDescent="0.25">
      <c r="D6" s="29" t="s">
        <v>37</v>
      </c>
      <c r="E6" s="30">
        <f>E5/1000</f>
        <v>1.2699999999999999E-2</v>
      </c>
      <c r="F6" s="31" t="s">
        <v>45</v>
      </c>
      <c r="G6" s="32" t="s">
        <v>39</v>
      </c>
      <c r="H6" s="33">
        <f>H5/1000</f>
        <v>3.0000000000000001E-6</v>
      </c>
      <c r="I6" s="31" t="s">
        <v>46</v>
      </c>
      <c r="K6" s="39"/>
      <c r="L6" s="16"/>
      <c r="M6" s="17"/>
      <c r="N6" s="17"/>
      <c r="O6" s="17"/>
      <c r="P6" s="38"/>
      <c r="Q6" s="40"/>
      <c r="V6" s="38"/>
      <c r="W6" s="40"/>
      <c r="X6" s="17"/>
      <c r="AB6" s="38"/>
      <c r="AC6" s="40"/>
      <c r="AG6" s="38"/>
      <c r="AJ6" s="29" t="s">
        <v>37</v>
      </c>
      <c r="AK6" s="30">
        <f>AK5/1000</f>
        <v>1.2699999999999999E-2</v>
      </c>
      <c r="AL6" s="31" t="s">
        <v>45</v>
      </c>
      <c r="AM6" s="32" t="s">
        <v>39</v>
      </c>
      <c r="AN6" s="33">
        <f>AN5/1000</f>
        <v>3.0000000000000001E-6</v>
      </c>
      <c r="AO6" s="31" t="s">
        <v>46</v>
      </c>
      <c r="AQ6" s="39"/>
      <c r="AR6" s="16"/>
      <c r="AS6" s="17"/>
      <c r="AT6" s="17"/>
      <c r="AU6" s="17"/>
      <c r="AV6" s="38"/>
      <c r="AW6" s="40"/>
      <c r="BB6" s="38"/>
      <c r="BC6" s="40"/>
      <c r="BD6" s="17"/>
      <c r="BH6" s="38"/>
      <c r="BI6" s="40"/>
      <c r="BM6" s="38"/>
    </row>
    <row r="7" spans="2:65" x14ac:dyDescent="0.25">
      <c r="D7" s="29" t="s">
        <v>47</v>
      </c>
      <c r="E7" s="30">
        <v>1</v>
      </c>
      <c r="F7" s="31" t="s">
        <v>45</v>
      </c>
      <c r="G7" s="32" t="s">
        <v>44</v>
      </c>
      <c r="H7" s="41">
        <v>1.004E-6</v>
      </c>
      <c r="I7" s="31" t="s">
        <v>48</v>
      </c>
      <c r="K7" s="157" t="s">
        <v>33</v>
      </c>
      <c r="L7" s="156" t="s">
        <v>34</v>
      </c>
      <c r="M7" s="42" t="s">
        <v>35</v>
      </c>
      <c r="N7" s="42" t="s">
        <v>36</v>
      </c>
      <c r="O7" s="42">
        <f>E6</f>
        <v>1.2699999999999999E-2</v>
      </c>
      <c r="P7" s="38"/>
      <c r="Q7" s="157" t="s">
        <v>38</v>
      </c>
      <c r="R7" s="156" t="s">
        <v>34</v>
      </c>
      <c r="S7" s="43">
        <f>H6</f>
        <v>3.0000000000000001E-6</v>
      </c>
      <c r="V7" s="38"/>
      <c r="W7" s="157" t="s">
        <v>40</v>
      </c>
      <c r="X7" s="166" t="s">
        <v>34</v>
      </c>
      <c r="Y7" s="42">
        <f>S9</f>
        <v>1.8</v>
      </c>
      <c r="Z7" s="42" t="s">
        <v>36</v>
      </c>
      <c r="AA7" s="42">
        <f>E6</f>
        <v>1.2699999999999999E-2</v>
      </c>
      <c r="AB7" s="38"/>
      <c r="AC7" s="157" t="s">
        <v>41</v>
      </c>
      <c r="AD7" s="156" t="s">
        <v>34</v>
      </c>
      <c r="AE7" s="43">
        <f>E8</f>
        <v>1.5E-3</v>
      </c>
      <c r="AF7" s="166" t="s">
        <v>42</v>
      </c>
      <c r="AG7" s="167"/>
      <c r="AJ7" s="29" t="s">
        <v>47</v>
      </c>
      <c r="AK7" s="30">
        <v>4.5</v>
      </c>
      <c r="AL7" s="31" t="s">
        <v>45</v>
      </c>
      <c r="AM7" s="32" t="s">
        <v>44</v>
      </c>
      <c r="AN7" s="41">
        <v>1.004E-6</v>
      </c>
      <c r="AO7" s="31" t="s">
        <v>48</v>
      </c>
      <c r="AQ7" s="157" t="s">
        <v>33</v>
      </c>
      <c r="AR7" s="156" t="s">
        <v>34</v>
      </c>
      <c r="AS7" s="42" t="s">
        <v>35</v>
      </c>
      <c r="AT7" s="42" t="s">
        <v>36</v>
      </c>
      <c r="AU7" s="42">
        <f>AK6</f>
        <v>1.2699999999999999E-2</v>
      </c>
      <c r="AV7" s="38"/>
      <c r="AW7" s="157" t="s">
        <v>38</v>
      </c>
      <c r="AX7" s="156" t="s">
        <v>34</v>
      </c>
      <c r="AY7" s="43">
        <f>AN6</f>
        <v>3.0000000000000001E-6</v>
      </c>
      <c r="BB7" s="38"/>
      <c r="BC7" s="157" t="s">
        <v>40</v>
      </c>
      <c r="BD7" s="166" t="s">
        <v>34</v>
      </c>
      <c r="BE7" s="115">
        <f>AY9</f>
        <v>2.5</v>
      </c>
      <c r="BF7" s="42" t="s">
        <v>36</v>
      </c>
      <c r="BG7" s="42">
        <f>AK6</f>
        <v>1.2699999999999999E-2</v>
      </c>
      <c r="BH7" s="38"/>
      <c r="BI7" s="157" t="s">
        <v>41</v>
      </c>
      <c r="BJ7" s="156" t="s">
        <v>34</v>
      </c>
      <c r="BK7" s="43">
        <f>AK8</f>
        <v>1.5E-3</v>
      </c>
      <c r="BL7" s="166" t="s">
        <v>42</v>
      </c>
      <c r="BM7" s="167"/>
    </row>
    <row r="8" spans="2:65" x14ac:dyDescent="0.25">
      <c r="B8" s="14"/>
      <c r="C8" s="14"/>
      <c r="D8" s="29" t="s">
        <v>49</v>
      </c>
      <c r="E8" s="30">
        <v>1.5E-3</v>
      </c>
      <c r="F8" s="31" t="s">
        <v>42</v>
      </c>
      <c r="G8" s="32" t="s">
        <v>70</v>
      </c>
      <c r="H8" s="33">
        <v>0.7</v>
      </c>
      <c r="I8" s="31" t="s">
        <v>72</v>
      </c>
      <c r="K8" s="157"/>
      <c r="L8" s="156"/>
      <c r="M8" s="188">
        <v>4</v>
      </c>
      <c r="N8" s="188"/>
      <c r="O8" s="188"/>
      <c r="P8" s="38"/>
      <c r="Q8" s="157"/>
      <c r="R8" s="156"/>
      <c r="S8" s="16">
        <f>M9</f>
        <v>1.2999999999999999E-4</v>
      </c>
      <c r="V8" s="38"/>
      <c r="W8" s="157"/>
      <c r="X8" s="166"/>
      <c r="Y8" s="168">
        <f>H7</f>
        <v>1.004E-6</v>
      </c>
      <c r="Z8" s="166"/>
      <c r="AA8" s="166"/>
      <c r="AB8" s="38"/>
      <c r="AC8" s="157"/>
      <c r="AD8" s="156"/>
      <c r="AE8" s="16">
        <f>E6*1000</f>
        <v>12.7</v>
      </c>
      <c r="AF8" s="156" t="s">
        <v>42</v>
      </c>
      <c r="AG8" s="169"/>
      <c r="AJ8" s="29" t="s">
        <v>49</v>
      </c>
      <c r="AK8" s="30">
        <v>1.5E-3</v>
      </c>
      <c r="AL8" s="31" t="s">
        <v>42</v>
      </c>
      <c r="AM8" s="32" t="s">
        <v>70</v>
      </c>
      <c r="AN8" s="33">
        <v>0.3</v>
      </c>
      <c r="AO8" s="31" t="s">
        <v>72</v>
      </c>
      <c r="AQ8" s="157"/>
      <c r="AR8" s="156"/>
      <c r="AS8" s="188">
        <v>4</v>
      </c>
      <c r="AT8" s="188"/>
      <c r="AU8" s="188"/>
      <c r="AV8" s="38"/>
      <c r="AW8" s="157"/>
      <c r="AX8" s="156"/>
      <c r="AY8" s="16">
        <f>AS9</f>
        <v>1.2999999999999999E-4</v>
      </c>
      <c r="BB8" s="38"/>
      <c r="BC8" s="157"/>
      <c r="BD8" s="166"/>
      <c r="BE8" s="168">
        <f>AN7</f>
        <v>1.004E-6</v>
      </c>
      <c r="BF8" s="166"/>
      <c r="BG8" s="166"/>
      <c r="BH8" s="38"/>
      <c r="BI8" s="157"/>
      <c r="BJ8" s="156"/>
      <c r="BK8" s="16">
        <f>AK6*1000</f>
        <v>12.7</v>
      </c>
      <c r="BL8" s="156" t="s">
        <v>42</v>
      </c>
      <c r="BM8" s="169"/>
    </row>
    <row r="9" spans="2:65" ht="15.75" thickBot="1" x14ac:dyDescent="0.3">
      <c r="B9" s="14"/>
      <c r="C9" s="14"/>
      <c r="D9" s="45" t="s">
        <v>41</v>
      </c>
      <c r="E9" s="46">
        <f>E8/(E5)</f>
        <v>1.1811023622047246E-4</v>
      </c>
      <c r="F9" s="47" t="s">
        <v>50</v>
      </c>
      <c r="G9" s="48" t="s">
        <v>71</v>
      </c>
      <c r="H9" s="49">
        <v>4</v>
      </c>
      <c r="I9" s="50" t="s">
        <v>72</v>
      </c>
      <c r="K9" s="51" t="s">
        <v>33</v>
      </c>
      <c r="L9" s="52" t="s">
        <v>34</v>
      </c>
      <c r="M9" s="170">
        <f>ROUND(PI()*(E6^2)/4,5)</f>
        <v>1.2999999999999999E-4</v>
      </c>
      <c r="N9" s="170"/>
      <c r="O9" s="52" t="s">
        <v>51</v>
      </c>
      <c r="P9" s="53"/>
      <c r="Q9" s="54" t="s">
        <v>38</v>
      </c>
      <c r="R9" s="52" t="s">
        <v>34</v>
      </c>
      <c r="S9" s="55">
        <v>1.8</v>
      </c>
      <c r="T9" s="170" t="s">
        <v>52</v>
      </c>
      <c r="U9" s="170"/>
      <c r="V9" s="53"/>
      <c r="W9" s="56" t="s">
        <v>40</v>
      </c>
      <c r="X9" s="57" t="s">
        <v>34</v>
      </c>
      <c r="Y9" s="171">
        <f>S9*E6/H7</f>
        <v>22768.924302788841</v>
      </c>
      <c r="Z9" s="170"/>
      <c r="AA9" s="170"/>
      <c r="AB9" s="53"/>
      <c r="AC9" s="56" t="s">
        <v>41</v>
      </c>
      <c r="AD9" s="57" t="s">
        <v>34</v>
      </c>
      <c r="AE9" s="57">
        <f>AE7/AE8</f>
        <v>1.1811023622047246E-4</v>
      </c>
      <c r="AF9" s="172"/>
      <c r="AG9" s="173"/>
      <c r="AJ9" s="45" t="s">
        <v>41</v>
      </c>
      <c r="AK9" s="46">
        <f>AK8/(AK5)</f>
        <v>1.1811023622047246E-4</v>
      </c>
      <c r="AL9" s="47" t="s">
        <v>50</v>
      </c>
      <c r="AM9" s="48" t="s">
        <v>71</v>
      </c>
      <c r="AN9" s="49">
        <v>4</v>
      </c>
      <c r="AO9" s="50" t="s">
        <v>72</v>
      </c>
      <c r="AQ9" s="51" t="s">
        <v>33</v>
      </c>
      <c r="AR9" s="52" t="s">
        <v>34</v>
      </c>
      <c r="AS9" s="170">
        <f>ROUND(PI()*(AK6^2)/4,5)</f>
        <v>1.2999999999999999E-4</v>
      </c>
      <c r="AT9" s="170"/>
      <c r="AU9" s="52" t="s">
        <v>51</v>
      </c>
      <c r="AV9" s="53"/>
      <c r="AW9" s="54" t="s">
        <v>38</v>
      </c>
      <c r="AX9" s="52" t="s">
        <v>34</v>
      </c>
      <c r="AY9" s="55">
        <v>2.5</v>
      </c>
      <c r="AZ9" s="170" t="s">
        <v>52</v>
      </c>
      <c r="BA9" s="170"/>
      <c r="BB9" s="53"/>
      <c r="BC9" s="56" t="s">
        <v>40</v>
      </c>
      <c r="BD9" s="57" t="s">
        <v>34</v>
      </c>
      <c r="BE9" s="171">
        <f>AY9*AK6/AN7</f>
        <v>31623.505976095617</v>
      </c>
      <c r="BF9" s="170"/>
      <c r="BG9" s="170"/>
      <c r="BH9" s="53"/>
      <c r="BI9" s="56" t="s">
        <v>41</v>
      </c>
      <c r="BJ9" s="57" t="s">
        <v>34</v>
      </c>
      <c r="BK9" s="57">
        <f>BK7/BK8</f>
        <v>1.1811023622047246E-4</v>
      </c>
      <c r="BL9" s="172"/>
      <c r="BM9" s="173"/>
    </row>
    <row r="11" spans="2:65" ht="15.75" thickBot="1" x14ac:dyDescent="0.3"/>
    <row r="12" spans="2:65" x14ac:dyDescent="0.25">
      <c r="D12" s="180" t="s">
        <v>80</v>
      </c>
      <c r="E12" s="181"/>
      <c r="F12" s="181"/>
      <c r="G12" s="181"/>
      <c r="H12" s="181"/>
      <c r="I12" s="181"/>
      <c r="J12" s="181"/>
      <c r="K12" s="181"/>
      <c r="L12" s="181"/>
      <c r="M12" s="76"/>
      <c r="N12" s="77"/>
      <c r="O12" s="77"/>
      <c r="P12" s="77"/>
      <c r="Q12" s="77"/>
      <c r="R12" s="77"/>
      <c r="S12" s="77"/>
      <c r="T12" s="77"/>
      <c r="U12" s="77"/>
      <c r="V12" s="77"/>
      <c r="AJ12" s="180" t="s">
        <v>80</v>
      </c>
      <c r="AK12" s="181"/>
      <c r="AL12" s="181"/>
      <c r="AM12" s="181"/>
      <c r="AN12" s="181"/>
      <c r="AO12" s="181"/>
      <c r="AP12" s="181"/>
      <c r="AQ12" s="181"/>
      <c r="AR12" s="181"/>
      <c r="AS12" s="76"/>
    </row>
    <row r="13" spans="2:65" x14ac:dyDescent="0.25">
      <c r="D13" s="78" t="s">
        <v>56</v>
      </c>
      <c r="E13" s="59" t="s">
        <v>34</v>
      </c>
      <c r="F13" s="74">
        <f>L13</f>
        <v>0.35107996821498233</v>
      </c>
      <c r="G13" s="59" t="s">
        <v>72</v>
      </c>
      <c r="H13" s="59"/>
      <c r="I13" s="59"/>
      <c r="J13" s="59"/>
      <c r="K13" s="59"/>
      <c r="L13" s="19">
        <f>F14*(E7/E6)*(S9^2/19.62)</f>
        <v>0.35107996821498233</v>
      </c>
      <c r="M13" s="60"/>
      <c r="N13" s="59"/>
      <c r="O13" s="59"/>
      <c r="P13" s="59"/>
      <c r="Q13" s="59"/>
      <c r="R13" s="59"/>
      <c r="S13" s="59"/>
      <c r="T13" s="59"/>
      <c r="U13" s="59"/>
      <c r="V13" s="59"/>
      <c r="AJ13" s="78" t="s">
        <v>56</v>
      </c>
      <c r="AK13" s="59" t="s">
        <v>34</v>
      </c>
      <c r="AL13" s="74">
        <f>AR13</f>
        <v>2.7089503720291845</v>
      </c>
      <c r="AM13" s="59" t="s">
        <v>72</v>
      </c>
      <c r="AN13" s="59"/>
      <c r="AO13" s="59"/>
      <c r="AP13" s="59"/>
      <c r="AQ13" s="59"/>
      <c r="AR13" s="19">
        <f>AL14*(AK7/AK6)*(AY9^2/19.62)</f>
        <v>2.7089503720291845</v>
      </c>
      <c r="AS13" s="60"/>
    </row>
    <row r="14" spans="2:65" x14ac:dyDescent="0.25">
      <c r="D14" s="58" t="s">
        <v>79</v>
      </c>
      <c r="E14" s="59" t="s">
        <v>34</v>
      </c>
      <c r="F14" s="73">
        <v>2.7E-2</v>
      </c>
      <c r="G14" s="73" t="s">
        <v>72</v>
      </c>
      <c r="H14" s="59"/>
      <c r="I14" s="59"/>
      <c r="J14" s="59"/>
      <c r="K14" s="59"/>
      <c r="L14" s="59"/>
      <c r="M14" s="60"/>
      <c r="N14" s="59"/>
      <c r="O14" s="59"/>
      <c r="P14" s="59"/>
      <c r="Q14" s="59"/>
      <c r="R14" s="59"/>
      <c r="S14" s="59"/>
      <c r="T14" s="59"/>
      <c r="U14" s="59"/>
      <c r="V14" s="59"/>
      <c r="AJ14" s="58" t="s">
        <v>79</v>
      </c>
      <c r="AK14" s="59" t="s">
        <v>34</v>
      </c>
      <c r="AL14" s="73">
        <v>2.4E-2</v>
      </c>
      <c r="AM14" s="73" t="s">
        <v>72</v>
      </c>
      <c r="AN14" s="59"/>
      <c r="AO14" s="59"/>
      <c r="AP14" s="59"/>
      <c r="AQ14" s="59"/>
      <c r="AR14" s="59"/>
      <c r="AS14" s="60"/>
    </row>
    <row r="15" spans="2:65" ht="15.75" thickBot="1" x14ac:dyDescent="0.3">
      <c r="D15" s="79"/>
      <c r="E15" s="63"/>
      <c r="F15" s="63"/>
      <c r="G15" s="63"/>
      <c r="H15" s="63"/>
      <c r="I15" s="63"/>
      <c r="J15" s="63"/>
      <c r="K15" s="63"/>
      <c r="L15" s="63"/>
      <c r="M15" s="64"/>
      <c r="N15" s="19"/>
      <c r="O15" s="19"/>
      <c r="P15" s="19"/>
      <c r="Q15" s="19"/>
      <c r="R15" s="19"/>
      <c r="S15" s="19"/>
      <c r="T15" s="19"/>
      <c r="AJ15" s="79"/>
      <c r="AK15" s="63"/>
      <c r="AL15" s="63"/>
      <c r="AM15" s="63"/>
      <c r="AN15" s="63"/>
      <c r="AO15" s="63"/>
      <c r="AP15" s="63"/>
      <c r="AQ15" s="63"/>
      <c r="AR15" s="63"/>
      <c r="AS15" s="64"/>
    </row>
    <row r="16" spans="2:65" x14ac:dyDescent="0.25">
      <c r="D16" s="180" t="s">
        <v>81</v>
      </c>
      <c r="E16" s="181"/>
      <c r="F16" s="181"/>
      <c r="G16" s="181"/>
      <c r="H16" s="181"/>
      <c r="I16" s="181"/>
      <c r="J16" s="181"/>
      <c r="K16" s="181"/>
      <c r="L16" s="181"/>
      <c r="M16" s="76"/>
      <c r="N16" s="19"/>
      <c r="O16" s="19"/>
      <c r="P16" s="19"/>
      <c r="Q16" s="19"/>
      <c r="R16" s="19"/>
      <c r="S16" s="19"/>
      <c r="T16" s="19"/>
      <c r="AJ16" s="180" t="s">
        <v>81</v>
      </c>
      <c r="AK16" s="181"/>
      <c r="AL16" s="181"/>
      <c r="AM16" s="181"/>
      <c r="AN16" s="181"/>
      <c r="AO16" s="181"/>
      <c r="AP16" s="181"/>
      <c r="AQ16" s="181"/>
      <c r="AR16" s="181"/>
      <c r="AS16" s="76"/>
    </row>
    <row r="17" spans="2:51" x14ac:dyDescent="0.25">
      <c r="D17" s="80" t="s">
        <v>64</v>
      </c>
      <c r="E17" s="17" t="s">
        <v>34</v>
      </c>
      <c r="F17" s="17">
        <f>ROUND(I21*S9^2/19.62,3)</f>
        <v>2E-3</v>
      </c>
      <c r="G17" s="19" t="s">
        <v>72</v>
      </c>
      <c r="H17" s="179" t="s">
        <v>82</v>
      </c>
      <c r="I17" s="166"/>
      <c r="J17" s="166"/>
      <c r="K17" s="166"/>
      <c r="L17" s="166"/>
      <c r="M17" s="61"/>
      <c r="N17" s="19"/>
      <c r="O17" s="19"/>
      <c r="P17" s="19"/>
      <c r="Q17" s="19"/>
      <c r="R17" s="19"/>
      <c r="S17" s="19"/>
      <c r="T17" s="19"/>
      <c r="AJ17" s="80" t="s">
        <v>64</v>
      </c>
      <c r="AK17" s="17" t="s">
        <v>34</v>
      </c>
      <c r="AL17" s="17">
        <f>ROUND(AO21*AY9^2/19.62,3)</f>
        <v>1.1659999999999999</v>
      </c>
      <c r="AM17" s="19" t="s">
        <v>72</v>
      </c>
      <c r="AN17" s="179" t="s">
        <v>82</v>
      </c>
      <c r="AO17" s="166"/>
      <c r="AP17" s="166"/>
      <c r="AQ17" s="166"/>
      <c r="AR17" s="166"/>
      <c r="AS17" s="61"/>
    </row>
    <row r="18" spans="2:51" x14ac:dyDescent="0.25">
      <c r="D18" s="75"/>
      <c r="E18" s="19"/>
      <c r="F18" s="19"/>
      <c r="G18" s="19"/>
      <c r="H18" s="70" t="s">
        <v>66</v>
      </c>
      <c r="I18" s="17">
        <v>0.01</v>
      </c>
      <c r="L18" s="17"/>
      <c r="M18" s="61"/>
      <c r="N18" s="19"/>
      <c r="O18" s="19"/>
      <c r="P18" s="19"/>
      <c r="Q18" s="19"/>
      <c r="R18" s="19"/>
      <c r="S18" s="19"/>
      <c r="T18" s="19"/>
      <c r="AJ18" s="75"/>
      <c r="AK18" s="19"/>
      <c r="AL18" s="19"/>
      <c r="AM18" s="19"/>
      <c r="AN18" s="70" t="s">
        <v>66</v>
      </c>
      <c r="AO18" s="17">
        <v>0.24</v>
      </c>
      <c r="AP18" s="14" t="s">
        <v>100</v>
      </c>
      <c r="AQ18" s="14">
        <v>0.9</v>
      </c>
      <c r="AR18" s="17"/>
      <c r="AS18" s="61"/>
    </row>
    <row r="19" spans="2:51" x14ac:dyDescent="0.25">
      <c r="D19" s="75"/>
      <c r="E19" s="19"/>
      <c r="F19" s="19"/>
      <c r="G19" s="19"/>
      <c r="H19" s="70" t="s">
        <v>67</v>
      </c>
      <c r="I19" s="17">
        <v>0</v>
      </c>
      <c r="L19" s="17"/>
      <c r="M19" s="61"/>
      <c r="N19" s="19"/>
      <c r="O19" s="19"/>
      <c r="P19" s="19"/>
      <c r="Q19" s="19"/>
      <c r="R19" s="19"/>
      <c r="S19" s="19"/>
      <c r="T19" s="19"/>
      <c r="U19" s="19"/>
      <c r="V19" s="19"/>
      <c r="AJ19" s="75"/>
      <c r="AK19" s="19"/>
      <c r="AL19" s="19"/>
      <c r="AM19" s="19"/>
      <c r="AN19" s="70" t="s">
        <v>67</v>
      </c>
      <c r="AO19" s="17">
        <v>2.5</v>
      </c>
      <c r="AR19" s="17"/>
      <c r="AS19" s="61"/>
    </row>
    <row r="20" spans="2:51" x14ac:dyDescent="0.25">
      <c r="D20" s="75"/>
      <c r="E20" s="19"/>
      <c r="F20" s="19"/>
      <c r="G20" s="19"/>
      <c r="H20" s="70" t="s">
        <v>68</v>
      </c>
      <c r="I20" s="17">
        <v>0</v>
      </c>
      <c r="L20" s="17"/>
      <c r="M20" s="61"/>
      <c r="N20" s="19"/>
      <c r="O20" s="19"/>
      <c r="P20" s="19"/>
      <c r="Q20" s="164" t="s">
        <v>53</v>
      </c>
      <c r="R20" s="164"/>
      <c r="S20" s="33" t="s">
        <v>54</v>
      </c>
      <c r="T20" s="164" t="s">
        <v>55</v>
      </c>
      <c r="U20" s="164"/>
      <c r="V20" s="19"/>
      <c r="AJ20" s="75"/>
      <c r="AK20" s="19"/>
      <c r="AL20" s="19"/>
      <c r="AM20" s="19"/>
      <c r="AN20" s="70" t="s">
        <v>68</v>
      </c>
      <c r="AO20" s="17">
        <v>0.02</v>
      </c>
      <c r="AR20" s="17"/>
      <c r="AS20" s="61"/>
    </row>
    <row r="21" spans="2:51" ht="15.75" thickBot="1" x14ac:dyDescent="0.3">
      <c r="D21" s="79"/>
      <c r="E21" s="63"/>
      <c r="F21" s="63"/>
      <c r="G21" s="63"/>
      <c r="H21" s="81" t="s">
        <v>69</v>
      </c>
      <c r="I21" s="57">
        <f>SUM(I18:I20)+J18</f>
        <v>0.01</v>
      </c>
      <c r="J21" s="62"/>
      <c r="K21" s="62"/>
      <c r="L21" s="62"/>
      <c r="M21" s="64"/>
      <c r="N21" s="19"/>
      <c r="O21" s="19"/>
      <c r="P21" s="19"/>
      <c r="Q21" s="164">
        <v>0.02</v>
      </c>
      <c r="R21" s="164"/>
      <c r="S21" s="33">
        <f>1/(Q21)^(1/2)</f>
        <v>7.0710678118654755</v>
      </c>
      <c r="T21" s="165">
        <f>-2*LOG(($AE$9/3.7)+2.51/($Y$9*(Q21)^(1/2)))</f>
        <v>6.1815066050793419</v>
      </c>
      <c r="U21" s="165"/>
      <c r="V21" s="19"/>
      <c r="AJ21" s="79"/>
      <c r="AK21" s="63"/>
      <c r="AL21" s="63"/>
      <c r="AM21" s="63"/>
      <c r="AN21" s="81" t="s">
        <v>69</v>
      </c>
      <c r="AO21" s="57">
        <f>SUM(AO18:AO20)+AQ18</f>
        <v>3.66</v>
      </c>
      <c r="AP21" s="62"/>
      <c r="AQ21" s="62"/>
      <c r="AR21" s="62"/>
      <c r="AS21" s="64"/>
    </row>
    <row r="22" spans="2:51" x14ac:dyDescent="0.25">
      <c r="D22" s="180" t="s">
        <v>86</v>
      </c>
      <c r="E22" s="181"/>
      <c r="F22" s="181"/>
      <c r="G22" s="181"/>
      <c r="H22" s="181"/>
      <c r="I22" s="181"/>
      <c r="J22" s="181"/>
      <c r="K22" s="181"/>
      <c r="L22" s="181"/>
      <c r="M22" s="76"/>
      <c r="Q22" s="164">
        <v>1.2999999999999999E-2</v>
      </c>
      <c r="R22" s="164"/>
      <c r="S22" s="33">
        <f>1/(Q22)^(1/2)</f>
        <v>8.7705801930702929</v>
      </c>
      <c r="T22" s="165">
        <f>-2*LOG(($AE$9/3.7)+2.51/($Y$9*(Q22)^(1/2)))</f>
        <v>6.0010667227244525</v>
      </c>
      <c r="U22" s="165"/>
      <c r="AJ22" s="180" t="s">
        <v>86</v>
      </c>
      <c r="AK22" s="181"/>
      <c r="AL22" s="181"/>
      <c r="AM22" s="181"/>
      <c r="AN22" s="181"/>
      <c r="AO22" s="181"/>
      <c r="AP22" s="181"/>
      <c r="AQ22" s="181"/>
      <c r="AR22" s="181"/>
      <c r="AS22" s="76"/>
    </row>
    <row r="23" spans="2:51" ht="15.75" thickBot="1" x14ac:dyDescent="0.3">
      <c r="D23" s="56" t="s">
        <v>65</v>
      </c>
      <c r="E23" s="57" t="s">
        <v>34</v>
      </c>
      <c r="F23" s="57">
        <f>SUM(F13+F17)</f>
        <v>0.35307996821498233</v>
      </c>
      <c r="G23" s="62"/>
      <c r="H23" s="62"/>
      <c r="I23" s="62"/>
      <c r="J23" s="62"/>
      <c r="K23" s="62"/>
      <c r="L23" s="62"/>
      <c r="M23" s="53"/>
      <c r="Q23" s="176">
        <v>1.7399999999999999E-2</v>
      </c>
      <c r="R23" s="176"/>
      <c r="S23" s="65">
        <f>1/(Q23)^(1/2)</f>
        <v>7.5809804357890336</v>
      </c>
      <c r="T23" s="177">
        <f>-2*LOG(($AE$9/3.7)+2.51/($Y$9*(Q23)^(1/2)))</f>
        <v>6.1233272944480497</v>
      </c>
      <c r="U23" s="177"/>
      <c r="AJ23" s="56" t="s">
        <v>65</v>
      </c>
      <c r="AK23" s="57" t="s">
        <v>34</v>
      </c>
      <c r="AL23" s="57">
        <f>SUM(AL13+AL17)</f>
        <v>3.8749503720291845</v>
      </c>
      <c r="AM23" s="62"/>
      <c r="AN23" s="62" t="s">
        <v>101</v>
      </c>
      <c r="AO23" s="62">
        <f>AL23+F23</f>
        <v>4.2280303402441666</v>
      </c>
      <c r="AP23" s="62"/>
      <c r="AQ23" s="62"/>
      <c r="AR23" s="62"/>
      <c r="AS23" s="53"/>
    </row>
    <row r="24" spans="2:51" x14ac:dyDescent="0.25">
      <c r="D24" s="180" t="s">
        <v>87</v>
      </c>
      <c r="E24" s="181"/>
      <c r="F24" s="181"/>
      <c r="G24" s="181"/>
      <c r="H24" s="181"/>
      <c r="I24" s="181"/>
      <c r="J24" s="181"/>
      <c r="K24" s="181"/>
      <c r="L24" s="181"/>
      <c r="M24" s="76"/>
      <c r="Q24" s="178">
        <v>3.5999999999999997E-2</v>
      </c>
      <c r="R24" s="178"/>
      <c r="S24" s="66">
        <f>1/(Q24)^(1/2)</f>
        <v>5.2704627669472996</v>
      </c>
      <c r="T24" s="175">
        <f>-2*LOG(($AE$9/3.7)+2.51/($Y$9*(Q24)^(1/2)))</f>
        <v>6.4251827732088085</v>
      </c>
      <c r="U24" s="175"/>
      <c r="AJ24" s="180" t="s">
        <v>87</v>
      </c>
      <c r="AK24" s="181"/>
      <c r="AL24" s="181"/>
      <c r="AM24" s="181"/>
      <c r="AN24" s="181"/>
      <c r="AO24" s="181"/>
      <c r="AP24" s="181"/>
      <c r="AQ24" s="181"/>
      <c r="AR24" s="181"/>
      <c r="AS24" s="76"/>
    </row>
    <row r="25" spans="2:51" x14ac:dyDescent="0.25">
      <c r="D25" s="80" t="s">
        <v>76</v>
      </c>
      <c r="E25" s="17" t="s">
        <v>34</v>
      </c>
      <c r="F25" s="17">
        <v>9810</v>
      </c>
      <c r="G25" s="166" t="s">
        <v>57</v>
      </c>
      <c r="H25" s="166"/>
      <c r="I25" s="166" t="s">
        <v>58</v>
      </c>
      <c r="J25" s="166"/>
      <c r="K25" s="166"/>
      <c r="L25" s="166"/>
      <c r="M25" s="38"/>
      <c r="AJ25" s="80" t="s">
        <v>76</v>
      </c>
      <c r="AK25" s="17" t="s">
        <v>34</v>
      </c>
      <c r="AL25" s="17">
        <v>9810</v>
      </c>
      <c r="AM25" s="166" t="s">
        <v>57</v>
      </c>
      <c r="AN25" s="166"/>
      <c r="AO25" s="166" t="s">
        <v>58</v>
      </c>
      <c r="AP25" s="166"/>
      <c r="AQ25" s="166"/>
      <c r="AR25" s="166"/>
      <c r="AS25" s="38"/>
    </row>
    <row r="26" spans="2:51" x14ac:dyDescent="0.25">
      <c r="D26" s="80" t="s">
        <v>59</v>
      </c>
      <c r="E26" s="17" t="s">
        <v>34</v>
      </c>
      <c r="F26" s="17">
        <f>H6</f>
        <v>3.0000000000000001E-6</v>
      </c>
      <c r="G26" s="166" t="s">
        <v>46</v>
      </c>
      <c r="H26" s="166"/>
      <c r="I26" s="166" t="s">
        <v>60</v>
      </c>
      <c r="J26" s="166"/>
      <c r="K26" s="166"/>
      <c r="L26" s="166"/>
      <c r="M26" s="38"/>
      <c r="AJ26" s="80" t="s">
        <v>59</v>
      </c>
      <c r="AK26" s="17" t="s">
        <v>34</v>
      </c>
      <c r="AL26" s="17">
        <f>AN6</f>
        <v>3.0000000000000001E-6</v>
      </c>
      <c r="AM26" s="166" t="s">
        <v>46</v>
      </c>
      <c r="AN26" s="166"/>
      <c r="AO26" s="166" t="s">
        <v>60</v>
      </c>
      <c r="AP26" s="166"/>
      <c r="AQ26" s="166"/>
      <c r="AR26" s="166"/>
      <c r="AS26" s="38"/>
    </row>
    <row r="27" spans="2:51" x14ac:dyDescent="0.25">
      <c r="D27" s="82" t="s">
        <v>83</v>
      </c>
      <c r="E27" s="17" t="s">
        <v>34</v>
      </c>
      <c r="F27" s="17">
        <f>H9-H8</f>
        <v>3.3</v>
      </c>
      <c r="G27" s="166" t="s">
        <v>45</v>
      </c>
      <c r="H27" s="166"/>
      <c r="M27" s="38"/>
      <c r="AJ27" s="82" t="s">
        <v>83</v>
      </c>
      <c r="AK27" s="17" t="s">
        <v>34</v>
      </c>
      <c r="AL27" s="17">
        <f>AN9-AN8</f>
        <v>3.7</v>
      </c>
      <c r="AM27" s="166" t="s">
        <v>45</v>
      </c>
      <c r="AN27" s="166"/>
      <c r="AS27" s="38"/>
    </row>
    <row r="28" spans="2:51" ht="15.75" thickBot="1" x14ac:dyDescent="0.3">
      <c r="B28" s="67"/>
      <c r="C28" s="67"/>
      <c r="D28" s="56" t="s">
        <v>77</v>
      </c>
      <c r="E28" s="57" t="s">
        <v>34</v>
      </c>
      <c r="F28" s="57">
        <f>F27+S30+F23</f>
        <v>3.8350799682149823</v>
      </c>
      <c r="G28" s="182" t="s">
        <v>45</v>
      </c>
      <c r="H28" s="182"/>
      <c r="I28" s="182" t="s">
        <v>61</v>
      </c>
      <c r="J28" s="182"/>
      <c r="K28" s="182"/>
      <c r="L28" s="182"/>
      <c r="M28" s="53"/>
      <c r="S28" s="67"/>
      <c r="T28" s="67"/>
      <c r="AJ28" s="56" t="s">
        <v>77</v>
      </c>
      <c r="AK28" s="57" t="s">
        <v>34</v>
      </c>
      <c r="AL28" s="57">
        <f>AL27+AY30+AO23</f>
        <v>8.2790303402441658</v>
      </c>
      <c r="AM28" s="182" t="s">
        <v>45</v>
      </c>
      <c r="AN28" s="182"/>
      <c r="AO28" s="182" t="s">
        <v>61</v>
      </c>
      <c r="AP28" s="182"/>
      <c r="AQ28" s="182"/>
      <c r="AR28" s="182"/>
      <c r="AS28" s="53"/>
    </row>
    <row r="29" spans="2:51" x14ac:dyDescent="0.25">
      <c r="B29" s="67"/>
      <c r="C29" s="67"/>
      <c r="D29" s="180" t="s">
        <v>87</v>
      </c>
      <c r="E29" s="181"/>
      <c r="F29" s="181"/>
      <c r="G29" s="181"/>
      <c r="H29" s="181"/>
      <c r="I29" s="181"/>
      <c r="J29" s="181"/>
      <c r="K29" s="181"/>
      <c r="L29" s="181"/>
      <c r="M29" s="76"/>
      <c r="S29" s="67"/>
      <c r="T29" s="67"/>
      <c r="AJ29" s="180" t="s">
        <v>87</v>
      </c>
      <c r="AK29" s="181"/>
      <c r="AL29" s="181"/>
      <c r="AM29" s="181"/>
      <c r="AN29" s="181"/>
      <c r="AO29" s="181"/>
      <c r="AP29" s="181"/>
      <c r="AQ29" s="181"/>
      <c r="AR29" s="181"/>
      <c r="AS29" s="76"/>
    </row>
    <row r="30" spans="2:51" x14ac:dyDescent="0.25">
      <c r="B30" s="67"/>
      <c r="C30" s="67"/>
      <c r="D30" s="80" t="s">
        <v>84</v>
      </c>
      <c r="E30" s="17" t="s">
        <v>34</v>
      </c>
      <c r="F30" s="69">
        <v>0.75</v>
      </c>
      <c r="G30" s="17"/>
      <c r="M30" s="38"/>
      <c r="Q30" s="72" t="s">
        <v>63</v>
      </c>
      <c r="R30" s="17" t="s">
        <v>34</v>
      </c>
      <c r="S30" s="71">
        <f>ROUND(S9^2/(2*8.91),3)</f>
        <v>0.182</v>
      </c>
      <c r="T30" s="67"/>
      <c r="AJ30" s="80" t="s">
        <v>84</v>
      </c>
      <c r="AK30" s="17" t="s">
        <v>34</v>
      </c>
      <c r="AL30" s="69">
        <v>0.75</v>
      </c>
      <c r="AM30" s="17"/>
      <c r="AS30" s="38"/>
      <c r="AW30" s="72" t="s">
        <v>63</v>
      </c>
      <c r="AX30" s="17" t="s">
        <v>34</v>
      </c>
      <c r="AY30" s="71">
        <f>ROUND(AY9^2/(2*8.91),3)</f>
        <v>0.35099999999999998</v>
      </c>
    </row>
    <row r="31" spans="2:51" ht="15.75" thickBot="1" x14ac:dyDescent="0.3">
      <c r="B31" s="67"/>
      <c r="C31" s="67"/>
      <c r="D31" s="56" t="s">
        <v>85</v>
      </c>
      <c r="E31" s="57" t="s">
        <v>34</v>
      </c>
      <c r="F31" s="57">
        <f>F25*F26*F28/F30</f>
        <v>0.15048853795275591</v>
      </c>
      <c r="G31" s="182" t="s">
        <v>62</v>
      </c>
      <c r="H31" s="182"/>
      <c r="I31" s="182"/>
      <c r="J31" s="182"/>
      <c r="K31" s="182"/>
      <c r="L31" s="182"/>
      <c r="M31" s="53"/>
      <c r="Q31" s="68" t="s">
        <v>78</v>
      </c>
      <c r="R31" s="17" t="s">
        <v>34</v>
      </c>
      <c r="S31" s="17">
        <f>F13</f>
        <v>0.35107996821498233</v>
      </c>
      <c r="T31" s="67"/>
      <c r="AJ31" s="56" t="s">
        <v>85</v>
      </c>
      <c r="AK31" s="57" t="s">
        <v>34</v>
      </c>
      <c r="AL31" s="57">
        <f>AL25*AL26*AL28/AL30</f>
        <v>0.3248691505511811</v>
      </c>
      <c r="AM31" s="182" t="s">
        <v>62</v>
      </c>
      <c r="AN31" s="182"/>
      <c r="AO31" s="182"/>
      <c r="AP31" s="182"/>
      <c r="AQ31" s="182"/>
      <c r="AR31" s="182"/>
      <c r="AS31" s="53"/>
      <c r="AW31" s="68" t="s">
        <v>78</v>
      </c>
      <c r="AX31" s="17" t="s">
        <v>34</v>
      </c>
      <c r="AY31" s="17">
        <f>AL13</f>
        <v>2.7089503720291845</v>
      </c>
    </row>
    <row r="32" spans="2:51" x14ac:dyDescent="0.25">
      <c r="B32" s="67"/>
      <c r="C32" s="67"/>
      <c r="I32" s="166"/>
      <c r="J32" s="166"/>
      <c r="K32" s="166"/>
      <c r="L32" s="166"/>
      <c r="S32" s="67"/>
      <c r="T32" s="67"/>
    </row>
    <row r="33" spans="2:24" x14ac:dyDescent="0.25">
      <c r="B33" s="67"/>
      <c r="C33" s="67"/>
      <c r="S33" s="67"/>
      <c r="T33" s="67"/>
    </row>
    <row r="34" spans="2:24" x14ac:dyDescent="0.25">
      <c r="B34" s="67"/>
      <c r="C34" s="67"/>
      <c r="S34" s="67"/>
      <c r="T34" s="67"/>
    </row>
    <row r="35" spans="2:24" x14ac:dyDescent="0.25">
      <c r="B35" s="67"/>
      <c r="C35" s="67"/>
      <c r="S35" s="67"/>
      <c r="T35" s="67"/>
    </row>
    <row r="36" spans="2:24" x14ac:dyDescent="0.25">
      <c r="B36" s="67"/>
      <c r="C36" s="67"/>
      <c r="S36" s="67"/>
      <c r="T36" s="67"/>
    </row>
    <row r="37" spans="2:24" ht="42" customHeight="1" x14ac:dyDescent="0.25">
      <c r="B37" s="67"/>
      <c r="C37" s="14"/>
      <c r="S37" s="67"/>
      <c r="T37" s="67"/>
    </row>
    <row r="38" spans="2:24" x14ac:dyDescent="0.25">
      <c r="B38" s="14"/>
      <c r="C38" s="14"/>
    </row>
    <row r="39" spans="2:24" x14ac:dyDescent="0.25">
      <c r="B39" s="14"/>
      <c r="C39" s="14"/>
      <c r="D39" s="14">
        <f>3.7+0.352+3.855</f>
        <v>7.907</v>
      </c>
    </row>
    <row r="40" spans="2:24" x14ac:dyDescent="0.25">
      <c r="B40" s="14"/>
      <c r="C40" s="14"/>
      <c r="J40" s="17"/>
      <c r="K40" s="17"/>
      <c r="P40" s="17"/>
      <c r="Q40" s="168"/>
      <c r="R40" s="168"/>
    </row>
    <row r="41" spans="2:24" x14ac:dyDescent="0.25">
      <c r="B41" s="14"/>
      <c r="C41" s="14"/>
      <c r="J41" s="17"/>
      <c r="K41" s="17"/>
      <c r="P41" s="17"/>
      <c r="Q41" s="44"/>
      <c r="R41" s="44"/>
    </row>
    <row r="42" spans="2:24" x14ac:dyDescent="0.25">
      <c r="B42" s="14"/>
      <c r="C42" s="14"/>
      <c r="J42" s="17"/>
      <c r="K42" s="17"/>
      <c r="P42" s="17"/>
      <c r="Q42" s="44"/>
      <c r="R42" s="44"/>
    </row>
    <row r="43" spans="2:24" x14ac:dyDescent="0.25">
      <c r="B43" s="14"/>
      <c r="C43" s="14"/>
      <c r="P43" s="17"/>
      <c r="Q43" s="166"/>
      <c r="R43" s="166"/>
    </row>
    <row r="44" spans="2:24" hidden="1" x14ac:dyDescent="0.25">
      <c r="B44" s="14"/>
      <c r="C44" s="14"/>
      <c r="R44" s="14">
        <f>F31/1000</f>
        <v>1.5048853795275591E-4</v>
      </c>
      <c r="T44" s="14">
        <f>F31*0.75</f>
        <v>0.11286640346456693</v>
      </c>
      <c r="X44" s="14">
        <f>F25*F26*F28</f>
        <v>0.11286640346456693</v>
      </c>
    </row>
    <row r="45" spans="2:24" x14ac:dyDescent="0.25">
      <c r="B45" s="14"/>
      <c r="C45" s="14"/>
    </row>
    <row r="46" spans="2:24" x14ac:dyDescent="0.25">
      <c r="B46" s="14"/>
      <c r="C46" s="14"/>
    </row>
    <row r="47" spans="2:24" x14ac:dyDescent="0.25">
      <c r="B47" s="14"/>
      <c r="C47" s="14"/>
    </row>
    <row r="48" spans="2:24" x14ac:dyDescent="0.25">
      <c r="B48" s="14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</row>
    <row r="49" spans="2:17" x14ac:dyDescent="0.25">
      <c r="B49" s="14"/>
      <c r="C49" s="166"/>
      <c r="D49" s="166"/>
      <c r="E49" s="166"/>
      <c r="F49" s="166"/>
      <c r="G49" s="17"/>
      <c r="H49" s="17"/>
      <c r="I49" s="17"/>
      <c r="O49" s="17"/>
      <c r="P49" s="17"/>
      <c r="Q49" s="17"/>
    </row>
    <row r="50" spans="2:17" x14ac:dyDescent="0.25">
      <c r="B50" s="14"/>
      <c r="C50" s="14"/>
      <c r="N50" s="17"/>
      <c r="O50" s="17"/>
      <c r="P50" s="17"/>
      <c r="Q50" s="17"/>
    </row>
    <row r="51" spans="2:17" x14ac:dyDescent="0.25">
      <c r="B51" s="14"/>
      <c r="C51" s="14"/>
      <c r="O51" s="17"/>
      <c r="P51" s="17"/>
      <c r="Q51" s="17"/>
    </row>
    <row r="52" spans="2:17" x14ac:dyDescent="0.25">
      <c r="B52" s="14"/>
      <c r="C52" s="14"/>
      <c r="O52" s="17"/>
      <c r="P52" s="17"/>
      <c r="Q52" s="17"/>
    </row>
    <row r="53" spans="2:17" x14ac:dyDescent="0.25">
      <c r="B53" s="14"/>
      <c r="C53" s="14"/>
      <c r="O53" s="17"/>
      <c r="P53" s="17"/>
      <c r="Q53" s="17"/>
    </row>
    <row r="54" spans="2:17" x14ac:dyDescent="0.25">
      <c r="B54" s="14"/>
      <c r="C54" s="14"/>
      <c r="O54" s="17"/>
      <c r="P54" s="17"/>
      <c r="Q54" s="17"/>
    </row>
    <row r="55" spans="2:17" x14ac:dyDescent="0.25">
      <c r="B55" s="14"/>
      <c r="D55" s="17"/>
      <c r="E55" s="17"/>
      <c r="F55" s="166"/>
      <c r="G55" s="166"/>
      <c r="H55" s="166"/>
      <c r="I55" s="166"/>
      <c r="J55" s="166"/>
      <c r="K55" s="166"/>
      <c r="O55" s="17"/>
      <c r="P55" s="17"/>
      <c r="Q55" s="17"/>
    </row>
    <row r="56" spans="2:17" x14ac:dyDescent="0.25">
      <c r="B56" s="14"/>
      <c r="C56" s="14"/>
      <c r="F56" s="17"/>
      <c r="K56" s="17"/>
      <c r="L56" s="17"/>
      <c r="M56" s="17"/>
      <c r="O56" s="17"/>
      <c r="P56" s="17"/>
      <c r="Q56" s="17"/>
    </row>
    <row r="57" spans="2:17" x14ac:dyDescent="0.25">
      <c r="B57" s="14"/>
      <c r="D57" s="17"/>
      <c r="E57" s="17"/>
      <c r="F57" s="17"/>
      <c r="K57" s="17"/>
      <c r="L57" s="17"/>
      <c r="M57" s="17"/>
      <c r="O57" s="17"/>
      <c r="P57" s="17"/>
      <c r="Q57" s="17"/>
    </row>
    <row r="58" spans="2:17" x14ac:dyDescent="0.25">
      <c r="B58" s="14"/>
      <c r="D58" s="17"/>
      <c r="E58" s="17"/>
      <c r="F58" s="17"/>
      <c r="K58" s="17"/>
      <c r="L58" s="17"/>
      <c r="M58" s="17"/>
      <c r="O58" s="17"/>
      <c r="P58" s="17"/>
      <c r="Q58" s="17"/>
    </row>
    <row r="59" spans="2:17" x14ac:dyDescent="0.25">
      <c r="I59" s="17"/>
      <c r="K59" s="166"/>
      <c r="L59" s="166"/>
      <c r="M59" s="166"/>
      <c r="O59" s="17"/>
      <c r="P59" s="17"/>
      <c r="Q59" s="17"/>
    </row>
    <row r="60" spans="2:17" x14ac:dyDescent="0.25">
      <c r="I60" s="17"/>
      <c r="K60" s="166"/>
      <c r="L60" s="166"/>
      <c r="M60" s="166"/>
      <c r="O60" s="17"/>
      <c r="P60" s="83"/>
      <c r="Q60" s="84"/>
    </row>
    <row r="61" spans="2:17" x14ac:dyDescent="0.25">
      <c r="I61" s="17"/>
      <c r="K61" s="166"/>
      <c r="L61" s="166"/>
      <c r="M61" s="166"/>
      <c r="O61" s="17"/>
    </row>
    <row r="62" spans="2:17" x14ac:dyDescent="0.25">
      <c r="C62" s="14"/>
      <c r="I62" s="17"/>
      <c r="K62" s="166"/>
      <c r="L62" s="166"/>
      <c r="M62" s="166"/>
      <c r="O62" s="17"/>
    </row>
    <row r="63" spans="2:17" x14ac:dyDescent="0.25">
      <c r="I63" s="17"/>
      <c r="K63" s="17"/>
      <c r="L63" s="17"/>
      <c r="M63" s="17"/>
      <c r="O63" s="17"/>
    </row>
    <row r="64" spans="2:17" x14ac:dyDescent="0.25">
      <c r="C64" s="14"/>
      <c r="O64" s="17"/>
      <c r="P64" s="166"/>
      <c r="Q64" s="166"/>
    </row>
  </sheetData>
  <mergeCells count="108">
    <mergeCell ref="AM26:AN26"/>
    <mergeCell ref="AO26:AR26"/>
    <mergeCell ref="AM27:AN27"/>
    <mergeCell ref="AM28:AN28"/>
    <mergeCell ref="AO28:AR28"/>
    <mergeCell ref="AJ16:AR16"/>
    <mergeCell ref="AN17:AR17"/>
    <mergeCell ref="AJ22:AR22"/>
    <mergeCell ref="AJ24:AR24"/>
    <mergeCell ref="AM25:AN25"/>
    <mergeCell ref="AO25:AR25"/>
    <mergeCell ref="AM4:AO4"/>
    <mergeCell ref="K4:K5"/>
    <mergeCell ref="L4:L5"/>
    <mergeCell ref="AJ12:AR12"/>
    <mergeCell ref="AC4:AC5"/>
    <mergeCell ref="AD4:AD5"/>
    <mergeCell ref="D3:F3"/>
    <mergeCell ref="AJ3:AL3"/>
    <mergeCell ref="G4:I4"/>
    <mergeCell ref="M5:O5"/>
    <mergeCell ref="Y5:AA5"/>
    <mergeCell ref="K7:K8"/>
    <mergeCell ref="L7:L8"/>
    <mergeCell ref="Q7:Q8"/>
    <mergeCell ref="R7:R8"/>
    <mergeCell ref="W7:W8"/>
    <mergeCell ref="X7:X8"/>
    <mergeCell ref="Q4:Q5"/>
    <mergeCell ref="R4:R5"/>
    <mergeCell ref="W4:W5"/>
    <mergeCell ref="X4:X5"/>
    <mergeCell ref="Y9:AA9"/>
    <mergeCell ref="AF9:AG9"/>
    <mergeCell ref="D12:L12"/>
    <mergeCell ref="D16:L16"/>
    <mergeCell ref="AC7:AC8"/>
    <mergeCell ref="AD7:AD8"/>
    <mergeCell ref="AF7:AG7"/>
    <mergeCell ref="Y8:AA8"/>
    <mergeCell ref="AF8:AG8"/>
    <mergeCell ref="D22:L22"/>
    <mergeCell ref="Q22:R22"/>
    <mergeCell ref="T22:U22"/>
    <mergeCell ref="M9:N9"/>
    <mergeCell ref="T9:U9"/>
    <mergeCell ref="H17:L17"/>
    <mergeCell ref="Q20:R20"/>
    <mergeCell ref="T20:U20"/>
    <mergeCell ref="Q21:R21"/>
    <mergeCell ref="T21:U21"/>
    <mergeCell ref="T23:U23"/>
    <mergeCell ref="D24:L24"/>
    <mergeCell ref="Q24:R24"/>
    <mergeCell ref="T24:U24"/>
    <mergeCell ref="G25:H25"/>
    <mergeCell ref="I25:L25"/>
    <mergeCell ref="G27:H27"/>
    <mergeCell ref="G28:H28"/>
    <mergeCell ref="I28:L28"/>
    <mergeCell ref="D29:L29"/>
    <mergeCell ref="Q23:R23"/>
    <mergeCell ref="G31:H31"/>
    <mergeCell ref="I31:L31"/>
    <mergeCell ref="I32:L32"/>
    <mergeCell ref="Q40:R40"/>
    <mergeCell ref="Q43:R43"/>
    <mergeCell ref="C49:F49"/>
    <mergeCell ref="F55:G55"/>
    <mergeCell ref="H55:K55"/>
    <mergeCell ref="K59:M59"/>
    <mergeCell ref="K60:M60"/>
    <mergeCell ref="AS5:AU5"/>
    <mergeCell ref="BE5:BG5"/>
    <mergeCell ref="K62:M62"/>
    <mergeCell ref="P64:Q64"/>
    <mergeCell ref="M8:O8"/>
    <mergeCell ref="AQ4:AQ5"/>
    <mergeCell ref="AR4:AR5"/>
    <mergeCell ref="AW4:AW5"/>
    <mergeCell ref="AQ7:AQ8"/>
    <mergeCell ref="AR7:AR8"/>
    <mergeCell ref="AW7:AW8"/>
    <mergeCell ref="AS8:AU8"/>
    <mergeCell ref="K61:M61"/>
    <mergeCell ref="C48:Q48"/>
    <mergeCell ref="G26:H26"/>
    <mergeCell ref="I26:L26"/>
    <mergeCell ref="AX4:AX5"/>
    <mergeCell ref="BC4:BC5"/>
    <mergeCell ref="BD4:BD5"/>
    <mergeCell ref="AJ29:AR29"/>
    <mergeCell ref="AM31:AN31"/>
    <mergeCell ref="AO31:AR31"/>
    <mergeCell ref="BI4:BI5"/>
    <mergeCell ref="BJ4:BJ5"/>
    <mergeCell ref="AS9:AT9"/>
    <mergeCell ref="AZ9:BA9"/>
    <mergeCell ref="BE9:BG9"/>
    <mergeCell ref="BL9:BM9"/>
    <mergeCell ref="AX7:AX8"/>
    <mergeCell ref="BC7:BC8"/>
    <mergeCell ref="BD7:BD8"/>
    <mergeCell ref="BI7:BI8"/>
    <mergeCell ref="BJ7:BJ8"/>
    <mergeCell ref="BL7:BM7"/>
    <mergeCell ref="BE8:BG8"/>
    <mergeCell ref="BL8:BM8"/>
  </mergeCells>
  <pageMargins left="0.7" right="0.7" top="0.75" bottom="0.75" header="0.3" footer="0.3"/>
  <pageSetup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42CB4-2331-4EFF-8A7E-00B593F3D401}">
  <dimension ref="B1:BM64"/>
  <sheetViews>
    <sheetView topLeftCell="AC1" zoomScale="80" zoomScaleNormal="80" workbookViewId="0">
      <selection activeCell="H10" sqref="H10"/>
    </sheetView>
  </sheetViews>
  <sheetFormatPr baseColWidth="10" defaultRowHeight="15" x14ac:dyDescent="0.25"/>
  <cols>
    <col min="1" max="1" width="1.5703125" style="14" customWidth="1"/>
    <col min="2" max="2" width="5.140625" style="16" customWidth="1"/>
    <col min="3" max="3" width="5.42578125" style="17" customWidth="1"/>
    <col min="4" max="4" width="19.28515625" style="14" bestFit="1" customWidth="1"/>
    <col min="5" max="5" width="9.42578125" style="14" customWidth="1"/>
    <col min="6" max="6" width="12" style="14" bestFit="1" customWidth="1"/>
    <col min="7" max="7" width="3.5703125" style="14" customWidth="1"/>
    <col min="8" max="8" width="9" style="14" customWidth="1"/>
    <col min="9" max="9" width="8.140625" style="14" bestFit="1" customWidth="1"/>
    <col min="10" max="10" width="8.28515625" style="14" customWidth="1"/>
    <col min="11" max="11" width="7.5703125" style="14" customWidth="1"/>
    <col min="12" max="12" width="6" style="14" customWidth="1"/>
    <col min="13" max="13" width="11.140625" style="14" customWidth="1"/>
    <col min="14" max="14" width="6.5703125" style="14" customWidth="1"/>
    <col min="15" max="15" width="9" style="14" bestFit="1" customWidth="1"/>
    <col min="16" max="16" width="7.5703125" style="14" customWidth="1"/>
    <col min="17" max="17" width="2.28515625" style="14" customWidth="1"/>
    <col min="18" max="18" width="7.5703125" style="14" customWidth="1"/>
    <col min="19" max="19" width="12.28515625" style="14" bestFit="1" customWidth="1"/>
    <col min="20" max="20" width="12" style="14" bestFit="1" customWidth="1"/>
    <col min="21" max="21" width="2.28515625" style="14" customWidth="1"/>
    <col min="22" max="22" width="5.42578125" style="14" customWidth="1"/>
    <col min="23" max="23" width="3.140625" style="14" customWidth="1"/>
    <col min="24" max="24" width="2.7109375" style="14" customWidth="1"/>
    <col min="25" max="25" width="5.28515625" style="14" customWidth="1"/>
    <col min="26" max="26" width="7.28515625" style="14" customWidth="1"/>
    <col min="27" max="27" width="4.85546875" style="14" customWidth="1"/>
    <col min="28" max="28" width="7.28515625" style="14" customWidth="1"/>
    <col min="29" max="29" width="2.28515625" style="14" customWidth="1"/>
    <col min="30" max="30" width="7.28515625" style="14" customWidth="1"/>
    <col min="31" max="31" width="16.42578125" style="14" customWidth="1"/>
    <col min="32" max="32" width="7.28515625" style="14" customWidth="1"/>
    <col min="33" max="33" width="0.28515625" style="14" customWidth="1"/>
    <col min="34" max="34" width="6.7109375" style="14" customWidth="1"/>
    <col min="35" max="35" width="2.28515625" style="14" customWidth="1"/>
    <col min="36" max="36" width="20.28515625" style="14" customWidth="1"/>
    <col min="37" max="37" width="12.140625" style="14" customWidth="1"/>
    <col min="38" max="38" width="13.28515625" style="14" customWidth="1"/>
    <col min="39" max="42" width="11.42578125" style="14"/>
    <col min="43" max="43" width="6.42578125" style="14" customWidth="1"/>
    <col min="44" max="44" width="6.5703125" style="14" customWidth="1"/>
    <col min="45" max="45" width="6.7109375" style="14" customWidth="1"/>
    <col min="46" max="46" width="6.42578125" style="14" customWidth="1"/>
    <col min="47" max="47" width="4" style="14" customWidth="1"/>
    <col min="48" max="48" width="11.42578125" style="14"/>
    <col min="49" max="49" width="6.85546875" style="14" customWidth="1"/>
    <col min="50" max="50" width="6" style="14" customWidth="1"/>
    <col min="51" max="51" width="11.42578125" style="14"/>
    <col min="52" max="52" width="3.140625" style="14" customWidth="1"/>
    <col min="53" max="53" width="8" style="14" customWidth="1"/>
    <col min="54" max="54" width="4.5703125" style="14" customWidth="1"/>
    <col min="55" max="55" width="7" style="14" customWidth="1"/>
    <col min="56" max="56" width="5.5703125" style="14" customWidth="1"/>
    <col min="57" max="57" width="7.5703125" style="14" customWidth="1"/>
    <col min="58" max="58" width="8.140625" style="14" customWidth="1"/>
    <col min="59" max="59" width="6.28515625" style="14" customWidth="1"/>
    <col min="60" max="60" width="11.42578125" style="14"/>
    <col min="61" max="61" width="7" style="14" customWidth="1"/>
    <col min="62" max="62" width="5.42578125" style="14" customWidth="1"/>
    <col min="63" max="63" width="15.7109375" style="14" customWidth="1"/>
    <col min="64" max="64" width="7.85546875" style="14" customWidth="1"/>
    <col min="65" max="65" width="4.140625" style="14" customWidth="1"/>
    <col min="66" max="16384" width="11.42578125" style="14"/>
  </cols>
  <sheetData>
    <row r="1" spans="2:65" ht="17.25" customHeight="1" x14ac:dyDescent="0.25">
      <c r="B1" s="11" t="s">
        <v>73</v>
      </c>
      <c r="C1" s="12"/>
      <c r="D1" s="13" t="s">
        <v>74</v>
      </c>
      <c r="E1" s="13"/>
      <c r="F1" s="13"/>
      <c r="K1" s="15"/>
      <c r="L1" s="15"/>
      <c r="M1" s="15"/>
      <c r="N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</row>
    <row r="2" spans="2:65" ht="15.75" thickBot="1" x14ac:dyDescent="0.3">
      <c r="K2" s="17"/>
      <c r="M2" s="18"/>
      <c r="N2" s="18"/>
    </row>
    <row r="3" spans="2:65" ht="15.75" thickBot="1" x14ac:dyDescent="0.3">
      <c r="D3" s="183" t="s">
        <v>98</v>
      </c>
      <c r="E3" s="184"/>
      <c r="F3" s="185"/>
      <c r="AJ3" s="183" t="s">
        <v>99</v>
      </c>
      <c r="AK3" s="184"/>
      <c r="AL3" s="185"/>
    </row>
    <row r="4" spans="2:65" x14ac:dyDescent="0.25">
      <c r="D4" s="20" t="s">
        <v>31</v>
      </c>
      <c r="E4" s="21" t="s">
        <v>32</v>
      </c>
      <c r="F4" s="22"/>
      <c r="G4" s="186" t="s">
        <v>30</v>
      </c>
      <c r="H4" s="184"/>
      <c r="I4" s="185"/>
      <c r="K4" s="160" t="s">
        <v>33</v>
      </c>
      <c r="L4" s="162" t="s">
        <v>34</v>
      </c>
      <c r="M4" s="23" t="s">
        <v>35</v>
      </c>
      <c r="N4" s="23" t="s">
        <v>36</v>
      </c>
      <c r="O4" s="23" t="s">
        <v>37</v>
      </c>
      <c r="P4" s="24"/>
      <c r="Q4" s="160" t="s">
        <v>38</v>
      </c>
      <c r="R4" s="162" t="s">
        <v>34</v>
      </c>
      <c r="S4" s="25" t="s">
        <v>39</v>
      </c>
      <c r="T4" s="26"/>
      <c r="U4" s="26"/>
      <c r="V4" s="24"/>
      <c r="W4" s="160" t="s">
        <v>40</v>
      </c>
      <c r="X4" s="158" t="s">
        <v>34</v>
      </c>
      <c r="Y4" s="23" t="s">
        <v>38</v>
      </c>
      <c r="Z4" s="23" t="s">
        <v>36</v>
      </c>
      <c r="AA4" s="23" t="s">
        <v>37</v>
      </c>
      <c r="AB4" s="27"/>
      <c r="AC4" s="160" t="s">
        <v>41</v>
      </c>
      <c r="AD4" s="162" t="s">
        <v>34</v>
      </c>
      <c r="AE4" s="25" t="str">
        <f>D8</f>
        <v>e</v>
      </c>
      <c r="AF4" s="26"/>
      <c r="AG4" s="28"/>
      <c r="AJ4" s="20" t="s">
        <v>31</v>
      </c>
      <c r="AK4" s="21" t="s">
        <v>32</v>
      </c>
      <c r="AL4" s="22"/>
      <c r="AM4" s="186" t="s">
        <v>30</v>
      </c>
      <c r="AN4" s="184"/>
      <c r="AO4" s="185"/>
      <c r="AQ4" s="160" t="s">
        <v>33</v>
      </c>
      <c r="AR4" s="162" t="s">
        <v>34</v>
      </c>
      <c r="AS4" s="23" t="s">
        <v>35</v>
      </c>
      <c r="AT4" s="23" t="s">
        <v>36</v>
      </c>
      <c r="AU4" s="23" t="s">
        <v>37</v>
      </c>
      <c r="AV4" s="24"/>
      <c r="AW4" s="160" t="s">
        <v>38</v>
      </c>
      <c r="AX4" s="162" t="s">
        <v>34</v>
      </c>
      <c r="AY4" s="25" t="s">
        <v>39</v>
      </c>
      <c r="AZ4" s="26"/>
      <c r="BA4" s="26"/>
      <c r="BB4" s="24"/>
      <c r="BC4" s="160" t="s">
        <v>40</v>
      </c>
      <c r="BD4" s="158" t="s">
        <v>34</v>
      </c>
      <c r="BE4" s="23" t="s">
        <v>38</v>
      </c>
      <c r="BF4" s="23" t="s">
        <v>36</v>
      </c>
      <c r="BG4" s="23" t="s">
        <v>37</v>
      </c>
      <c r="BH4" s="27"/>
      <c r="BI4" s="160" t="s">
        <v>41</v>
      </c>
      <c r="BJ4" s="162" t="s">
        <v>34</v>
      </c>
      <c r="BK4" s="25" t="str">
        <f>AJ8</f>
        <v>e</v>
      </c>
      <c r="BL4" s="26"/>
      <c r="BM4" s="28"/>
    </row>
    <row r="5" spans="2:65" x14ac:dyDescent="0.25">
      <c r="D5" s="29" t="s">
        <v>37</v>
      </c>
      <c r="E5" s="30">
        <f>E6*1000</f>
        <v>27.894279572946679</v>
      </c>
      <c r="F5" s="31" t="s">
        <v>42</v>
      </c>
      <c r="G5" s="32" t="s">
        <v>39</v>
      </c>
      <c r="H5" s="33">
        <v>1.1000000000000001</v>
      </c>
      <c r="I5" s="31" t="s">
        <v>43</v>
      </c>
      <c r="K5" s="161"/>
      <c r="L5" s="163"/>
      <c r="M5" s="187">
        <v>4</v>
      </c>
      <c r="N5" s="187"/>
      <c r="O5" s="187"/>
      <c r="P5" s="35"/>
      <c r="Q5" s="161"/>
      <c r="R5" s="163"/>
      <c r="S5" s="34" t="s">
        <v>33</v>
      </c>
      <c r="T5" s="36"/>
      <c r="U5" s="36"/>
      <c r="V5" s="35"/>
      <c r="W5" s="161"/>
      <c r="X5" s="159"/>
      <c r="Y5" s="159" t="s">
        <v>44</v>
      </c>
      <c r="Z5" s="159"/>
      <c r="AA5" s="159"/>
      <c r="AB5" s="37"/>
      <c r="AC5" s="161"/>
      <c r="AD5" s="163"/>
      <c r="AE5" s="34" t="str">
        <f>D6</f>
        <v>D</v>
      </c>
      <c r="AF5" s="36"/>
      <c r="AG5" s="38"/>
      <c r="AJ5" s="29" t="s">
        <v>37</v>
      </c>
      <c r="AK5" s="30">
        <f>AK6*1000</f>
        <v>23.669081090812792</v>
      </c>
      <c r="AL5" s="31" t="s">
        <v>42</v>
      </c>
      <c r="AM5" s="32" t="s">
        <v>39</v>
      </c>
      <c r="AN5" s="33">
        <v>1.1000000000000001</v>
      </c>
      <c r="AO5" s="31" t="s">
        <v>43</v>
      </c>
      <c r="AQ5" s="161"/>
      <c r="AR5" s="163"/>
      <c r="AS5" s="187">
        <v>4</v>
      </c>
      <c r="AT5" s="187"/>
      <c r="AU5" s="187"/>
      <c r="AV5" s="35"/>
      <c r="AW5" s="161"/>
      <c r="AX5" s="163"/>
      <c r="AY5" s="34" t="s">
        <v>33</v>
      </c>
      <c r="AZ5" s="36"/>
      <c r="BA5" s="36"/>
      <c r="BB5" s="35"/>
      <c r="BC5" s="161"/>
      <c r="BD5" s="159"/>
      <c r="BE5" s="159" t="s">
        <v>44</v>
      </c>
      <c r="BF5" s="159"/>
      <c r="BG5" s="159"/>
      <c r="BH5" s="37"/>
      <c r="BI5" s="161"/>
      <c r="BJ5" s="163"/>
      <c r="BK5" s="34" t="str">
        <f>AJ6</f>
        <v>D</v>
      </c>
      <c r="BL5" s="36"/>
      <c r="BM5" s="38"/>
    </row>
    <row r="6" spans="2:65" x14ac:dyDescent="0.25">
      <c r="D6" s="29" t="s">
        <v>37</v>
      </c>
      <c r="E6" s="30">
        <f>SQRT((4*E10)/PI())</f>
        <v>2.7894279572946681E-2</v>
      </c>
      <c r="F6" s="31" t="s">
        <v>45</v>
      </c>
      <c r="G6" s="32" t="s">
        <v>39</v>
      </c>
      <c r="H6" s="33">
        <f>H5/1000</f>
        <v>1.1000000000000001E-3</v>
      </c>
      <c r="I6" s="31" t="s">
        <v>46</v>
      </c>
      <c r="K6" s="39"/>
      <c r="L6" s="16"/>
      <c r="M6" s="17"/>
      <c r="N6" s="17"/>
      <c r="O6" s="17"/>
      <c r="P6" s="38"/>
      <c r="Q6" s="40"/>
      <c r="V6" s="38"/>
      <c r="W6" s="40"/>
      <c r="X6" s="17"/>
      <c r="AB6" s="38"/>
      <c r="AC6" s="40"/>
      <c r="AG6" s="38"/>
      <c r="AJ6" s="29" t="s">
        <v>37</v>
      </c>
      <c r="AK6" s="30">
        <f>SQRT((4*AK10)/PI())</f>
        <v>2.3669081090812793E-2</v>
      </c>
      <c r="AL6" s="31" t="s">
        <v>45</v>
      </c>
      <c r="AM6" s="32" t="s">
        <v>39</v>
      </c>
      <c r="AN6" s="33">
        <f>AN5/1000</f>
        <v>1.1000000000000001E-3</v>
      </c>
      <c r="AO6" s="31" t="s">
        <v>46</v>
      </c>
      <c r="AQ6" s="39"/>
      <c r="AR6" s="16"/>
      <c r="AS6" s="17"/>
      <c r="AT6" s="17"/>
      <c r="AU6" s="17"/>
      <c r="AV6" s="38"/>
      <c r="AW6" s="40"/>
      <c r="BB6" s="38"/>
      <c r="BC6" s="40"/>
      <c r="BD6" s="17"/>
      <c r="BH6" s="38"/>
      <c r="BI6" s="40"/>
      <c r="BM6" s="38"/>
    </row>
    <row r="7" spans="2:65" x14ac:dyDescent="0.25">
      <c r="D7" s="29" t="s">
        <v>47</v>
      </c>
      <c r="E7" s="30">
        <v>1</v>
      </c>
      <c r="F7" s="31" t="s">
        <v>45</v>
      </c>
      <c r="G7" s="32" t="s">
        <v>44</v>
      </c>
      <c r="H7" s="41">
        <v>1.004E-6</v>
      </c>
      <c r="I7" s="31" t="s">
        <v>48</v>
      </c>
      <c r="K7" s="157" t="s">
        <v>33</v>
      </c>
      <c r="L7" s="156" t="s">
        <v>34</v>
      </c>
      <c r="M7" s="42" t="s">
        <v>35</v>
      </c>
      <c r="N7" s="42" t="s">
        <v>36</v>
      </c>
      <c r="O7" s="42">
        <f>E6</f>
        <v>2.7894279572946681E-2</v>
      </c>
      <c r="P7" s="38"/>
      <c r="Q7" s="157" t="s">
        <v>38</v>
      </c>
      <c r="R7" s="156" t="s">
        <v>34</v>
      </c>
      <c r="S7" s="43">
        <f>H6</f>
        <v>1.1000000000000001E-3</v>
      </c>
      <c r="T7" s="14">
        <f>S7/S8</f>
        <v>1.8032786885245904</v>
      </c>
      <c r="V7" s="38"/>
      <c r="W7" s="157" t="s">
        <v>40</v>
      </c>
      <c r="X7" s="166" t="s">
        <v>34</v>
      </c>
      <c r="Y7" s="42">
        <f>S9</f>
        <v>1.8</v>
      </c>
      <c r="Z7" s="42" t="s">
        <v>36</v>
      </c>
      <c r="AA7" s="42">
        <f>E6</f>
        <v>2.7894279572946681E-2</v>
      </c>
      <c r="AB7" s="38"/>
      <c r="AC7" s="157" t="s">
        <v>41</v>
      </c>
      <c r="AD7" s="156" t="s">
        <v>34</v>
      </c>
      <c r="AE7" s="43">
        <f>E8</f>
        <v>1.5E-3</v>
      </c>
      <c r="AF7" s="166" t="s">
        <v>42</v>
      </c>
      <c r="AG7" s="167"/>
      <c r="AJ7" s="29" t="s">
        <v>47</v>
      </c>
      <c r="AK7" s="30">
        <v>4.2</v>
      </c>
      <c r="AL7" s="31" t="s">
        <v>45</v>
      </c>
      <c r="AM7" s="32" t="s">
        <v>44</v>
      </c>
      <c r="AN7" s="41">
        <v>1.004E-6</v>
      </c>
      <c r="AO7" s="31" t="s">
        <v>48</v>
      </c>
      <c r="AQ7" s="157" t="s">
        <v>33</v>
      </c>
      <c r="AR7" s="156" t="s">
        <v>34</v>
      </c>
      <c r="AS7" s="42" t="s">
        <v>35</v>
      </c>
      <c r="AT7" s="42" t="s">
        <v>36</v>
      </c>
      <c r="AU7" s="42">
        <f>AK6</f>
        <v>2.3669081090812793E-2</v>
      </c>
      <c r="AV7" s="38"/>
      <c r="AW7" s="157" t="s">
        <v>38</v>
      </c>
      <c r="AX7" s="156" t="s">
        <v>34</v>
      </c>
      <c r="AY7" s="43">
        <f>AN6</f>
        <v>1.1000000000000001E-3</v>
      </c>
      <c r="BA7" s="14">
        <f>AY7/AY8</f>
        <v>2.5</v>
      </c>
      <c r="BB7" s="38"/>
      <c r="BC7" s="157" t="s">
        <v>40</v>
      </c>
      <c r="BD7" s="166" t="s">
        <v>34</v>
      </c>
      <c r="BE7" s="115">
        <f>AY9</f>
        <v>2.5</v>
      </c>
      <c r="BF7" s="42" t="s">
        <v>36</v>
      </c>
      <c r="BG7" s="42">
        <f>AK11</f>
        <v>2.5999999999999999E-2</v>
      </c>
      <c r="BH7" s="38"/>
      <c r="BI7" s="157" t="s">
        <v>41</v>
      </c>
      <c r="BJ7" s="156" t="s">
        <v>34</v>
      </c>
      <c r="BK7" s="43">
        <f>AK8</f>
        <v>1.5E-3</v>
      </c>
      <c r="BL7" s="166" t="s">
        <v>42</v>
      </c>
      <c r="BM7" s="167"/>
    </row>
    <row r="8" spans="2:65" x14ac:dyDescent="0.25">
      <c r="B8" s="14"/>
      <c r="C8" s="14"/>
      <c r="D8" s="29" t="s">
        <v>49</v>
      </c>
      <c r="E8" s="30">
        <v>1.5E-3</v>
      </c>
      <c r="F8" s="31" t="s">
        <v>42</v>
      </c>
      <c r="G8" s="32" t="s">
        <v>70</v>
      </c>
      <c r="H8" s="33">
        <v>0</v>
      </c>
      <c r="I8" s="31" t="s">
        <v>72</v>
      </c>
      <c r="K8" s="157"/>
      <c r="L8" s="156"/>
      <c r="M8" s="188">
        <v>4</v>
      </c>
      <c r="N8" s="188"/>
      <c r="O8" s="188"/>
      <c r="P8" s="38"/>
      <c r="Q8" s="157"/>
      <c r="R8" s="156"/>
      <c r="S8" s="16">
        <f>M9</f>
        <v>6.0999999999999997E-4</v>
      </c>
      <c r="V8" s="38"/>
      <c r="W8" s="157"/>
      <c r="X8" s="166"/>
      <c r="Y8" s="168">
        <f>H7</f>
        <v>1.004E-6</v>
      </c>
      <c r="Z8" s="166"/>
      <c r="AA8" s="166"/>
      <c r="AB8" s="38"/>
      <c r="AC8" s="157"/>
      <c r="AD8" s="156"/>
      <c r="AE8" s="16">
        <f>E11*1000</f>
        <v>33</v>
      </c>
      <c r="AF8" s="156" t="s">
        <v>42</v>
      </c>
      <c r="AG8" s="169"/>
      <c r="AJ8" s="29" t="s">
        <v>49</v>
      </c>
      <c r="AK8" s="30">
        <v>1.5E-3</v>
      </c>
      <c r="AL8" s="31" t="s">
        <v>42</v>
      </c>
      <c r="AM8" s="32" t="s">
        <v>70</v>
      </c>
      <c r="AN8" s="33">
        <v>0</v>
      </c>
      <c r="AO8" s="31" t="s">
        <v>72</v>
      </c>
      <c r="AQ8" s="157"/>
      <c r="AR8" s="156"/>
      <c r="AS8" s="188">
        <v>4</v>
      </c>
      <c r="AT8" s="188"/>
      <c r="AU8" s="188"/>
      <c r="AV8" s="38"/>
      <c r="AW8" s="157"/>
      <c r="AX8" s="156"/>
      <c r="AY8" s="16">
        <f>AS9</f>
        <v>4.4000000000000002E-4</v>
      </c>
      <c r="BB8" s="38"/>
      <c r="BC8" s="157"/>
      <c r="BD8" s="166"/>
      <c r="BE8" s="168">
        <f>AN7</f>
        <v>1.004E-6</v>
      </c>
      <c r="BF8" s="166"/>
      <c r="BG8" s="166"/>
      <c r="BH8" s="38"/>
      <c r="BI8" s="157"/>
      <c r="BJ8" s="156"/>
      <c r="BK8" s="16">
        <f>AK11*1000</f>
        <v>26</v>
      </c>
      <c r="BL8" s="156" t="s">
        <v>42</v>
      </c>
      <c r="BM8" s="169"/>
    </row>
    <row r="9" spans="2:65" ht="15.75" thickBot="1" x14ac:dyDescent="0.3">
      <c r="B9" s="14"/>
      <c r="C9" s="14"/>
      <c r="D9" s="116" t="s">
        <v>41</v>
      </c>
      <c r="E9" s="117">
        <f>E8/(E11*1000)</f>
        <v>4.5454545454545459E-5</v>
      </c>
      <c r="F9" s="118" t="s">
        <v>50</v>
      </c>
      <c r="G9" s="48" t="s">
        <v>71</v>
      </c>
      <c r="H9" s="49">
        <v>0</v>
      </c>
      <c r="I9" s="50" t="s">
        <v>72</v>
      </c>
      <c r="K9" s="51" t="s">
        <v>33</v>
      </c>
      <c r="L9" s="52" t="s">
        <v>34</v>
      </c>
      <c r="M9" s="170">
        <f>ROUND(PI()*(E6^2)/4,5)</f>
        <v>6.0999999999999997E-4</v>
      </c>
      <c r="N9" s="170"/>
      <c r="O9" s="52" t="s">
        <v>51</v>
      </c>
      <c r="P9" s="53"/>
      <c r="Q9" s="54" t="s">
        <v>38</v>
      </c>
      <c r="R9" s="52" t="s">
        <v>34</v>
      </c>
      <c r="S9" s="55">
        <v>1.8</v>
      </c>
      <c r="T9" s="170" t="s">
        <v>52</v>
      </c>
      <c r="U9" s="170"/>
      <c r="V9" s="53"/>
      <c r="W9" s="56" t="s">
        <v>40</v>
      </c>
      <c r="X9" s="57" t="s">
        <v>34</v>
      </c>
      <c r="Y9" s="171">
        <f>S9*E11/H7</f>
        <v>59163.346613545815</v>
      </c>
      <c r="Z9" s="170"/>
      <c r="AA9" s="170"/>
      <c r="AB9" s="53"/>
      <c r="AC9" s="56" t="s">
        <v>41</v>
      </c>
      <c r="AD9" s="57" t="s">
        <v>34</v>
      </c>
      <c r="AE9" s="136">
        <f>AE7/AE8</f>
        <v>4.5454545454545459E-5</v>
      </c>
      <c r="AF9" s="172"/>
      <c r="AG9" s="173"/>
      <c r="AJ9" s="45" t="s">
        <v>41</v>
      </c>
      <c r="AK9" s="46">
        <f>AK8/(AK11*1000)</f>
        <v>5.7692307692307691E-5</v>
      </c>
      <c r="AL9" s="47" t="s">
        <v>50</v>
      </c>
      <c r="AM9" s="48" t="s">
        <v>71</v>
      </c>
      <c r="AN9" s="49">
        <v>4.63</v>
      </c>
      <c r="AO9" s="50" t="s">
        <v>72</v>
      </c>
      <c r="AQ9" s="51" t="s">
        <v>33</v>
      </c>
      <c r="AR9" s="52" t="s">
        <v>34</v>
      </c>
      <c r="AS9" s="170">
        <f>ROUND(PI()*(AK6^2)/4,5)</f>
        <v>4.4000000000000002E-4</v>
      </c>
      <c r="AT9" s="170"/>
      <c r="AU9" s="52" t="s">
        <v>51</v>
      </c>
      <c r="AV9" s="53"/>
      <c r="AW9" s="54" t="s">
        <v>38</v>
      </c>
      <c r="AX9" s="52" t="s">
        <v>34</v>
      </c>
      <c r="AY9" s="55">
        <v>2.5</v>
      </c>
      <c r="AZ9" s="170" t="s">
        <v>52</v>
      </c>
      <c r="BA9" s="170"/>
      <c r="BB9" s="53"/>
      <c r="BC9" s="56" t="s">
        <v>40</v>
      </c>
      <c r="BD9" s="57" t="s">
        <v>34</v>
      </c>
      <c r="BE9" s="171">
        <f>AY9*AK11/AN7</f>
        <v>64741.035856573704</v>
      </c>
      <c r="BF9" s="170"/>
      <c r="BG9" s="170"/>
      <c r="BH9" s="53"/>
      <c r="BI9" s="56" t="s">
        <v>41</v>
      </c>
      <c r="BJ9" s="57" t="s">
        <v>34</v>
      </c>
      <c r="BK9" s="135">
        <f>BK7/BK8</f>
        <v>5.7692307692307691E-5</v>
      </c>
      <c r="BL9" s="172"/>
      <c r="BM9" s="173"/>
    </row>
    <row r="10" spans="2:65" x14ac:dyDescent="0.25">
      <c r="D10" s="33" t="s">
        <v>102</v>
      </c>
      <c r="E10" s="33">
        <f>H6/S9</f>
        <v>6.111111111111111E-4</v>
      </c>
      <c r="F10" s="33" t="s">
        <v>103</v>
      </c>
      <c r="AJ10" s="33" t="s">
        <v>102</v>
      </c>
      <c r="AK10" s="119">
        <f>AN6/AY9</f>
        <v>4.4000000000000002E-4</v>
      </c>
      <c r="AL10" s="33" t="s">
        <v>103</v>
      </c>
      <c r="AM10" s="17" t="s">
        <v>39</v>
      </c>
      <c r="AN10" s="17">
        <f>AN6*3600</f>
        <v>3.9600000000000004</v>
      </c>
      <c r="AO10" s="17" t="s">
        <v>105</v>
      </c>
    </row>
    <row r="11" spans="2:65" ht="15.75" thickBot="1" x14ac:dyDescent="0.3">
      <c r="D11" s="33" t="s">
        <v>150</v>
      </c>
      <c r="E11" s="33">
        <v>3.3000000000000002E-2</v>
      </c>
      <c r="F11" s="33" t="s">
        <v>72</v>
      </c>
      <c r="AJ11" s="33" t="s">
        <v>150</v>
      </c>
      <c r="AK11" s="33">
        <v>2.5999999999999999E-2</v>
      </c>
      <c r="AL11" s="33" t="s">
        <v>72</v>
      </c>
    </row>
    <row r="12" spans="2:65" x14ac:dyDescent="0.25">
      <c r="D12" s="189" t="s">
        <v>80</v>
      </c>
      <c r="E12" s="190"/>
      <c r="F12" s="190"/>
      <c r="G12" s="181"/>
      <c r="H12" s="181"/>
      <c r="I12" s="181"/>
      <c r="J12" s="181"/>
      <c r="K12" s="181"/>
      <c r="L12" s="181"/>
      <c r="M12" s="76"/>
      <c r="N12" s="77"/>
      <c r="O12" s="77"/>
      <c r="P12" s="77"/>
      <c r="Q12" s="77"/>
      <c r="R12" s="77"/>
      <c r="S12" s="77"/>
      <c r="T12" s="77"/>
      <c r="U12" s="77"/>
      <c r="V12" s="77"/>
      <c r="AJ12" s="180" t="s">
        <v>80</v>
      </c>
      <c r="AK12" s="181"/>
      <c r="AL12" s="181"/>
      <c r="AM12" s="181"/>
      <c r="AN12" s="181"/>
      <c r="AO12" s="181"/>
      <c r="AP12" s="181"/>
      <c r="AQ12" s="181"/>
      <c r="AR12" s="181"/>
      <c r="AS12" s="76"/>
    </row>
    <row r="13" spans="2:65" x14ac:dyDescent="0.25">
      <c r="D13" s="78" t="s">
        <v>56</v>
      </c>
      <c r="E13" s="59" t="s">
        <v>34</v>
      </c>
      <c r="F13" s="74">
        <f>L13</f>
        <v>0.10008340283569642</v>
      </c>
      <c r="G13" s="59" t="s">
        <v>72</v>
      </c>
      <c r="H13" s="59"/>
      <c r="I13" s="59"/>
      <c r="J13" s="59"/>
      <c r="K13" s="59"/>
      <c r="L13" s="19">
        <f>F14*(E7/E11)*(S9^2/19.62)</f>
        <v>0.10008340283569642</v>
      </c>
      <c r="M13" s="60"/>
      <c r="N13" s="59"/>
      <c r="O13" s="59" t="s">
        <v>104</v>
      </c>
      <c r="P13" s="59">
        <v>4.75</v>
      </c>
      <c r="Q13" s="59"/>
      <c r="R13" s="59"/>
      <c r="S13" s="59"/>
      <c r="T13" s="59"/>
      <c r="U13" s="59"/>
      <c r="V13" s="59"/>
      <c r="AJ13" s="78" t="s">
        <v>56</v>
      </c>
      <c r="AK13" s="59" t="s">
        <v>34</v>
      </c>
      <c r="AL13" s="74">
        <f>AR13</f>
        <v>1.0291696071512584</v>
      </c>
      <c r="AM13" s="59" t="s">
        <v>72</v>
      </c>
      <c r="AN13" s="59"/>
      <c r="AO13" s="59"/>
      <c r="AP13" s="59"/>
      <c r="AQ13" s="59"/>
      <c r="AR13" s="19">
        <f>AL14*(AK7/AK11)*(AY9^2/19.62)</f>
        <v>1.0291696071512584</v>
      </c>
      <c r="AS13" s="60"/>
    </row>
    <row r="14" spans="2:65" x14ac:dyDescent="0.25">
      <c r="D14" s="58" t="s">
        <v>79</v>
      </c>
      <c r="E14" s="59" t="s">
        <v>34</v>
      </c>
      <c r="F14" s="73">
        <v>0.02</v>
      </c>
      <c r="G14" s="73" t="s">
        <v>72</v>
      </c>
      <c r="H14" s="59"/>
      <c r="I14" s="59"/>
      <c r="J14" s="59"/>
      <c r="K14" s="59"/>
      <c r="L14" s="59"/>
      <c r="M14" s="60"/>
      <c r="N14" s="59"/>
      <c r="O14" s="59"/>
      <c r="P14" s="59"/>
      <c r="Q14" s="59"/>
      <c r="R14" s="59"/>
      <c r="S14" s="59"/>
      <c r="T14" s="59"/>
      <c r="U14" s="59"/>
      <c r="V14" s="59"/>
      <c r="AJ14" s="58" t="s">
        <v>79</v>
      </c>
      <c r="AK14" s="59" t="s">
        <v>34</v>
      </c>
      <c r="AL14" s="73">
        <v>0.02</v>
      </c>
      <c r="AM14" s="73" t="s">
        <v>72</v>
      </c>
      <c r="AN14" s="59"/>
      <c r="AO14" s="59"/>
      <c r="AP14" s="59"/>
      <c r="AQ14" s="59"/>
      <c r="AR14" s="59"/>
      <c r="AS14" s="60"/>
    </row>
    <row r="15" spans="2:65" ht="15.75" thickBot="1" x14ac:dyDescent="0.3">
      <c r="D15" s="79"/>
      <c r="E15" s="63"/>
      <c r="F15" s="63"/>
      <c r="G15" s="63"/>
      <c r="H15" s="63"/>
      <c r="I15" s="63"/>
      <c r="J15" s="63"/>
      <c r="K15" s="63"/>
      <c r="L15" s="63"/>
      <c r="M15" s="64"/>
      <c r="N15" s="19"/>
      <c r="O15" s="19"/>
      <c r="P15" s="19"/>
      <c r="Q15" s="19"/>
      <c r="R15" s="19"/>
      <c r="S15" s="19"/>
      <c r="T15" s="19"/>
      <c r="AJ15" s="79"/>
      <c r="AK15" s="63"/>
      <c r="AL15" s="63"/>
      <c r="AM15" s="63"/>
      <c r="AN15" s="63"/>
      <c r="AO15" s="63"/>
      <c r="AP15" s="63"/>
      <c r="AQ15" s="63"/>
      <c r="AR15" s="63"/>
      <c r="AS15" s="64"/>
    </row>
    <row r="16" spans="2:65" x14ac:dyDescent="0.25">
      <c r="D16" s="180" t="s">
        <v>81</v>
      </c>
      <c r="E16" s="181"/>
      <c r="F16" s="181"/>
      <c r="G16" s="181"/>
      <c r="H16" s="181"/>
      <c r="I16" s="181"/>
      <c r="J16" s="181"/>
      <c r="K16" s="181"/>
      <c r="L16" s="181"/>
      <c r="M16" s="76"/>
      <c r="N16" s="19"/>
      <c r="O16" s="19"/>
      <c r="P16" s="19"/>
      <c r="Q16" s="19"/>
      <c r="R16" s="19"/>
      <c r="S16" s="19"/>
      <c r="T16" s="19"/>
      <c r="AJ16" s="180" t="s">
        <v>81</v>
      </c>
      <c r="AK16" s="181"/>
      <c r="AL16" s="181"/>
      <c r="AM16" s="181"/>
      <c r="AN16" s="181"/>
      <c r="AO16" s="181"/>
      <c r="AP16" s="181"/>
      <c r="AQ16" s="181"/>
      <c r="AR16" s="181"/>
      <c r="AS16" s="76"/>
    </row>
    <row r="17" spans="2:51" x14ac:dyDescent="0.25">
      <c r="D17" s="80" t="s">
        <v>64</v>
      </c>
      <c r="E17" s="17" t="s">
        <v>34</v>
      </c>
      <c r="F17" s="17">
        <f>ROUND(I21*(S9^2/19.62),3)</f>
        <v>0.64400000000000002</v>
      </c>
      <c r="G17" s="19" t="s">
        <v>72</v>
      </c>
      <c r="H17" s="179" t="s">
        <v>82</v>
      </c>
      <c r="I17" s="166"/>
      <c r="J17" s="166"/>
      <c r="K17" s="166"/>
      <c r="L17" s="166"/>
      <c r="M17" s="61"/>
      <c r="N17" s="19"/>
      <c r="O17" s="19"/>
      <c r="P17" s="19"/>
      <c r="Q17" s="19"/>
      <c r="R17" s="19"/>
      <c r="S17" s="19"/>
      <c r="T17" s="19"/>
      <c r="AJ17" s="80" t="s">
        <v>64</v>
      </c>
      <c r="AK17" s="17" t="s">
        <v>34</v>
      </c>
      <c r="AL17" s="17">
        <f>ROUND((AO21*((AY9^2)/19.62)),3)</f>
        <v>7.6130000000000004</v>
      </c>
      <c r="AM17" s="19" t="s">
        <v>72</v>
      </c>
      <c r="AN17" s="179" t="s">
        <v>82</v>
      </c>
      <c r="AO17" s="166"/>
      <c r="AP17" s="166"/>
      <c r="AQ17" s="166"/>
      <c r="AR17" s="166"/>
      <c r="AS17" s="61"/>
    </row>
    <row r="18" spans="2:51" x14ac:dyDescent="0.25">
      <c r="D18" s="75"/>
      <c r="E18" s="19"/>
      <c r="F18" s="19"/>
      <c r="G18" s="19"/>
      <c r="H18" s="70" t="s">
        <v>66</v>
      </c>
      <c r="I18" s="17">
        <v>0.5</v>
      </c>
      <c r="L18" s="17"/>
      <c r="M18" s="61"/>
      <c r="N18" s="19"/>
      <c r="O18" s="19"/>
      <c r="P18" s="19"/>
      <c r="Q18" s="19"/>
      <c r="R18" s="19"/>
      <c r="S18" s="19"/>
      <c r="T18" s="19"/>
      <c r="AJ18" s="75"/>
      <c r="AK18" s="19"/>
      <c r="AL18" s="19"/>
      <c r="AM18" s="19"/>
      <c r="AN18" s="70" t="s">
        <v>66</v>
      </c>
      <c r="AO18" s="17">
        <v>0.5</v>
      </c>
      <c r="AP18" s="14" t="s">
        <v>100</v>
      </c>
      <c r="AQ18" s="14">
        <v>0.9</v>
      </c>
      <c r="AR18" s="17"/>
      <c r="AS18" s="61"/>
    </row>
    <row r="19" spans="2:51" x14ac:dyDescent="0.25">
      <c r="D19" s="75"/>
      <c r="E19" s="19"/>
      <c r="F19" s="19"/>
      <c r="G19" s="19"/>
      <c r="H19" s="70" t="s">
        <v>67</v>
      </c>
      <c r="I19" s="17">
        <v>2.5</v>
      </c>
      <c r="L19" s="17"/>
      <c r="M19" s="61"/>
      <c r="N19" s="19"/>
      <c r="O19" s="19"/>
      <c r="P19" s="19"/>
      <c r="Q19" s="19"/>
      <c r="R19" s="19"/>
      <c r="S19" s="19"/>
      <c r="T19" s="19"/>
      <c r="U19" s="19"/>
      <c r="V19" s="19"/>
      <c r="AJ19" s="75"/>
      <c r="AK19" s="19"/>
      <c r="AL19" s="19"/>
      <c r="AM19" s="19"/>
      <c r="AN19" s="70" t="s">
        <v>67</v>
      </c>
      <c r="AO19" s="17">
        <v>2.5</v>
      </c>
      <c r="AR19" s="17"/>
      <c r="AS19" s="61"/>
    </row>
    <row r="20" spans="2:51" x14ac:dyDescent="0.25">
      <c r="D20" s="75"/>
      <c r="E20" s="19"/>
      <c r="F20" s="19"/>
      <c r="G20" s="19"/>
      <c r="H20" s="70" t="s">
        <v>68</v>
      </c>
      <c r="I20" s="17">
        <v>0.9</v>
      </c>
      <c r="L20" s="17"/>
      <c r="M20" s="61"/>
      <c r="N20" s="19"/>
      <c r="O20" s="19"/>
      <c r="P20" s="19"/>
      <c r="Q20" s="164" t="s">
        <v>53</v>
      </c>
      <c r="R20" s="164"/>
      <c r="S20" s="33" t="s">
        <v>54</v>
      </c>
      <c r="T20" s="164" t="s">
        <v>55</v>
      </c>
      <c r="U20" s="164"/>
      <c r="V20" s="19"/>
      <c r="AJ20" s="75"/>
      <c r="AK20" s="19"/>
      <c r="AL20" s="19"/>
      <c r="AM20" s="19"/>
      <c r="AN20" s="70" t="s">
        <v>68</v>
      </c>
      <c r="AO20" s="17">
        <v>20</v>
      </c>
      <c r="AR20" s="17"/>
      <c r="AS20" s="61"/>
    </row>
    <row r="21" spans="2:51" ht="15.75" thickBot="1" x14ac:dyDescent="0.3">
      <c r="D21" s="79"/>
      <c r="E21" s="63"/>
      <c r="F21" s="63"/>
      <c r="G21" s="63"/>
      <c r="H21" s="81" t="s">
        <v>69</v>
      </c>
      <c r="I21" s="57">
        <f>SUM(I19:I20)+I18</f>
        <v>3.9</v>
      </c>
      <c r="J21" s="62"/>
      <c r="K21" s="62"/>
      <c r="L21" s="62"/>
      <c r="M21" s="64"/>
      <c r="N21" s="19"/>
      <c r="O21" s="19"/>
      <c r="P21" s="19"/>
      <c r="Q21" s="164">
        <v>0.02</v>
      </c>
      <c r="R21" s="164"/>
      <c r="S21" s="33">
        <f>1/(Q21)^(1/2)</f>
        <v>7.0710678118654755</v>
      </c>
      <c r="T21" s="165">
        <f>-2*LOG(($AE$9/3.7)+2.51/($Y$9*(Q21)^(1/2)))</f>
        <v>7.0109270429232033</v>
      </c>
      <c r="U21" s="165"/>
      <c r="V21" s="19"/>
      <c r="AJ21" s="79"/>
      <c r="AK21" s="63"/>
      <c r="AL21" s="63"/>
      <c r="AM21" s="63"/>
      <c r="AN21" s="81" t="s">
        <v>69</v>
      </c>
      <c r="AO21" s="57">
        <f>SUM(AO18:AO20)+AQ18</f>
        <v>23.9</v>
      </c>
      <c r="AP21" s="62"/>
      <c r="AQ21" s="62"/>
      <c r="AR21" s="62"/>
      <c r="AS21" s="64"/>
    </row>
    <row r="22" spans="2:51" x14ac:dyDescent="0.25">
      <c r="D22" s="180" t="s">
        <v>86</v>
      </c>
      <c r="E22" s="181"/>
      <c r="F22" s="181"/>
      <c r="G22" s="181"/>
      <c r="H22" s="181"/>
      <c r="I22" s="181"/>
      <c r="J22" s="181"/>
      <c r="K22" s="181"/>
      <c r="L22" s="181"/>
      <c r="M22" s="76"/>
      <c r="Q22" s="164">
        <v>1.2999999999999999E-2</v>
      </c>
      <c r="R22" s="164"/>
      <c r="S22" s="33">
        <f>1/(Q22)^(1/2)</f>
        <v>8.7705801930702929</v>
      </c>
      <c r="T22" s="165">
        <f>-2*LOG(($AE$9/3.7)+2.51/($Y$9*(Q22)^(1/2)))</f>
        <v>6.830487160568314</v>
      </c>
      <c r="U22" s="165"/>
      <c r="AJ22" s="180" t="s">
        <v>86</v>
      </c>
      <c r="AK22" s="181"/>
      <c r="AL22" s="181"/>
      <c r="AM22" s="181"/>
      <c r="AN22" s="181"/>
      <c r="AO22" s="181"/>
      <c r="AP22" s="181"/>
      <c r="AQ22" s="181"/>
      <c r="AR22" s="181"/>
      <c r="AS22" s="76"/>
    </row>
    <row r="23" spans="2:51" ht="15.75" thickBot="1" x14ac:dyDescent="0.3">
      <c r="D23" s="56" t="s">
        <v>65</v>
      </c>
      <c r="E23" s="57" t="s">
        <v>34</v>
      </c>
      <c r="F23" s="57">
        <f>SUM(F13+F17)</f>
        <v>0.74408340283569641</v>
      </c>
      <c r="G23" s="62"/>
      <c r="H23" s="62"/>
      <c r="I23" s="62"/>
      <c r="J23" s="62"/>
      <c r="K23" s="62"/>
      <c r="L23" s="62"/>
      <c r="M23" s="53"/>
      <c r="Q23" s="176">
        <v>1.7399999999999999E-2</v>
      </c>
      <c r="R23" s="176"/>
      <c r="S23" s="65">
        <f>1/(Q23)^(1/2)</f>
        <v>7.5809804357890336</v>
      </c>
      <c r="T23" s="177">
        <f>-2*LOG(($AE$9/3.7)+2.51/($Y$9*(Q23)^(1/2)))</f>
        <v>6.9527477322919111</v>
      </c>
      <c r="U23" s="177"/>
      <c r="AJ23" s="56" t="s">
        <v>65</v>
      </c>
      <c r="AK23" s="57" t="s">
        <v>34</v>
      </c>
      <c r="AL23" s="57">
        <f>SUM(AL13+AL17)</f>
        <v>8.6421696071512581</v>
      </c>
      <c r="AM23" s="62"/>
      <c r="AN23" s="62" t="s">
        <v>101</v>
      </c>
      <c r="AO23" s="62">
        <f>AL23+F23</f>
        <v>9.3862530099869552</v>
      </c>
      <c r="AP23" s="62"/>
      <c r="AQ23" s="62"/>
      <c r="AR23" s="62"/>
      <c r="AS23" s="53"/>
    </row>
    <row r="24" spans="2:51" x14ac:dyDescent="0.25">
      <c r="D24" s="180" t="s">
        <v>87</v>
      </c>
      <c r="E24" s="181"/>
      <c r="F24" s="181"/>
      <c r="G24" s="181"/>
      <c r="H24" s="181"/>
      <c r="I24" s="181"/>
      <c r="J24" s="181"/>
      <c r="K24" s="181"/>
      <c r="L24" s="181"/>
      <c r="M24" s="76"/>
      <c r="Q24" s="178">
        <v>3.5999999999999997E-2</v>
      </c>
      <c r="R24" s="178"/>
      <c r="S24" s="66">
        <f>1/(Q24)^(1/2)</f>
        <v>5.2704627669472996</v>
      </c>
      <c r="T24" s="175">
        <f>-2*LOG(($AE$9/3.7)+2.51/($Y$9*(Q24)^(1/2)))</f>
        <v>7.2546032110526699</v>
      </c>
      <c r="U24" s="175"/>
      <c r="AJ24" s="180" t="s">
        <v>87</v>
      </c>
      <c r="AK24" s="181"/>
      <c r="AL24" s="181"/>
      <c r="AM24" s="181"/>
      <c r="AN24" s="181"/>
      <c r="AO24" s="181"/>
      <c r="AP24" s="181"/>
      <c r="AQ24" s="181"/>
      <c r="AR24" s="181"/>
      <c r="AS24" s="76"/>
    </row>
    <row r="25" spans="2:51" x14ac:dyDescent="0.25">
      <c r="D25" s="80" t="s">
        <v>76</v>
      </c>
      <c r="E25" s="17" t="s">
        <v>34</v>
      </c>
      <c r="F25" s="17">
        <v>9810</v>
      </c>
      <c r="G25" s="166" t="s">
        <v>57</v>
      </c>
      <c r="H25" s="166"/>
      <c r="I25" s="166" t="s">
        <v>58</v>
      </c>
      <c r="J25" s="166"/>
      <c r="K25" s="166"/>
      <c r="L25" s="166"/>
      <c r="M25" s="38"/>
      <c r="AJ25" s="80" t="s">
        <v>76</v>
      </c>
      <c r="AK25" s="17" t="s">
        <v>34</v>
      </c>
      <c r="AL25" s="17">
        <v>9810</v>
      </c>
      <c r="AM25" s="166" t="s">
        <v>57</v>
      </c>
      <c r="AN25" s="166"/>
      <c r="AO25" s="166" t="s">
        <v>58</v>
      </c>
      <c r="AP25" s="166"/>
      <c r="AQ25" s="166"/>
      <c r="AR25" s="166"/>
      <c r="AS25" s="38"/>
    </row>
    <row r="26" spans="2:51" x14ac:dyDescent="0.25">
      <c r="D26" s="80" t="s">
        <v>59</v>
      </c>
      <c r="E26" s="17" t="s">
        <v>34</v>
      </c>
      <c r="F26" s="17">
        <f>H6</f>
        <v>1.1000000000000001E-3</v>
      </c>
      <c r="G26" s="166" t="s">
        <v>46</v>
      </c>
      <c r="H26" s="166"/>
      <c r="I26" s="166" t="s">
        <v>60</v>
      </c>
      <c r="J26" s="166"/>
      <c r="K26" s="166"/>
      <c r="L26" s="166"/>
      <c r="M26" s="38"/>
      <c r="AJ26" s="80" t="s">
        <v>59</v>
      </c>
      <c r="AK26" s="17" t="s">
        <v>34</v>
      </c>
      <c r="AL26" s="17">
        <f>AN6</f>
        <v>1.1000000000000001E-3</v>
      </c>
      <c r="AM26" s="166" t="s">
        <v>46</v>
      </c>
      <c r="AN26" s="166"/>
      <c r="AO26" s="166" t="s">
        <v>60</v>
      </c>
      <c r="AP26" s="166"/>
      <c r="AQ26" s="166"/>
      <c r="AR26" s="166"/>
      <c r="AS26" s="38"/>
    </row>
    <row r="27" spans="2:51" x14ac:dyDescent="0.25">
      <c r="D27" s="82" t="s">
        <v>83</v>
      </c>
      <c r="E27" s="17" t="s">
        <v>34</v>
      </c>
      <c r="F27" s="17">
        <f>H9-H8</f>
        <v>0</v>
      </c>
      <c r="G27" s="166" t="s">
        <v>45</v>
      </c>
      <c r="H27" s="166"/>
      <c r="M27" s="38"/>
      <c r="AJ27" s="82" t="s">
        <v>83</v>
      </c>
      <c r="AK27" s="17" t="s">
        <v>34</v>
      </c>
      <c r="AL27" s="17">
        <v>3.13</v>
      </c>
      <c r="AM27" s="166" t="s">
        <v>45</v>
      </c>
      <c r="AN27" s="166"/>
      <c r="AS27" s="38"/>
    </row>
    <row r="28" spans="2:51" ht="15.75" thickBot="1" x14ac:dyDescent="0.3">
      <c r="B28" s="67"/>
      <c r="C28" s="67"/>
      <c r="D28" s="56" t="s">
        <v>77</v>
      </c>
      <c r="E28" s="57" t="s">
        <v>34</v>
      </c>
      <c r="F28" s="57">
        <f>F27+S30+F23</f>
        <v>0.92608340283569635</v>
      </c>
      <c r="G28" s="182" t="s">
        <v>45</v>
      </c>
      <c r="H28" s="182"/>
      <c r="I28" s="182" t="s">
        <v>61</v>
      </c>
      <c r="J28" s="182"/>
      <c r="K28" s="182"/>
      <c r="L28" s="182"/>
      <c r="M28" s="53"/>
      <c r="S28" s="67"/>
      <c r="T28" s="67"/>
      <c r="AJ28" s="56" t="s">
        <v>77</v>
      </c>
      <c r="AK28" s="57" t="s">
        <v>34</v>
      </c>
      <c r="AL28" s="57">
        <f>AL27+AO23</f>
        <v>12.516253009986954</v>
      </c>
      <c r="AM28" s="182" t="s">
        <v>45</v>
      </c>
      <c r="AN28" s="182"/>
      <c r="AO28" s="182" t="s">
        <v>61</v>
      </c>
      <c r="AP28" s="182"/>
      <c r="AQ28" s="182"/>
      <c r="AR28" s="182"/>
      <c r="AS28" s="53"/>
    </row>
    <row r="29" spans="2:51" x14ac:dyDescent="0.25">
      <c r="B29" s="67"/>
      <c r="C29" s="67"/>
      <c r="D29" s="180" t="s">
        <v>87</v>
      </c>
      <c r="E29" s="181"/>
      <c r="F29" s="181"/>
      <c r="G29" s="181"/>
      <c r="H29" s="181"/>
      <c r="I29" s="181"/>
      <c r="J29" s="181"/>
      <c r="K29" s="181"/>
      <c r="L29" s="181"/>
      <c r="M29" s="76"/>
      <c r="S29" s="67"/>
      <c r="T29" s="67"/>
      <c r="AJ29" s="180" t="s">
        <v>87</v>
      </c>
      <c r="AK29" s="181"/>
      <c r="AL29" s="181"/>
      <c r="AM29" s="181"/>
      <c r="AN29" s="181"/>
      <c r="AO29" s="181"/>
      <c r="AP29" s="181"/>
      <c r="AQ29" s="181"/>
      <c r="AR29" s="181"/>
      <c r="AS29" s="76"/>
    </row>
    <row r="30" spans="2:51" x14ac:dyDescent="0.25">
      <c r="B30" s="67"/>
      <c r="C30" s="67"/>
      <c r="D30" s="80" t="s">
        <v>84</v>
      </c>
      <c r="E30" s="17" t="s">
        <v>34</v>
      </c>
      <c r="F30" s="69">
        <v>0.75</v>
      </c>
      <c r="G30" s="17"/>
      <c r="M30" s="38"/>
      <c r="Q30" s="72" t="s">
        <v>63</v>
      </c>
      <c r="R30" s="17" t="s">
        <v>34</v>
      </c>
      <c r="S30" s="71">
        <f>ROUND(S9^2/(2*8.91),3)</f>
        <v>0.182</v>
      </c>
      <c r="T30" s="67"/>
      <c r="AJ30" s="80" t="s">
        <v>84</v>
      </c>
      <c r="AK30" s="17" t="s">
        <v>34</v>
      </c>
      <c r="AL30" s="69">
        <v>0.75</v>
      </c>
      <c r="AM30" s="17"/>
      <c r="AS30" s="38"/>
      <c r="AW30" s="72" t="s">
        <v>63</v>
      </c>
      <c r="AX30" s="17" t="s">
        <v>34</v>
      </c>
      <c r="AY30" s="71">
        <f>ROUND(AY9^2/(2*8.91),3)</f>
        <v>0.35099999999999998</v>
      </c>
    </row>
    <row r="31" spans="2:51" ht="15.75" thickBot="1" x14ac:dyDescent="0.3">
      <c r="B31" s="67"/>
      <c r="C31" s="67"/>
      <c r="D31" s="56" t="s">
        <v>85</v>
      </c>
      <c r="E31" s="57" t="s">
        <v>34</v>
      </c>
      <c r="F31" s="57">
        <f>F25*F26*F28/F30</f>
        <v>13.324488000000001</v>
      </c>
      <c r="G31" s="182" t="s">
        <v>62</v>
      </c>
      <c r="H31" s="182"/>
      <c r="I31" s="182"/>
      <c r="J31" s="182"/>
      <c r="K31" s="182"/>
      <c r="L31" s="182"/>
      <c r="M31" s="53"/>
      <c r="Q31" s="68" t="s">
        <v>78</v>
      </c>
      <c r="R31" s="17" t="s">
        <v>34</v>
      </c>
      <c r="S31" s="17">
        <f>F13</f>
        <v>0.10008340283569642</v>
      </c>
      <c r="T31" s="67"/>
      <c r="AJ31" s="56" t="s">
        <v>85</v>
      </c>
      <c r="AK31" s="57" t="s">
        <v>34</v>
      </c>
      <c r="AL31" s="57">
        <f>AL25*AL26*AL28/AL30</f>
        <v>180.08384830769231</v>
      </c>
      <c r="AM31" s="182" t="s">
        <v>62</v>
      </c>
      <c r="AN31" s="182"/>
      <c r="AO31" s="182"/>
      <c r="AP31" s="182"/>
      <c r="AQ31" s="182"/>
      <c r="AR31" s="182"/>
      <c r="AS31" s="53"/>
      <c r="AW31" s="68" t="s">
        <v>78</v>
      </c>
      <c r="AX31" s="17" t="s">
        <v>34</v>
      </c>
      <c r="AY31" s="17">
        <f>AL13</f>
        <v>1.0291696071512584</v>
      </c>
    </row>
    <row r="32" spans="2:51" x14ac:dyDescent="0.25">
      <c r="B32" s="67"/>
      <c r="C32" s="67"/>
      <c r="I32" s="166"/>
      <c r="J32" s="166"/>
      <c r="K32" s="166"/>
      <c r="L32" s="166"/>
      <c r="S32" s="67"/>
      <c r="T32" s="67"/>
    </row>
    <row r="33" spans="2:37" x14ac:dyDescent="0.25">
      <c r="B33" s="67"/>
      <c r="C33" s="67"/>
      <c r="S33" s="67"/>
      <c r="T33" s="67"/>
    </row>
    <row r="34" spans="2:37" x14ac:dyDescent="0.25">
      <c r="B34" s="67"/>
      <c r="C34" s="67"/>
      <c r="S34" s="67"/>
      <c r="T34" s="67"/>
    </row>
    <row r="35" spans="2:37" x14ac:dyDescent="0.25">
      <c r="B35" s="67"/>
      <c r="C35" s="67"/>
      <c r="R35" s="14" t="s">
        <v>104</v>
      </c>
      <c r="S35" s="67">
        <v>4.75</v>
      </c>
      <c r="T35" s="67"/>
    </row>
    <row r="36" spans="2:37" x14ac:dyDescent="0.25">
      <c r="B36" s="67"/>
      <c r="C36" s="67"/>
      <c r="S36" s="67"/>
      <c r="T36" s="67"/>
    </row>
    <row r="37" spans="2:37" ht="42" customHeight="1" x14ac:dyDescent="0.25">
      <c r="B37" s="67"/>
      <c r="C37" s="14"/>
      <c r="S37" s="67"/>
      <c r="T37" s="67"/>
    </row>
    <row r="38" spans="2:37" x14ac:dyDescent="0.25">
      <c r="B38" s="14"/>
      <c r="C38" s="14"/>
      <c r="AJ38" s="14" t="s">
        <v>148</v>
      </c>
      <c r="AK38" s="14" t="s">
        <v>149</v>
      </c>
    </row>
    <row r="39" spans="2:37" x14ac:dyDescent="0.25">
      <c r="B39" s="14"/>
      <c r="C39" s="14"/>
      <c r="D39" s="14">
        <f>3.7+0.352+3.855</f>
        <v>7.907</v>
      </c>
      <c r="AJ39" s="14">
        <v>10</v>
      </c>
      <c r="AK39" s="14">
        <f>AL27+((F14*(E7/E6)+I21))*((AJ39^2)/(2*9.81*(M9^2)))+((AL14*(AK7/AK6)+AO21))*((AJ39^2)/(2*9.81*(AS9^2)))</f>
        <v>785879810.30636954</v>
      </c>
    </row>
    <row r="40" spans="2:37" x14ac:dyDescent="0.25">
      <c r="B40" s="14"/>
      <c r="C40" s="14"/>
      <c r="J40" s="17"/>
      <c r="K40" s="17"/>
      <c r="P40" s="17"/>
      <c r="Q40" s="168"/>
      <c r="R40" s="168"/>
    </row>
    <row r="41" spans="2:37" x14ac:dyDescent="0.25">
      <c r="B41" s="14"/>
      <c r="C41" s="14"/>
      <c r="J41" s="17"/>
      <c r="K41" s="17"/>
      <c r="P41" s="17"/>
      <c r="Q41" s="44"/>
      <c r="R41" s="44"/>
    </row>
    <row r="42" spans="2:37" x14ac:dyDescent="0.25">
      <c r="B42" s="14"/>
      <c r="C42" s="14"/>
      <c r="J42" s="17"/>
      <c r="K42" s="17"/>
      <c r="P42" s="17"/>
      <c r="Q42" s="44"/>
      <c r="R42" s="44"/>
    </row>
    <row r="43" spans="2:37" x14ac:dyDescent="0.25">
      <c r="B43" s="14"/>
      <c r="C43" s="14"/>
      <c r="P43" s="17"/>
      <c r="Q43" s="166"/>
      <c r="R43" s="166"/>
    </row>
    <row r="44" spans="2:37" hidden="1" x14ac:dyDescent="0.25">
      <c r="B44" s="14"/>
      <c r="C44" s="14"/>
      <c r="R44" s="14">
        <f>F31/1000</f>
        <v>1.3324488000000001E-2</v>
      </c>
      <c r="T44" s="14">
        <f>F31*0.75</f>
        <v>9.993366</v>
      </c>
      <c r="X44" s="14">
        <f>F25*F26*F28</f>
        <v>9.993366</v>
      </c>
    </row>
    <row r="45" spans="2:37" x14ac:dyDescent="0.25">
      <c r="B45" s="14"/>
      <c r="C45" s="14"/>
    </row>
    <row r="46" spans="2:37" x14ac:dyDescent="0.25">
      <c r="B46" s="14"/>
      <c r="C46" s="14"/>
    </row>
    <row r="47" spans="2:37" x14ac:dyDescent="0.25">
      <c r="B47" s="14"/>
      <c r="C47" s="14"/>
    </row>
    <row r="48" spans="2:37" x14ac:dyDescent="0.25">
      <c r="B48" s="14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</row>
    <row r="49" spans="2:17" x14ac:dyDescent="0.25">
      <c r="B49" s="14"/>
      <c r="C49" s="166"/>
      <c r="D49" s="166"/>
      <c r="E49" s="166"/>
      <c r="F49" s="166"/>
      <c r="G49" s="17"/>
      <c r="H49" s="17"/>
      <c r="I49" s="17"/>
      <c r="O49" s="17"/>
      <c r="P49" s="17"/>
      <c r="Q49" s="17"/>
    </row>
    <row r="50" spans="2:17" x14ac:dyDescent="0.25">
      <c r="B50" s="14"/>
      <c r="C50" s="14"/>
      <c r="N50" s="17"/>
      <c r="O50" s="17"/>
      <c r="P50" s="17"/>
      <c r="Q50" s="17"/>
    </row>
    <row r="51" spans="2:17" x14ac:dyDescent="0.25">
      <c r="B51" s="14"/>
      <c r="C51" s="14"/>
      <c r="O51" s="17"/>
      <c r="P51" s="17"/>
      <c r="Q51" s="17"/>
    </row>
    <row r="52" spans="2:17" x14ac:dyDescent="0.25">
      <c r="B52" s="14"/>
      <c r="C52" s="14"/>
      <c r="O52" s="17"/>
      <c r="P52" s="17"/>
      <c r="Q52" s="17"/>
    </row>
    <row r="53" spans="2:17" x14ac:dyDescent="0.25">
      <c r="B53" s="14"/>
      <c r="C53" s="14"/>
      <c r="O53" s="17"/>
      <c r="P53" s="17"/>
      <c r="Q53" s="17"/>
    </row>
    <row r="54" spans="2:17" x14ac:dyDescent="0.25">
      <c r="B54" s="14"/>
      <c r="C54" s="14"/>
      <c r="O54" s="17"/>
      <c r="P54" s="17"/>
      <c r="Q54" s="17"/>
    </row>
    <row r="55" spans="2:17" x14ac:dyDescent="0.25">
      <c r="B55" s="14"/>
      <c r="D55" s="17"/>
      <c r="E55" s="17"/>
      <c r="F55" s="166"/>
      <c r="G55" s="166"/>
      <c r="H55" s="166"/>
      <c r="I55" s="166"/>
      <c r="J55" s="166"/>
      <c r="K55" s="166"/>
      <c r="O55" s="17"/>
      <c r="P55" s="17"/>
      <c r="Q55" s="17"/>
    </row>
    <row r="56" spans="2:17" x14ac:dyDescent="0.25">
      <c r="B56" s="14"/>
      <c r="C56" s="14"/>
      <c r="F56" s="17"/>
      <c r="K56" s="17"/>
      <c r="L56" s="17"/>
      <c r="M56" s="17"/>
      <c r="O56" s="17"/>
      <c r="P56" s="17"/>
      <c r="Q56" s="17"/>
    </row>
    <row r="57" spans="2:17" x14ac:dyDescent="0.25">
      <c r="B57" s="14"/>
      <c r="D57" s="17"/>
      <c r="E57" s="17"/>
      <c r="F57" s="17"/>
      <c r="K57" s="17"/>
      <c r="L57" s="17"/>
      <c r="M57" s="17"/>
      <c r="O57" s="17"/>
      <c r="P57" s="17"/>
      <c r="Q57" s="17"/>
    </row>
    <row r="58" spans="2:17" x14ac:dyDescent="0.25">
      <c r="B58" s="14"/>
      <c r="D58" s="17"/>
      <c r="E58" s="17"/>
      <c r="F58" s="17"/>
      <c r="K58" s="17"/>
      <c r="L58" s="17"/>
      <c r="M58" s="17"/>
      <c r="O58" s="17"/>
      <c r="P58" s="17"/>
      <c r="Q58" s="17"/>
    </row>
    <row r="59" spans="2:17" x14ac:dyDescent="0.25">
      <c r="I59" s="17"/>
      <c r="K59" s="166"/>
      <c r="L59" s="166"/>
      <c r="M59" s="166"/>
      <c r="O59" s="17"/>
      <c r="P59" s="17"/>
      <c r="Q59" s="17"/>
    </row>
    <row r="60" spans="2:17" x14ac:dyDescent="0.25">
      <c r="I60" s="17"/>
      <c r="K60" s="166"/>
      <c r="L60" s="166"/>
      <c r="M60" s="166"/>
      <c r="O60" s="17"/>
      <c r="P60" s="83"/>
      <c r="Q60" s="84"/>
    </row>
    <row r="61" spans="2:17" x14ac:dyDescent="0.25">
      <c r="I61" s="17"/>
      <c r="K61" s="166"/>
      <c r="L61" s="166"/>
      <c r="M61" s="166"/>
      <c r="O61" s="17"/>
    </row>
    <row r="62" spans="2:17" x14ac:dyDescent="0.25">
      <c r="C62" s="14"/>
      <c r="I62" s="17"/>
      <c r="K62" s="166"/>
      <c r="L62" s="166"/>
      <c r="M62" s="166"/>
      <c r="O62" s="17"/>
    </row>
    <row r="63" spans="2:17" x14ac:dyDescent="0.25">
      <c r="I63" s="17"/>
      <c r="K63" s="17"/>
      <c r="L63" s="17"/>
      <c r="M63" s="17"/>
      <c r="O63" s="17"/>
    </row>
    <row r="64" spans="2:17" x14ac:dyDescent="0.25">
      <c r="C64" s="14"/>
      <c r="O64" s="17"/>
      <c r="P64" s="166"/>
      <c r="Q64" s="166"/>
    </row>
  </sheetData>
  <mergeCells count="108">
    <mergeCell ref="D3:F3"/>
    <mergeCell ref="AJ3:AL3"/>
    <mergeCell ref="G4:I4"/>
    <mergeCell ref="K4:K5"/>
    <mergeCell ref="L4:L5"/>
    <mergeCell ref="Q4:Q5"/>
    <mergeCell ref="R4:R5"/>
    <mergeCell ref="W4:W5"/>
    <mergeCell ref="X4:X5"/>
    <mergeCell ref="AC4:AC5"/>
    <mergeCell ref="BC4:BC5"/>
    <mergeCell ref="BD4:BD5"/>
    <mergeCell ref="BI4:BI5"/>
    <mergeCell ref="BJ4:BJ5"/>
    <mergeCell ref="M5:O5"/>
    <mergeCell ref="Y5:AA5"/>
    <mergeCell ref="AS5:AU5"/>
    <mergeCell ref="BE5:BG5"/>
    <mergeCell ref="AD4:AD5"/>
    <mergeCell ref="AM4:AO4"/>
    <mergeCell ref="AQ4:AQ5"/>
    <mergeCell ref="AR4:AR5"/>
    <mergeCell ref="AW4:AW5"/>
    <mergeCell ref="AX4:AX5"/>
    <mergeCell ref="AD7:AD8"/>
    <mergeCell ref="AF7:AG7"/>
    <mergeCell ref="AQ7:AQ8"/>
    <mergeCell ref="AR7:AR8"/>
    <mergeCell ref="AW7:AW8"/>
    <mergeCell ref="K7:K8"/>
    <mergeCell ref="L7:L8"/>
    <mergeCell ref="Q7:Q8"/>
    <mergeCell ref="R7:R8"/>
    <mergeCell ref="W7:W8"/>
    <mergeCell ref="X7:X8"/>
    <mergeCell ref="M8:O8"/>
    <mergeCell ref="AZ9:BA9"/>
    <mergeCell ref="BE9:BG9"/>
    <mergeCell ref="BL9:BM9"/>
    <mergeCell ref="D12:L12"/>
    <mergeCell ref="AJ12:AR12"/>
    <mergeCell ref="D16:L16"/>
    <mergeCell ref="AJ16:AR16"/>
    <mergeCell ref="Y8:AA8"/>
    <mergeCell ref="AF8:AG8"/>
    <mergeCell ref="AS8:AU8"/>
    <mergeCell ref="BE8:BG8"/>
    <mergeCell ref="BL8:BM8"/>
    <mergeCell ref="M9:N9"/>
    <mergeCell ref="T9:U9"/>
    <mergeCell ref="Y9:AA9"/>
    <mergeCell ref="AF9:AG9"/>
    <mergeCell ref="AS9:AT9"/>
    <mergeCell ref="AX7:AX8"/>
    <mergeCell ref="BC7:BC8"/>
    <mergeCell ref="BD7:BD8"/>
    <mergeCell ref="BI7:BI8"/>
    <mergeCell ref="BJ7:BJ8"/>
    <mergeCell ref="BL7:BM7"/>
    <mergeCell ref="AC7:AC8"/>
    <mergeCell ref="D22:L22"/>
    <mergeCell ref="Q22:R22"/>
    <mergeCell ref="T22:U22"/>
    <mergeCell ref="AJ22:AR22"/>
    <mergeCell ref="Q23:R23"/>
    <mergeCell ref="T23:U23"/>
    <mergeCell ref="H17:L17"/>
    <mergeCell ref="AN17:AR17"/>
    <mergeCell ref="Q20:R20"/>
    <mergeCell ref="T20:U20"/>
    <mergeCell ref="Q21:R21"/>
    <mergeCell ref="T21:U21"/>
    <mergeCell ref="G26:H26"/>
    <mergeCell ref="I26:L26"/>
    <mergeCell ref="AM26:AN26"/>
    <mergeCell ref="AO26:AR26"/>
    <mergeCell ref="G27:H27"/>
    <mergeCell ref="AM27:AN27"/>
    <mergeCell ref="D24:L24"/>
    <mergeCell ref="Q24:R24"/>
    <mergeCell ref="T24:U24"/>
    <mergeCell ref="AJ24:AR24"/>
    <mergeCell ref="G25:H25"/>
    <mergeCell ref="I25:L25"/>
    <mergeCell ref="AM25:AN25"/>
    <mergeCell ref="AO25:AR25"/>
    <mergeCell ref="G31:H31"/>
    <mergeCell ref="I31:L31"/>
    <mergeCell ref="AM31:AN31"/>
    <mergeCell ref="AO31:AR31"/>
    <mergeCell ref="I32:L32"/>
    <mergeCell ref="Q40:R40"/>
    <mergeCell ref="G28:H28"/>
    <mergeCell ref="I28:L28"/>
    <mergeCell ref="AM28:AN28"/>
    <mergeCell ref="AO28:AR28"/>
    <mergeCell ref="D29:L29"/>
    <mergeCell ref="AJ29:AR29"/>
    <mergeCell ref="K60:M60"/>
    <mergeCell ref="K61:M61"/>
    <mergeCell ref="K62:M62"/>
    <mergeCell ref="P64:Q64"/>
    <mergeCell ref="Q43:R43"/>
    <mergeCell ref="C48:Q48"/>
    <mergeCell ref="C49:F49"/>
    <mergeCell ref="F55:G55"/>
    <mergeCell ref="H55:K55"/>
    <mergeCell ref="K59:M59"/>
  </mergeCells>
  <pageMargins left="0.7" right="0.7" top="0.75" bottom="0.75" header="0.3" footer="0.3"/>
  <pageSetup orientation="portrait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385F9-A77F-4590-AE62-34297C6DEAC7}">
  <dimension ref="A2:I34"/>
  <sheetViews>
    <sheetView workbookViewId="0">
      <selection activeCell="B18" sqref="B18"/>
    </sheetView>
  </sheetViews>
  <sheetFormatPr baseColWidth="10" defaultRowHeight="15" x14ac:dyDescent="0.25"/>
  <cols>
    <col min="1" max="1" width="18.28515625" bestFit="1" customWidth="1"/>
    <col min="5" max="5" width="18.28515625" bestFit="1" customWidth="1"/>
  </cols>
  <sheetData>
    <row r="2" spans="1:9" ht="15.75" thickBot="1" x14ac:dyDescent="0.3"/>
    <row r="3" spans="1:9" x14ac:dyDescent="0.25">
      <c r="A3" s="191" t="s">
        <v>106</v>
      </c>
      <c r="B3" s="192"/>
      <c r="C3" s="192"/>
      <c r="D3" s="193"/>
      <c r="E3" s="191" t="s">
        <v>106</v>
      </c>
      <c r="F3" s="192"/>
      <c r="G3" s="192"/>
      <c r="H3" s="194"/>
    </row>
    <row r="4" spans="1:9" x14ac:dyDescent="0.25">
      <c r="A4" s="94" t="s">
        <v>107</v>
      </c>
      <c r="B4" s="120" t="s">
        <v>34</v>
      </c>
      <c r="C4" s="120">
        <v>0.93</v>
      </c>
      <c r="D4" s="127" t="s">
        <v>72</v>
      </c>
      <c r="E4" s="94" t="s">
        <v>122</v>
      </c>
      <c r="F4" s="120" t="s">
        <v>34</v>
      </c>
      <c r="G4" s="120">
        <v>0</v>
      </c>
      <c r="H4" s="121" t="s">
        <v>72</v>
      </c>
    </row>
    <row r="5" spans="1:9" x14ac:dyDescent="0.25">
      <c r="A5" s="94" t="s">
        <v>123</v>
      </c>
      <c r="B5" s="120" t="s">
        <v>34</v>
      </c>
      <c r="C5" s="120">
        <v>0</v>
      </c>
      <c r="D5" s="127" t="s">
        <v>72</v>
      </c>
      <c r="E5" s="94" t="s">
        <v>121</v>
      </c>
      <c r="F5" s="120" t="s">
        <v>34</v>
      </c>
      <c r="G5" s="120">
        <v>4.93</v>
      </c>
      <c r="H5" s="121" t="s">
        <v>72</v>
      </c>
    </row>
    <row r="6" spans="1:9" x14ac:dyDescent="0.25">
      <c r="A6" s="94"/>
      <c r="B6" s="120"/>
      <c r="C6" s="120"/>
      <c r="D6" s="127"/>
      <c r="E6" s="94"/>
      <c r="F6" s="120"/>
      <c r="G6" s="120"/>
      <c r="H6" s="121"/>
    </row>
    <row r="7" spans="1:9" x14ac:dyDescent="0.25">
      <c r="A7" s="94" t="s">
        <v>108</v>
      </c>
      <c r="B7" s="1" t="s">
        <v>47</v>
      </c>
      <c r="C7" s="120">
        <v>1</v>
      </c>
      <c r="D7" s="127" t="s">
        <v>72</v>
      </c>
      <c r="E7" s="94" t="s">
        <v>108</v>
      </c>
      <c r="F7" s="1" t="s">
        <v>47</v>
      </c>
      <c r="G7" s="120">
        <v>3.7</v>
      </c>
      <c r="H7" s="121" t="s">
        <v>72</v>
      </c>
    </row>
    <row r="8" spans="1:9" x14ac:dyDescent="0.25">
      <c r="A8" s="94" t="s">
        <v>109</v>
      </c>
      <c r="B8" s="1" t="s">
        <v>39</v>
      </c>
      <c r="C8" s="120">
        <v>4.0999999999999999E-4</v>
      </c>
      <c r="D8" s="127" t="s">
        <v>125</v>
      </c>
      <c r="E8" s="94" t="s">
        <v>109</v>
      </c>
      <c r="F8" s="1" t="s">
        <v>39</v>
      </c>
      <c r="G8" s="120">
        <v>4.0999999999999999E-4</v>
      </c>
      <c r="H8" s="121" t="s">
        <v>125</v>
      </c>
    </row>
    <row r="9" spans="1:9" x14ac:dyDescent="0.25">
      <c r="A9" s="94" t="s">
        <v>110</v>
      </c>
      <c r="B9" s="1" t="s">
        <v>113</v>
      </c>
      <c r="C9" s="129">
        <f>SQRT((4*C12)/PI())</f>
        <v>1.7029846566500969E-2</v>
      </c>
      <c r="D9" s="127" t="s">
        <v>72</v>
      </c>
      <c r="E9" s="94" t="s">
        <v>110</v>
      </c>
      <c r="F9" s="1" t="s">
        <v>113</v>
      </c>
      <c r="G9" s="120">
        <f>SQRT((4*G12)/PI())</f>
        <v>1.4450303987687135E-2</v>
      </c>
      <c r="H9" s="127" t="s">
        <v>72</v>
      </c>
    </row>
    <row r="10" spans="1:9" x14ac:dyDescent="0.25">
      <c r="A10" s="94" t="s">
        <v>126</v>
      </c>
      <c r="B10" s="1" t="s">
        <v>127</v>
      </c>
      <c r="C10" s="120">
        <v>1.9E-2</v>
      </c>
      <c r="D10" s="127" t="s">
        <v>72</v>
      </c>
      <c r="E10" s="94" t="s">
        <v>126</v>
      </c>
      <c r="F10" s="1" t="s">
        <v>127</v>
      </c>
      <c r="G10" s="120">
        <v>1.9E-2</v>
      </c>
      <c r="H10" s="127" t="s">
        <v>72</v>
      </c>
    </row>
    <row r="11" spans="1:9" x14ac:dyDescent="0.25">
      <c r="A11" s="94" t="s">
        <v>111</v>
      </c>
      <c r="B11" s="1" t="s">
        <v>112</v>
      </c>
      <c r="C11" s="120">
        <v>150</v>
      </c>
      <c r="D11" s="127"/>
      <c r="E11" s="94" t="s">
        <v>111</v>
      </c>
      <c r="F11" s="1" t="s">
        <v>112</v>
      </c>
      <c r="G11" s="120">
        <v>150</v>
      </c>
      <c r="H11" s="127"/>
    </row>
    <row r="12" spans="1:9" x14ac:dyDescent="0.25">
      <c r="A12" s="94" t="s">
        <v>129</v>
      </c>
      <c r="B12" s="1" t="s">
        <v>33</v>
      </c>
      <c r="C12" s="129">
        <f>C8/C13</f>
        <v>2.2777777777777775E-4</v>
      </c>
      <c r="D12" s="127" t="s">
        <v>130</v>
      </c>
      <c r="E12" s="94" t="s">
        <v>129</v>
      </c>
      <c r="F12" s="1" t="s">
        <v>33</v>
      </c>
      <c r="G12" s="120">
        <f>G8/G13</f>
        <v>1.64E-4</v>
      </c>
      <c r="H12" s="127" t="s">
        <v>130</v>
      </c>
    </row>
    <row r="13" spans="1:9" x14ac:dyDescent="0.25">
      <c r="A13" s="94" t="s">
        <v>128</v>
      </c>
      <c r="B13" s="1" t="s">
        <v>38</v>
      </c>
      <c r="C13" s="120">
        <v>1.8</v>
      </c>
      <c r="D13" s="127" t="s">
        <v>95</v>
      </c>
      <c r="E13" s="94" t="s">
        <v>128</v>
      </c>
      <c r="F13" s="1" t="s">
        <v>38</v>
      </c>
      <c r="G13" s="120">
        <v>2.5</v>
      </c>
      <c r="H13" s="127" t="s">
        <v>95</v>
      </c>
      <c r="I13" s="126"/>
    </row>
    <row r="14" spans="1:9" x14ac:dyDescent="0.25">
      <c r="A14" s="94"/>
      <c r="B14" s="120"/>
      <c r="C14" s="120"/>
      <c r="D14" s="127"/>
      <c r="E14" s="94"/>
      <c r="F14" s="120"/>
      <c r="G14" s="120"/>
      <c r="H14" s="121"/>
      <c r="I14" s="126"/>
    </row>
    <row r="15" spans="1:9" x14ac:dyDescent="0.25">
      <c r="A15" s="94"/>
      <c r="B15" s="120"/>
      <c r="C15" s="120"/>
      <c r="D15" s="127"/>
      <c r="E15" s="94"/>
      <c r="F15" s="120"/>
      <c r="G15" s="120"/>
      <c r="H15" s="121"/>
      <c r="I15" s="126"/>
    </row>
    <row r="16" spans="1:9" x14ac:dyDescent="0.25">
      <c r="A16" s="122" t="s">
        <v>114</v>
      </c>
      <c r="B16" s="1" t="s">
        <v>118</v>
      </c>
      <c r="C16" s="1" t="s">
        <v>119</v>
      </c>
      <c r="D16" s="2" t="s">
        <v>120</v>
      </c>
      <c r="E16" s="122" t="s">
        <v>114</v>
      </c>
      <c r="F16" s="1" t="s">
        <v>118</v>
      </c>
      <c r="G16" s="1" t="s">
        <v>119</v>
      </c>
      <c r="H16" s="93" t="s">
        <v>120</v>
      </c>
      <c r="I16" s="126"/>
    </row>
    <row r="17" spans="1:9" x14ac:dyDescent="0.25">
      <c r="A17" s="94" t="s">
        <v>115</v>
      </c>
      <c r="B17" s="120">
        <v>1</v>
      </c>
      <c r="C17" s="120">
        <v>12</v>
      </c>
      <c r="D17" s="127">
        <f>C17*B17</f>
        <v>12</v>
      </c>
      <c r="E17" s="94" t="s">
        <v>131</v>
      </c>
      <c r="F17" s="120">
        <v>1</v>
      </c>
      <c r="G17" s="33">
        <v>0.9</v>
      </c>
      <c r="H17" s="120">
        <f>G17*F17</f>
        <v>0.9</v>
      </c>
      <c r="I17" s="126"/>
    </row>
    <row r="18" spans="1:9" x14ac:dyDescent="0.25">
      <c r="A18" s="94" t="s">
        <v>116</v>
      </c>
      <c r="B18" s="120">
        <v>1</v>
      </c>
      <c r="C18" s="120">
        <v>2.5</v>
      </c>
      <c r="D18" s="127">
        <f t="shared" ref="D18:D19" si="0">C18*B18</f>
        <v>2.5</v>
      </c>
      <c r="E18" s="94" t="s">
        <v>116</v>
      </c>
      <c r="F18" s="120">
        <v>1</v>
      </c>
      <c r="G18" s="33">
        <v>2.5</v>
      </c>
      <c r="H18" s="120">
        <f t="shared" ref="H18:H19" si="1">G18*F18</f>
        <v>2.5</v>
      </c>
      <c r="I18" s="126"/>
    </row>
    <row r="19" spans="1:9" x14ac:dyDescent="0.25">
      <c r="A19" s="94" t="s">
        <v>117</v>
      </c>
      <c r="B19" s="120">
        <v>1</v>
      </c>
      <c r="C19" s="120">
        <v>0.01</v>
      </c>
      <c r="D19" s="127">
        <f t="shared" si="0"/>
        <v>0.01</v>
      </c>
      <c r="E19" s="94" t="s">
        <v>116</v>
      </c>
      <c r="F19" s="120">
        <v>1</v>
      </c>
      <c r="G19" s="33">
        <v>0.02</v>
      </c>
      <c r="H19" s="120">
        <f t="shared" si="1"/>
        <v>0.02</v>
      </c>
      <c r="I19" s="126"/>
    </row>
    <row r="20" spans="1:9" x14ac:dyDescent="0.25">
      <c r="A20" s="94"/>
      <c r="B20" s="120"/>
      <c r="C20" s="120"/>
      <c r="D20" s="127">
        <f>C20*B20</f>
        <v>0</v>
      </c>
      <c r="E20" s="94"/>
      <c r="F20" s="120"/>
      <c r="G20" s="1"/>
      <c r="H20" s="120">
        <v>10</v>
      </c>
      <c r="I20" s="126"/>
    </row>
    <row r="21" spans="1:9" x14ac:dyDescent="0.25">
      <c r="A21" s="94"/>
      <c r="B21" s="120"/>
      <c r="C21" s="120" t="s">
        <v>124</v>
      </c>
      <c r="D21" s="127">
        <f>SUM(D17:D20)</f>
        <v>14.51</v>
      </c>
      <c r="E21" s="94"/>
      <c r="F21" s="120"/>
      <c r="G21" s="120" t="s">
        <v>124</v>
      </c>
      <c r="H21" s="121">
        <f>SUM(H17:H20)</f>
        <v>13.42</v>
      </c>
    </row>
    <row r="22" spans="1:9" x14ac:dyDescent="0.25">
      <c r="A22" s="123"/>
      <c r="B22" s="124"/>
      <c r="C22" s="124"/>
      <c r="D22" s="128"/>
      <c r="E22" s="123"/>
      <c r="F22" s="124"/>
      <c r="G22" s="124"/>
      <c r="H22" s="125"/>
    </row>
    <row r="24" spans="1:9" x14ac:dyDescent="0.25">
      <c r="A24" s="120" t="s">
        <v>132</v>
      </c>
      <c r="B24" s="120" t="s">
        <v>34</v>
      </c>
      <c r="C24" s="120">
        <f>C5-C4</f>
        <v>-0.93</v>
      </c>
      <c r="D24" s="120" t="s">
        <v>72</v>
      </c>
      <c r="E24" s="120" t="s">
        <v>133</v>
      </c>
      <c r="F24" s="120" t="s">
        <v>34</v>
      </c>
      <c r="G24" s="120">
        <f>G5-G4</f>
        <v>4.93</v>
      </c>
      <c r="H24" s="120" t="s">
        <v>72</v>
      </c>
    </row>
    <row r="25" spans="1:9" x14ac:dyDescent="0.25">
      <c r="A25" s="120" t="s">
        <v>134</v>
      </c>
      <c r="B25" s="120" t="s">
        <v>34</v>
      </c>
      <c r="C25" s="130">
        <f>((3.5908*C8*(C7^0.54))/(C11*(C10^2.63)))^1.85</f>
        <v>0.12873878640034375</v>
      </c>
      <c r="D25" s="120" t="s">
        <v>72</v>
      </c>
      <c r="E25" s="120" t="s">
        <v>138</v>
      </c>
      <c r="F25" s="120" t="s">
        <v>34</v>
      </c>
      <c r="G25" s="130">
        <f>((3.5908*G8*(G7^0.54))/(G11*(G10^2.63)))^1.85</f>
        <v>0.47571071441803653</v>
      </c>
      <c r="H25" s="120" t="s">
        <v>72</v>
      </c>
    </row>
    <row r="26" spans="1:9" x14ac:dyDescent="0.25">
      <c r="A26" s="120" t="s">
        <v>135</v>
      </c>
      <c r="B26" s="120" t="s">
        <v>34</v>
      </c>
      <c r="C26" s="130">
        <f>(8*D21*(C8^2))/(9.81*(PI()^2)*(C10^4))</f>
        <v>1.5464716264512981</v>
      </c>
      <c r="D26" s="120" t="s">
        <v>72</v>
      </c>
      <c r="E26" s="120" t="s">
        <v>139</v>
      </c>
      <c r="F26" s="120" t="s">
        <v>34</v>
      </c>
      <c r="G26" s="130">
        <f>(8*H21*(G8^2))/(9.81*(PI()^2)*(G10^4))</f>
        <v>1.4302997399708079</v>
      </c>
      <c r="H26" s="120" t="s">
        <v>72</v>
      </c>
    </row>
    <row r="27" spans="1:9" x14ac:dyDescent="0.25">
      <c r="A27" s="120" t="s">
        <v>136</v>
      </c>
      <c r="B27" s="120" t="s">
        <v>34</v>
      </c>
      <c r="C27" s="130">
        <f>SUM(C25:C26)</f>
        <v>1.6752104128516419</v>
      </c>
      <c r="D27" s="120" t="s">
        <v>72</v>
      </c>
      <c r="E27" s="120" t="s">
        <v>140</v>
      </c>
      <c r="F27" s="120" t="s">
        <v>34</v>
      </c>
      <c r="G27" s="130">
        <f>SUM(G25:G26)</f>
        <v>1.9060104543888445</v>
      </c>
      <c r="H27" s="120" t="s">
        <v>72</v>
      </c>
    </row>
    <row r="29" spans="1:9" x14ac:dyDescent="0.25">
      <c r="A29" s="120" t="s">
        <v>137</v>
      </c>
      <c r="B29" s="132" t="s">
        <v>141</v>
      </c>
      <c r="C29" s="130">
        <f>C24+G24+C27+G27</f>
        <v>7.5812208672404857</v>
      </c>
    </row>
    <row r="30" spans="1:9" x14ac:dyDescent="0.25">
      <c r="A30" s="120" t="s">
        <v>84</v>
      </c>
      <c r="B30" s="132" t="s">
        <v>146</v>
      </c>
      <c r="C30" s="133">
        <v>0.6</v>
      </c>
    </row>
    <row r="31" spans="1:9" x14ac:dyDescent="0.25">
      <c r="A31" s="120" t="s">
        <v>142</v>
      </c>
      <c r="B31" s="134" t="s">
        <v>76</v>
      </c>
      <c r="C31" s="120">
        <v>9810</v>
      </c>
    </row>
    <row r="32" spans="1:9" x14ac:dyDescent="0.25">
      <c r="A32" s="120" t="s">
        <v>143</v>
      </c>
      <c r="B32" s="132" t="s">
        <v>144</v>
      </c>
      <c r="C32" s="120">
        <f>C29*C31*C8</f>
        <v>30.492428450127957</v>
      </c>
    </row>
    <row r="33" spans="1:3" x14ac:dyDescent="0.25">
      <c r="A33" s="120" t="s">
        <v>145</v>
      </c>
      <c r="B33" s="132" t="s">
        <v>147</v>
      </c>
      <c r="C33" s="120">
        <f>C32/C30</f>
        <v>50.820714083546598</v>
      </c>
    </row>
    <row r="34" spans="1:3" x14ac:dyDescent="0.25">
      <c r="B34" s="131"/>
    </row>
  </sheetData>
  <mergeCells count="2">
    <mergeCell ref="A3:D3"/>
    <mergeCell ref="E3:H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7057B-B0FB-4C9E-B985-E9BAF5F5EEFB}">
  <dimension ref="B1:BM94"/>
  <sheetViews>
    <sheetView tabSelected="1" topLeftCell="AJ32" zoomScale="80" zoomScaleNormal="80" workbookViewId="0">
      <selection activeCell="BB21" sqref="BB21"/>
    </sheetView>
  </sheetViews>
  <sheetFormatPr baseColWidth="10" defaultRowHeight="15" x14ac:dyDescent="0.25"/>
  <cols>
    <col min="1" max="1" width="1.5703125" style="14" customWidth="1"/>
    <col min="2" max="2" width="5.140625" style="16" customWidth="1"/>
    <col min="3" max="3" width="5.42578125" style="17" customWidth="1"/>
    <col min="4" max="4" width="19.28515625" style="14" bestFit="1" customWidth="1"/>
    <col min="5" max="5" width="9.42578125" style="14" customWidth="1"/>
    <col min="6" max="6" width="12" style="14" bestFit="1" customWidth="1"/>
    <col min="7" max="7" width="3.5703125" style="14" customWidth="1"/>
    <col min="8" max="8" width="9" style="14" customWidth="1"/>
    <col min="9" max="9" width="8.140625" style="14" bestFit="1" customWidth="1"/>
    <col min="10" max="10" width="8.28515625" style="14" customWidth="1"/>
    <col min="11" max="11" width="7.5703125" style="14" customWidth="1"/>
    <col min="12" max="12" width="6" style="14" customWidth="1"/>
    <col min="13" max="13" width="11.140625" style="14" customWidth="1"/>
    <col min="14" max="14" width="6.5703125" style="14" customWidth="1"/>
    <col min="15" max="15" width="9" style="14" bestFit="1" customWidth="1"/>
    <col min="16" max="16" width="7.5703125" style="14" customWidth="1"/>
    <col min="17" max="17" width="2.28515625" style="14" customWidth="1"/>
    <col min="18" max="18" width="7.5703125" style="14" customWidth="1"/>
    <col min="19" max="19" width="12.28515625" style="14" bestFit="1" customWidth="1"/>
    <col min="20" max="20" width="12" style="14" bestFit="1" customWidth="1"/>
    <col min="21" max="21" width="2.28515625" style="14" customWidth="1"/>
    <col min="22" max="22" width="5.42578125" style="14" customWidth="1"/>
    <col min="23" max="23" width="3.140625" style="14" customWidth="1"/>
    <col min="24" max="24" width="2.7109375" style="14" customWidth="1"/>
    <col min="25" max="25" width="5.28515625" style="14" customWidth="1"/>
    <col min="26" max="26" width="7.28515625" style="14" customWidth="1"/>
    <col min="27" max="27" width="4.85546875" style="14" customWidth="1"/>
    <col min="28" max="28" width="7.28515625" style="14" customWidth="1"/>
    <col min="29" max="29" width="2.28515625" style="14" customWidth="1"/>
    <col min="30" max="30" width="9.42578125" style="14" bestFit="1" customWidth="1"/>
    <col min="31" max="31" width="16.42578125" style="14" customWidth="1"/>
    <col min="32" max="32" width="7.28515625" style="14" customWidth="1"/>
    <col min="33" max="33" width="0.28515625" style="14" customWidth="1"/>
    <col min="34" max="34" width="6.7109375" style="14" customWidth="1"/>
    <col min="35" max="35" width="2.28515625" style="14" customWidth="1"/>
    <col min="36" max="36" width="20.28515625" style="203" customWidth="1"/>
    <col min="37" max="37" width="13" style="203" bestFit="1" customWidth="1"/>
    <col min="38" max="38" width="13.28515625" style="14" customWidth="1"/>
    <col min="39" max="39" width="18.7109375" style="14" bestFit="1" customWidth="1"/>
    <col min="40" max="40" width="15.7109375" style="14" bestFit="1" customWidth="1"/>
    <col min="41" max="41" width="13.5703125" style="14" bestFit="1" customWidth="1"/>
    <col min="42" max="42" width="11.42578125" style="14"/>
    <col min="43" max="43" width="6.42578125" style="14" customWidth="1"/>
    <col min="44" max="44" width="6.5703125" style="14" customWidth="1"/>
    <col min="45" max="45" width="6.7109375" style="14" customWidth="1"/>
    <col min="46" max="46" width="6.42578125" style="14" customWidth="1"/>
    <col min="47" max="47" width="4" style="14" customWidth="1"/>
    <col min="48" max="48" width="11.42578125" style="14"/>
    <col min="49" max="49" width="6.85546875" style="14" customWidth="1"/>
    <col min="50" max="50" width="6" style="14" customWidth="1"/>
    <col min="51" max="51" width="13.42578125" style="14" customWidth="1"/>
    <col min="52" max="52" width="11" style="14" customWidth="1"/>
    <col min="53" max="53" width="11.28515625" style="14" customWidth="1"/>
    <col min="54" max="54" width="4.5703125" style="14" customWidth="1"/>
    <col min="55" max="55" width="7" style="14" customWidth="1"/>
    <col min="56" max="56" width="7.7109375" style="14" customWidth="1"/>
    <col min="57" max="57" width="7.5703125" style="14" customWidth="1"/>
    <col min="58" max="58" width="8.140625" style="14" customWidth="1"/>
    <col min="59" max="59" width="6.28515625" style="14" customWidth="1"/>
    <col min="60" max="60" width="11.42578125" style="14"/>
    <col min="61" max="61" width="7" style="14" customWidth="1"/>
    <col min="62" max="62" width="5.42578125" style="14" customWidth="1"/>
    <col min="63" max="63" width="15.7109375" style="14" customWidth="1"/>
    <col min="64" max="64" width="7.85546875" style="14" customWidth="1"/>
    <col min="65" max="65" width="4.140625" style="14" customWidth="1"/>
    <col min="66" max="16384" width="11.42578125" style="14"/>
  </cols>
  <sheetData>
    <row r="1" spans="2:65" ht="17.25" customHeight="1" x14ac:dyDescent="0.25">
      <c r="B1" s="11" t="s">
        <v>73</v>
      </c>
      <c r="C1" s="12"/>
      <c r="D1" s="13" t="s">
        <v>74</v>
      </c>
      <c r="E1" s="13"/>
      <c r="F1" s="13"/>
      <c r="K1" s="15"/>
      <c r="L1" s="15"/>
      <c r="M1" s="15"/>
      <c r="N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</row>
    <row r="2" spans="2:65" ht="15.75" thickBot="1" x14ac:dyDescent="0.3">
      <c r="K2" s="17"/>
      <c r="M2" s="18"/>
      <c r="N2" s="18"/>
      <c r="AJ2" s="14"/>
      <c r="AK2" s="14"/>
    </row>
    <row r="3" spans="2:65" ht="15.75" thickBot="1" x14ac:dyDescent="0.3">
      <c r="D3" s="183" t="s">
        <v>98</v>
      </c>
      <c r="E3" s="184"/>
      <c r="F3" s="185"/>
      <c r="AJ3" s="183" t="s">
        <v>99</v>
      </c>
      <c r="AK3" s="184"/>
      <c r="AL3" s="185"/>
    </row>
    <row r="4" spans="2:65" x14ac:dyDescent="0.25">
      <c r="D4" s="20" t="s">
        <v>31</v>
      </c>
      <c r="E4" s="21" t="s">
        <v>32</v>
      </c>
      <c r="F4" s="22"/>
      <c r="G4" s="186" t="s">
        <v>30</v>
      </c>
      <c r="H4" s="184"/>
      <c r="I4" s="185"/>
      <c r="K4" s="160" t="s">
        <v>33</v>
      </c>
      <c r="L4" s="162" t="s">
        <v>34</v>
      </c>
      <c r="M4" s="23" t="s">
        <v>35</v>
      </c>
      <c r="N4" s="23" t="s">
        <v>36</v>
      </c>
      <c r="O4" s="23" t="s">
        <v>37</v>
      </c>
      <c r="P4" s="24"/>
      <c r="Q4" s="160" t="s">
        <v>38</v>
      </c>
      <c r="R4" s="162" t="s">
        <v>34</v>
      </c>
      <c r="S4" s="25" t="s">
        <v>39</v>
      </c>
      <c r="T4" s="26"/>
      <c r="U4" s="26"/>
      <c r="V4" s="24"/>
      <c r="W4" s="160" t="s">
        <v>40</v>
      </c>
      <c r="X4" s="158" t="s">
        <v>34</v>
      </c>
      <c r="Y4" s="23" t="s">
        <v>38</v>
      </c>
      <c r="Z4" s="23" t="s">
        <v>36</v>
      </c>
      <c r="AA4" s="23" t="s">
        <v>37</v>
      </c>
      <c r="AB4" s="27"/>
      <c r="AC4" s="160" t="s">
        <v>41</v>
      </c>
      <c r="AD4" s="162" t="s">
        <v>34</v>
      </c>
      <c r="AE4" s="25" t="str">
        <f>D8</f>
        <v>e</v>
      </c>
      <c r="AF4" s="26"/>
      <c r="AG4" s="28"/>
      <c r="AJ4" s="20" t="s">
        <v>31</v>
      </c>
      <c r="AK4" s="21" t="s">
        <v>32</v>
      </c>
      <c r="AL4" s="22"/>
      <c r="AM4" s="186" t="s">
        <v>30</v>
      </c>
      <c r="AN4" s="184"/>
      <c r="AO4" s="185"/>
      <c r="AQ4" s="160" t="s">
        <v>33</v>
      </c>
      <c r="AR4" s="162" t="s">
        <v>34</v>
      </c>
      <c r="AS4" s="23" t="s">
        <v>35</v>
      </c>
      <c r="AT4" s="23" t="s">
        <v>36</v>
      </c>
      <c r="AU4" s="23" t="s">
        <v>37</v>
      </c>
      <c r="AV4" s="24"/>
      <c r="AW4" s="160" t="s">
        <v>38</v>
      </c>
      <c r="AX4" s="162" t="s">
        <v>34</v>
      </c>
      <c r="AY4" s="25" t="s">
        <v>39</v>
      </c>
      <c r="AZ4" s="26"/>
      <c r="BA4" s="26"/>
      <c r="BB4" s="24"/>
      <c r="BC4" s="160" t="s">
        <v>40</v>
      </c>
      <c r="BD4" s="158" t="s">
        <v>34</v>
      </c>
      <c r="BE4" s="23" t="s">
        <v>38</v>
      </c>
      <c r="BF4" s="23" t="s">
        <v>36</v>
      </c>
      <c r="BG4" s="23" t="s">
        <v>37</v>
      </c>
      <c r="BH4" s="27"/>
      <c r="BI4" s="160" t="s">
        <v>41</v>
      </c>
      <c r="BJ4" s="162" t="s">
        <v>34</v>
      </c>
      <c r="BK4" s="25" t="str">
        <f>AJ8</f>
        <v>e</v>
      </c>
      <c r="BL4" s="26"/>
      <c r="BM4" s="28"/>
    </row>
    <row r="5" spans="2:65" x14ac:dyDescent="0.25">
      <c r="D5" s="29" t="s">
        <v>37</v>
      </c>
      <c r="E5" s="30">
        <f>E6*1000</f>
        <v>27.894279572946679</v>
      </c>
      <c r="F5" s="31" t="s">
        <v>42</v>
      </c>
      <c r="G5" s="32" t="s">
        <v>39</v>
      </c>
      <c r="H5" s="33">
        <v>1.1000000000000001</v>
      </c>
      <c r="I5" s="31" t="s">
        <v>43</v>
      </c>
      <c r="K5" s="161"/>
      <c r="L5" s="163"/>
      <c r="M5" s="187">
        <v>4</v>
      </c>
      <c r="N5" s="187"/>
      <c r="O5" s="187"/>
      <c r="P5" s="35"/>
      <c r="Q5" s="161"/>
      <c r="R5" s="163"/>
      <c r="S5" s="34" t="s">
        <v>33</v>
      </c>
      <c r="T5" s="36"/>
      <c r="U5" s="36"/>
      <c r="V5" s="35"/>
      <c r="W5" s="161"/>
      <c r="X5" s="159"/>
      <c r="Y5" s="159" t="s">
        <v>44</v>
      </c>
      <c r="Z5" s="159"/>
      <c r="AA5" s="159"/>
      <c r="AB5" s="37"/>
      <c r="AC5" s="161"/>
      <c r="AD5" s="163"/>
      <c r="AE5" s="34" t="str">
        <f>D6</f>
        <v>D</v>
      </c>
      <c r="AF5" s="36"/>
      <c r="AG5" s="38"/>
      <c r="AJ5" s="29" t="s">
        <v>37</v>
      </c>
      <c r="AK5" s="30">
        <f>AK6*1000</f>
        <v>23.669081090812792</v>
      </c>
      <c r="AL5" s="31" t="s">
        <v>42</v>
      </c>
      <c r="AM5" s="32" t="s">
        <v>39</v>
      </c>
      <c r="AN5" s="33">
        <v>1.1000000000000001</v>
      </c>
      <c r="AO5" s="31" t="s">
        <v>43</v>
      </c>
      <c r="AQ5" s="161"/>
      <c r="AR5" s="163"/>
      <c r="AS5" s="187">
        <v>4</v>
      </c>
      <c r="AT5" s="187"/>
      <c r="AU5" s="187"/>
      <c r="AV5" s="35"/>
      <c r="AW5" s="161"/>
      <c r="AX5" s="163"/>
      <c r="AY5" s="34" t="s">
        <v>33</v>
      </c>
      <c r="AZ5" s="36"/>
      <c r="BA5" s="36"/>
      <c r="BB5" s="35"/>
      <c r="BC5" s="161"/>
      <c r="BD5" s="159"/>
      <c r="BE5" s="159" t="s">
        <v>44</v>
      </c>
      <c r="BF5" s="159"/>
      <c r="BG5" s="159"/>
      <c r="BH5" s="37"/>
      <c r="BI5" s="161"/>
      <c r="BJ5" s="163"/>
      <c r="BK5" s="34" t="str">
        <f>AJ6</f>
        <v>D</v>
      </c>
      <c r="BL5" s="36"/>
      <c r="BM5" s="38"/>
    </row>
    <row r="6" spans="2:65" x14ac:dyDescent="0.25">
      <c r="D6" s="29" t="s">
        <v>37</v>
      </c>
      <c r="E6" s="30">
        <f>SQRT((4*E10)/PI())</f>
        <v>2.7894279572946681E-2</v>
      </c>
      <c r="F6" s="31" t="s">
        <v>45</v>
      </c>
      <c r="G6" s="32" t="s">
        <v>39</v>
      </c>
      <c r="H6" s="33">
        <f>H5/1000</f>
        <v>1.1000000000000001E-3</v>
      </c>
      <c r="I6" s="31" t="s">
        <v>46</v>
      </c>
      <c r="K6" s="39"/>
      <c r="L6" s="16"/>
      <c r="M6" s="17"/>
      <c r="N6" s="17"/>
      <c r="O6" s="17"/>
      <c r="P6" s="38"/>
      <c r="Q6" s="40"/>
      <c r="V6" s="38"/>
      <c r="W6" s="40"/>
      <c r="X6" s="17"/>
      <c r="AB6" s="38"/>
      <c r="AC6" s="40"/>
      <c r="AG6" s="38"/>
      <c r="AJ6" s="29" t="s">
        <v>37</v>
      </c>
      <c r="AK6" s="30">
        <f>SQRT((4*AK10)/PI())</f>
        <v>2.3669081090812793E-2</v>
      </c>
      <c r="AL6" s="31" t="s">
        <v>45</v>
      </c>
      <c r="AM6" s="32" t="s">
        <v>39</v>
      </c>
      <c r="AN6" s="33">
        <f>AN5/1000</f>
        <v>1.1000000000000001E-3</v>
      </c>
      <c r="AO6" s="31" t="s">
        <v>46</v>
      </c>
      <c r="AQ6" s="39"/>
      <c r="AR6" s="16"/>
      <c r="AS6" s="17"/>
      <c r="AT6" s="17"/>
      <c r="AU6" s="17"/>
      <c r="AV6" s="38"/>
      <c r="AW6" s="40"/>
      <c r="BB6" s="38"/>
      <c r="BC6" s="40"/>
      <c r="BD6" s="17"/>
      <c r="BH6" s="38"/>
      <c r="BI6" s="40"/>
      <c r="BM6" s="38"/>
    </row>
    <row r="7" spans="2:65" x14ac:dyDescent="0.25">
      <c r="D7" s="29" t="s">
        <v>47</v>
      </c>
      <c r="E7" s="30">
        <v>1</v>
      </c>
      <c r="F7" s="31" t="s">
        <v>45</v>
      </c>
      <c r="G7" s="32" t="s">
        <v>44</v>
      </c>
      <c r="H7" s="41">
        <v>1.004E-6</v>
      </c>
      <c r="I7" s="31" t="s">
        <v>48</v>
      </c>
      <c r="K7" s="157" t="s">
        <v>33</v>
      </c>
      <c r="L7" s="156" t="s">
        <v>34</v>
      </c>
      <c r="M7" s="42" t="s">
        <v>35</v>
      </c>
      <c r="N7" s="42" t="s">
        <v>36</v>
      </c>
      <c r="O7" s="42">
        <f>E6</f>
        <v>2.7894279572946681E-2</v>
      </c>
      <c r="P7" s="38"/>
      <c r="Q7" s="157" t="s">
        <v>38</v>
      </c>
      <c r="R7" s="156" t="s">
        <v>34</v>
      </c>
      <c r="S7" s="43">
        <f>H6</f>
        <v>1.1000000000000001E-3</v>
      </c>
      <c r="T7" s="14">
        <f>S7/S8</f>
        <v>1.8032786885245904</v>
      </c>
      <c r="V7" s="38"/>
      <c r="W7" s="157" t="s">
        <v>40</v>
      </c>
      <c r="X7" s="166" t="s">
        <v>34</v>
      </c>
      <c r="Y7" s="42">
        <f>S9</f>
        <v>1.8</v>
      </c>
      <c r="Z7" s="42" t="s">
        <v>36</v>
      </c>
      <c r="AA7" s="42">
        <f>E6</f>
        <v>2.7894279572946681E-2</v>
      </c>
      <c r="AB7" s="38"/>
      <c r="AC7" s="157" t="s">
        <v>41</v>
      </c>
      <c r="AD7" s="156" t="s">
        <v>34</v>
      </c>
      <c r="AE7" s="43">
        <f>E8</f>
        <v>1.5E-3</v>
      </c>
      <c r="AF7" s="166" t="s">
        <v>42</v>
      </c>
      <c r="AG7" s="167"/>
      <c r="AJ7" s="29" t="s">
        <v>47</v>
      </c>
      <c r="AK7" s="30">
        <v>4.2</v>
      </c>
      <c r="AL7" s="31" t="s">
        <v>45</v>
      </c>
      <c r="AM7" s="32" t="s">
        <v>44</v>
      </c>
      <c r="AN7" s="41">
        <v>1.004E-6</v>
      </c>
      <c r="AO7" s="31" t="s">
        <v>48</v>
      </c>
      <c r="AQ7" s="157" t="s">
        <v>33</v>
      </c>
      <c r="AR7" s="156" t="s">
        <v>34</v>
      </c>
      <c r="AS7" s="42" t="s">
        <v>35</v>
      </c>
      <c r="AT7" s="42" t="s">
        <v>36</v>
      </c>
      <c r="AU7" s="42">
        <f>AK6</f>
        <v>2.3669081090812793E-2</v>
      </c>
      <c r="AV7" s="38"/>
      <c r="AW7" s="157" t="s">
        <v>38</v>
      </c>
      <c r="AX7" s="156" t="s">
        <v>34</v>
      </c>
      <c r="AY7" s="43">
        <f>AN6</f>
        <v>1.1000000000000001E-3</v>
      </c>
      <c r="BA7" s="14">
        <f>AY7/AY8</f>
        <v>2.5</v>
      </c>
      <c r="BB7" s="38"/>
      <c r="BC7" s="157" t="s">
        <v>40</v>
      </c>
      <c r="BD7" s="166" t="s">
        <v>34</v>
      </c>
      <c r="BE7" s="115">
        <f>AY9</f>
        <v>2.5</v>
      </c>
      <c r="BF7" s="42" t="s">
        <v>36</v>
      </c>
      <c r="BG7" s="42">
        <f>AK11</f>
        <v>3.3000000000000002E-2</v>
      </c>
      <c r="BH7" s="38"/>
      <c r="BI7" s="157" t="s">
        <v>41</v>
      </c>
      <c r="BJ7" s="156" t="s">
        <v>34</v>
      </c>
      <c r="BK7" s="43">
        <f>AK8</f>
        <v>1.5E-3</v>
      </c>
      <c r="BL7" s="166" t="s">
        <v>42</v>
      </c>
      <c r="BM7" s="167"/>
    </row>
    <row r="8" spans="2:65" x14ac:dyDescent="0.25">
      <c r="B8" s="14"/>
      <c r="C8" s="14"/>
      <c r="D8" s="29" t="s">
        <v>49</v>
      </c>
      <c r="E8" s="30">
        <v>1.5E-3</v>
      </c>
      <c r="F8" s="31" t="s">
        <v>42</v>
      </c>
      <c r="G8" s="32" t="s">
        <v>70</v>
      </c>
      <c r="H8" s="33">
        <v>0</v>
      </c>
      <c r="I8" s="31" t="s">
        <v>72</v>
      </c>
      <c r="K8" s="157"/>
      <c r="L8" s="156"/>
      <c r="M8" s="188">
        <v>4</v>
      </c>
      <c r="N8" s="188"/>
      <c r="O8" s="188"/>
      <c r="P8" s="38"/>
      <c r="Q8" s="157"/>
      <c r="R8" s="156"/>
      <c r="S8" s="16">
        <f>M9</f>
        <v>6.0999999999999997E-4</v>
      </c>
      <c r="V8" s="38"/>
      <c r="W8" s="157"/>
      <c r="X8" s="166"/>
      <c r="Y8" s="168">
        <f>H7</f>
        <v>1.004E-6</v>
      </c>
      <c r="Z8" s="166"/>
      <c r="AA8" s="166"/>
      <c r="AB8" s="38"/>
      <c r="AC8" s="157"/>
      <c r="AD8" s="156"/>
      <c r="AE8" s="16">
        <f>E11*1000</f>
        <v>48</v>
      </c>
      <c r="AF8" s="156" t="s">
        <v>42</v>
      </c>
      <c r="AG8" s="169"/>
      <c r="AJ8" s="29" t="s">
        <v>49</v>
      </c>
      <c r="AK8" s="30">
        <v>1.5E-3</v>
      </c>
      <c r="AL8" s="31" t="s">
        <v>42</v>
      </c>
      <c r="AM8" s="32" t="s">
        <v>70</v>
      </c>
      <c r="AN8" s="33">
        <v>0</v>
      </c>
      <c r="AO8" s="31" t="s">
        <v>72</v>
      </c>
      <c r="AQ8" s="157"/>
      <c r="AR8" s="156"/>
      <c r="AS8" s="188">
        <v>4</v>
      </c>
      <c r="AT8" s="188"/>
      <c r="AU8" s="188"/>
      <c r="AV8" s="38"/>
      <c r="AW8" s="157"/>
      <c r="AX8" s="156"/>
      <c r="AY8" s="16">
        <f>AS9</f>
        <v>4.4000000000000002E-4</v>
      </c>
      <c r="BB8" s="38"/>
      <c r="BC8" s="157"/>
      <c r="BD8" s="166"/>
      <c r="BE8" s="168">
        <f>AN7</f>
        <v>1.004E-6</v>
      </c>
      <c r="BF8" s="166"/>
      <c r="BG8" s="166"/>
      <c r="BH8" s="38"/>
      <c r="BI8" s="157"/>
      <c r="BJ8" s="156"/>
      <c r="BK8" s="16">
        <f>AK11*1000</f>
        <v>33</v>
      </c>
      <c r="BL8" s="156" t="s">
        <v>42</v>
      </c>
      <c r="BM8" s="169"/>
    </row>
    <row r="9" spans="2:65" ht="15.75" thickBot="1" x14ac:dyDescent="0.3">
      <c r="B9" s="14"/>
      <c r="C9" s="14"/>
      <c r="D9" s="116" t="s">
        <v>41</v>
      </c>
      <c r="E9" s="117">
        <f>E8/(E11*1000)</f>
        <v>3.1250000000000001E-5</v>
      </c>
      <c r="F9" s="118" t="s">
        <v>50</v>
      </c>
      <c r="G9" s="48" t="s">
        <v>71</v>
      </c>
      <c r="H9" s="49">
        <v>0</v>
      </c>
      <c r="I9" s="50" t="s">
        <v>72</v>
      </c>
      <c r="K9" s="51" t="s">
        <v>33</v>
      </c>
      <c r="L9" s="52" t="s">
        <v>34</v>
      </c>
      <c r="M9" s="170">
        <f>ROUND(PI()*(E6^2)/4,5)</f>
        <v>6.0999999999999997E-4</v>
      </c>
      <c r="N9" s="170"/>
      <c r="O9" s="52" t="s">
        <v>51</v>
      </c>
      <c r="P9" s="53"/>
      <c r="Q9" s="54" t="s">
        <v>38</v>
      </c>
      <c r="R9" s="52" t="s">
        <v>34</v>
      </c>
      <c r="S9" s="55">
        <v>1.8</v>
      </c>
      <c r="T9" s="170" t="s">
        <v>52</v>
      </c>
      <c r="U9" s="170"/>
      <c r="V9" s="53"/>
      <c r="W9" s="56" t="s">
        <v>40</v>
      </c>
      <c r="X9" s="57" t="s">
        <v>34</v>
      </c>
      <c r="Y9" s="171">
        <f>S9*E11/H7</f>
        <v>86055.77689243028</v>
      </c>
      <c r="Z9" s="170"/>
      <c r="AA9" s="170"/>
      <c r="AB9" s="53"/>
      <c r="AC9" s="56" t="s">
        <v>41</v>
      </c>
      <c r="AD9" s="57" t="s">
        <v>34</v>
      </c>
      <c r="AE9" s="136">
        <f>AE7/AE8</f>
        <v>3.1250000000000001E-5</v>
      </c>
      <c r="AF9" s="172"/>
      <c r="AG9" s="173"/>
      <c r="AJ9" s="45" t="s">
        <v>41</v>
      </c>
      <c r="AK9" s="46">
        <f>AK8/(AK11*1000)</f>
        <v>4.5454545454545459E-5</v>
      </c>
      <c r="AL9" s="47" t="s">
        <v>50</v>
      </c>
      <c r="AM9" s="48" t="s">
        <v>71</v>
      </c>
      <c r="AN9" s="49">
        <v>4.63</v>
      </c>
      <c r="AO9" s="50" t="s">
        <v>72</v>
      </c>
      <c r="AQ9" s="51" t="s">
        <v>33</v>
      </c>
      <c r="AR9" s="52" t="s">
        <v>34</v>
      </c>
      <c r="AS9" s="170">
        <f>ROUND(PI()*(AK6^2)/4,5)</f>
        <v>4.4000000000000002E-4</v>
      </c>
      <c r="AT9" s="170"/>
      <c r="AU9" s="52" t="s">
        <v>51</v>
      </c>
      <c r="AV9" s="53"/>
      <c r="AW9" s="54" t="s">
        <v>38</v>
      </c>
      <c r="AX9" s="52" t="s">
        <v>34</v>
      </c>
      <c r="AY9" s="55">
        <v>2.5</v>
      </c>
      <c r="AZ9" s="170" t="s">
        <v>52</v>
      </c>
      <c r="BA9" s="170"/>
      <c r="BB9" s="53"/>
      <c r="BC9" s="56" t="s">
        <v>40</v>
      </c>
      <c r="BD9" s="57" t="s">
        <v>34</v>
      </c>
      <c r="BE9" s="171">
        <f>AY9*AK11/AN7</f>
        <v>82171.314741035851</v>
      </c>
      <c r="BF9" s="170"/>
      <c r="BG9" s="170"/>
      <c r="BH9" s="53"/>
      <c r="BI9" s="56" t="s">
        <v>41</v>
      </c>
      <c r="BJ9" s="57" t="s">
        <v>34</v>
      </c>
      <c r="BK9" s="136">
        <f>BK7/BK8</f>
        <v>4.5454545454545459E-5</v>
      </c>
      <c r="BL9" s="172"/>
      <c r="BM9" s="173"/>
    </row>
    <row r="10" spans="2:65" x14ac:dyDescent="0.25">
      <c r="D10" s="33" t="s">
        <v>102</v>
      </c>
      <c r="E10" s="33">
        <f>H6/S9</f>
        <v>6.111111111111111E-4</v>
      </c>
      <c r="F10" s="33" t="s">
        <v>103</v>
      </c>
      <c r="AJ10" s="33" t="s">
        <v>102</v>
      </c>
      <c r="AK10" s="119">
        <f>AN6/AY9</f>
        <v>4.4000000000000002E-4</v>
      </c>
      <c r="AL10" s="33" t="s">
        <v>103</v>
      </c>
      <c r="AM10" s="17" t="s">
        <v>39</v>
      </c>
      <c r="AN10" s="17">
        <f>AN6*3600</f>
        <v>3.9600000000000004</v>
      </c>
      <c r="AO10" s="17" t="s">
        <v>105</v>
      </c>
    </row>
    <row r="11" spans="2:65" ht="15.75" thickBot="1" x14ac:dyDescent="0.3">
      <c r="D11" s="33" t="s">
        <v>150</v>
      </c>
      <c r="E11" s="33">
        <v>4.8000000000000001E-2</v>
      </c>
      <c r="F11" s="33" t="s">
        <v>72</v>
      </c>
      <c r="AJ11" s="33" t="s">
        <v>150</v>
      </c>
      <c r="AK11" s="33">
        <v>3.3000000000000002E-2</v>
      </c>
      <c r="AL11" s="33" t="s">
        <v>72</v>
      </c>
    </row>
    <row r="12" spans="2:65" x14ac:dyDescent="0.25">
      <c r="D12" s="189" t="s">
        <v>80</v>
      </c>
      <c r="E12" s="190"/>
      <c r="F12" s="190"/>
      <c r="G12" s="181"/>
      <c r="H12" s="181"/>
      <c r="I12" s="181"/>
      <c r="J12" s="181"/>
      <c r="K12" s="181"/>
      <c r="L12" s="181"/>
      <c r="M12" s="76"/>
      <c r="N12" s="77"/>
      <c r="O12" s="77"/>
      <c r="P12" s="77"/>
      <c r="Q12" s="77"/>
      <c r="R12" s="77"/>
      <c r="S12" s="77"/>
      <c r="T12" s="77"/>
      <c r="U12" s="77"/>
      <c r="V12" s="77"/>
      <c r="AJ12" s="180" t="s">
        <v>80</v>
      </c>
      <c r="AK12" s="181"/>
      <c r="AL12" s="181"/>
      <c r="AM12" s="181"/>
      <c r="AN12" s="181"/>
      <c r="AO12" s="181"/>
      <c r="AP12" s="181"/>
      <c r="AQ12" s="181"/>
      <c r="AR12" s="181"/>
      <c r="AS12" s="76"/>
    </row>
    <row r="13" spans="2:65" x14ac:dyDescent="0.25">
      <c r="D13" s="78" t="s">
        <v>56</v>
      </c>
      <c r="E13" s="59" t="s">
        <v>34</v>
      </c>
      <c r="F13" s="74">
        <f>L13</f>
        <v>6.1926605504587152E-2</v>
      </c>
      <c r="G13" s="59" t="s">
        <v>72</v>
      </c>
      <c r="H13" s="59"/>
      <c r="I13" s="59"/>
      <c r="J13" s="59"/>
      <c r="K13" s="59"/>
      <c r="L13" s="19">
        <f>F14*(E7/E11)*(S9^2/19.62)</f>
        <v>6.1926605504587152E-2</v>
      </c>
      <c r="M13" s="60"/>
      <c r="N13" s="59"/>
      <c r="O13" s="59"/>
      <c r="P13" s="59"/>
      <c r="Q13" s="59"/>
      <c r="R13" s="19" t="s">
        <v>152</v>
      </c>
      <c r="S13" s="59"/>
      <c r="T13" s="59" t="s">
        <v>153</v>
      </c>
      <c r="U13" s="59"/>
      <c r="V13" s="59"/>
      <c r="AJ13" s="78" t="s">
        <v>56</v>
      </c>
      <c r="AK13" s="59" t="s">
        <v>34</v>
      </c>
      <c r="AL13" s="74">
        <f>AR13</f>
        <v>0.72977481234361952</v>
      </c>
      <c r="AM13" s="59" t="s">
        <v>72</v>
      </c>
      <c r="AN13" s="59"/>
      <c r="AO13" s="59"/>
      <c r="AP13" s="59"/>
      <c r="AQ13" s="59"/>
      <c r="AR13" s="19">
        <f>AL14*(AK7/AK11)*(AY9^2/19.62)</f>
        <v>0.72977481234361952</v>
      </c>
      <c r="AS13" s="60"/>
    </row>
    <row r="14" spans="2:65" x14ac:dyDescent="0.25">
      <c r="D14" s="58" t="s">
        <v>79</v>
      </c>
      <c r="E14" s="59" t="s">
        <v>34</v>
      </c>
      <c r="F14" s="73">
        <v>1.7999999999999999E-2</v>
      </c>
      <c r="G14" s="73" t="s">
        <v>72</v>
      </c>
      <c r="H14" s="59"/>
      <c r="I14" s="59"/>
      <c r="J14" s="59"/>
      <c r="K14" s="59"/>
      <c r="L14" s="59"/>
      <c r="M14" s="60"/>
      <c r="N14" s="59"/>
      <c r="O14" s="59"/>
      <c r="P14" s="59"/>
      <c r="Q14" s="59"/>
      <c r="R14" s="59">
        <f>$F$14*($E$7/$E$11)*(AJ39^2/19.62)*(1/$M$9^2)</f>
        <v>0</v>
      </c>
      <c r="S14" s="59" t="s">
        <v>151</v>
      </c>
      <c r="T14" s="59">
        <f>($I$21*(AJ39^2/19.62)*(1/$M$9^2))</f>
        <v>0</v>
      </c>
      <c r="U14" s="59"/>
      <c r="V14" s="59"/>
      <c r="AJ14" s="58" t="s">
        <v>79</v>
      </c>
      <c r="AK14" s="59" t="s">
        <v>34</v>
      </c>
      <c r="AL14" s="73">
        <v>1.7999999999999999E-2</v>
      </c>
      <c r="AM14" s="73" t="s">
        <v>72</v>
      </c>
      <c r="AN14" s="59"/>
      <c r="AO14" s="59"/>
      <c r="AP14" s="59"/>
      <c r="AQ14" s="59"/>
      <c r="AR14" s="59"/>
      <c r="AS14" s="60"/>
    </row>
    <row r="15" spans="2:65" ht="15.75" thickBot="1" x14ac:dyDescent="0.3">
      <c r="D15" s="79"/>
      <c r="E15" s="63"/>
      <c r="F15" s="63"/>
      <c r="G15" s="63"/>
      <c r="H15" s="63"/>
      <c r="I15" s="63"/>
      <c r="J15" s="63"/>
      <c r="K15" s="63"/>
      <c r="L15" s="63"/>
      <c r="M15" s="64"/>
      <c r="N15" s="19"/>
      <c r="O15" s="19"/>
      <c r="P15" s="19"/>
      <c r="Q15" s="19"/>
      <c r="R15" s="19"/>
      <c r="S15" s="19"/>
      <c r="T15" s="19"/>
      <c r="AJ15" s="79"/>
      <c r="AK15" s="63"/>
      <c r="AL15" s="63"/>
      <c r="AM15" s="63"/>
      <c r="AN15" s="63"/>
      <c r="AO15" s="63"/>
      <c r="AP15" s="63"/>
      <c r="AQ15" s="63"/>
      <c r="AR15" s="63"/>
      <c r="AS15" s="64"/>
    </row>
    <row r="16" spans="2:65" x14ac:dyDescent="0.25">
      <c r="D16" s="180" t="s">
        <v>81</v>
      </c>
      <c r="E16" s="181"/>
      <c r="F16" s="181"/>
      <c r="G16" s="181"/>
      <c r="H16" s="181"/>
      <c r="I16" s="181"/>
      <c r="J16" s="181"/>
      <c r="K16" s="181"/>
      <c r="L16" s="181"/>
      <c r="M16" s="76"/>
      <c r="N16" s="19"/>
      <c r="P16" s="19"/>
      <c r="Q16" s="19"/>
      <c r="R16" s="19"/>
      <c r="S16" s="195"/>
      <c r="T16" s="19"/>
      <c r="AJ16" s="180" t="s">
        <v>81</v>
      </c>
      <c r="AK16" s="181"/>
      <c r="AL16" s="181"/>
      <c r="AM16" s="181"/>
      <c r="AN16" s="181"/>
      <c r="AO16" s="181"/>
      <c r="AP16" s="181"/>
      <c r="AQ16" s="181"/>
      <c r="AR16" s="181"/>
      <c r="AS16" s="76"/>
    </row>
    <row r="17" spans="2:56" x14ac:dyDescent="0.25">
      <c r="D17" s="80" t="s">
        <v>64</v>
      </c>
      <c r="E17" s="17" t="s">
        <v>34</v>
      </c>
      <c r="F17" s="17">
        <f>ROUND(I21*(S9^2/19.62),3)</f>
        <v>0.64400000000000002</v>
      </c>
      <c r="G17" s="19" t="s">
        <v>72</v>
      </c>
      <c r="H17" s="179" t="s">
        <v>82</v>
      </c>
      <c r="I17" s="166"/>
      <c r="J17" s="166"/>
      <c r="K17" s="166"/>
      <c r="L17" s="166"/>
      <c r="M17" s="61"/>
      <c r="N17" s="19"/>
      <c r="P17" s="19"/>
      <c r="Q17" s="19"/>
      <c r="R17" s="19"/>
      <c r="S17" s="19"/>
      <c r="T17" s="19"/>
      <c r="AJ17" s="80" t="s">
        <v>64</v>
      </c>
      <c r="AK17" s="17" t="s">
        <v>34</v>
      </c>
      <c r="AL17" s="17">
        <f>ROUND((AO21*((AY9^2)/19.62)),3)</f>
        <v>7.6130000000000004</v>
      </c>
      <c r="AM17" s="19" t="s">
        <v>72</v>
      </c>
      <c r="AN17" s="179" t="s">
        <v>82</v>
      </c>
      <c r="AO17" s="166"/>
      <c r="AP17" s="166"/>
      <c r="AQ17" s="166"/>
      <c r="AR17" s="166"/>
      <c r="AS17" s="61"/>
    </row>
    <row r="18" spans="2:56" x14ac:dyDescent="0.25">
      <c r="D18" s="75"/>
      <c r="E18" s="19"/>
      <c r="F18" s="19"/>
      <c r="G18" s="19"/>
      <c r="H18" s="70" t="s">
        <v>66</v>
      </c>
      <c r="I18" s="17">
        <v>0.5</v>
      </c>
      <c r="L18" s="17"/>
      <c r="M18" s="61"/>
      <c r="N18" s="19"/>
      <c r="O18" s="19"/>
      <c r="P18" s="19"/>
      <c r="Q18" s="19"/>
      <c r="R18" s="19"/>
      <c r="S18" s="19"/>
      <c r="T18" s="19"/>
      <c r="AJ18" s="75"/>
      <c r="AK18" s="19"/>
      <c r="AL18" s="19"/>
      <c r="AM18" s="19"/>
      <c r="AN18" s="70" t="s">
        <v>66</v>
      </c>
      <c r="AO18" s="17">
        <v>0.5</v>
      </c>
      <c r="AP18" s="14" t="s">
        <v>100</v>
      </c>
      <c r="AQ18" s="14">
        <v>0.9</v>
      </c>
      <c r="AR18" s="17"/>
      <c r="AS18" s="61"/>
    </row>
    <row r="19" spans="2:56" x14ac:dyDescent="0.25">
      <c r="D19" s="75"/>
      <c r="E19" s="19"/>
      <c r="F19" s="19"/>
      <c r="G19" s="19"/>
      <c r="H19" s="70" t="s">
        <v>67</v>
      </c>
      <c r="I19" s="17">
        <v>2.5</v>
      </c>
      <c r="L19" s="17"/>
      <c r="M19" s="61"/>
      <c r="N19" s="19"/>
      <c r="O19" s="19"/>
      <c r="P19" s="19"/>
      <c r="Q19" s="19"/>
      <c r="R19" s="19"/>
      <c r="S19" s="19"/>
      <c r="T19" s="19"/>
      <c r="U19" s="19"/>
      <c r="V19" s="19"/>
      <c r="AJ19" s="75"/>
      <c r="AK19" s="19"/>
      <c r="AL19" s="19"/>
      <c r="AM19" s="19"/>
      <c r="AN19" s="70" t="s">
        <v>67</v>
      </c>
      <c r="AO19" s="17">
        <v>2.5</v>
      </c>
      <c r="AR19" s="17"/>
      <c r="AS19" s="61"/>
    </row>
    <row r="20" spans="2:56" x14ac:dyDescent="0.25">
      <c r="D20" s="75"/>
      <c r="E20" s="19"/>
      <c r="F20" s="19"/>
      <c r="G20" s="19"/>
      <c r="H20" s="70" t="s">
        <v>68</v>
      </c>
      <c r="I20" s="17">
        <v>0.9</v>
      </c>
      <c r="L20" s="17"/>
      <c r="M20" s="61"/>
      <c r="N20" s="19"/>
      <c r="O20" s="19"/>
      <c r="P20" s="19"/>
      <c r="Q20" s="164" t="s">
        <v>53</v>
      </c>
      <c r="R20" s="164"/>
      <c r="S20" s="33" t="s">
        <v>54</v>
      </c>
      <c r="T20" s="164" t="s">
        <v>55</v>
      </c>
      <c r="U20" s="164"/>
      <c r="V20" s="19"/>
      <c r="AJ20" s="75"/>
      <c r="AK20" s="19"/>
      <c r="AL20" s="19"/>
      <c r="AM20" s="19"/>
      <c r="AN20" s="70" t="s">
        <v>68</v>
      </c>
      <c r="AO20" s="17">
        <v>20</v>
      </c>
      <c r="AR20" s="17"/>
      <c r="AS20" s="61"/>
    </row>
    <row r="21" spans="2:56" ht="15.75" thickBot="1" x14ac:dyDescent="0.3">
      <c r="D21" s="79"/>
      <c r="E21" s="63"/>
      <c r="F21" s="63"/>
      <c r="G21" s="63"/>
      <c r="H21" s="81" t="s">
        <v>69</v>
      </c>
      <c r="I21" s="57">
        <f>SUM(I19:I20)+I18</f>
        <v>3.9</v>
      </c>
      <c r="J21" s="62"/>
      <c r="K21" s="62"/>
      <c r="L21" s="62"/>
      <c r="M21" s="64"/>
      <c r="N21" s="19"/>
      <c r="O21" s="19"/>
      <c r="P21" s="19"/>
      <c r="Q21" s="164">
        <v>0.02</v>
      </c>
      <c r="R21" s="164"/>
      <c r="S21" s="33">
        <f>1/(Q21)^(1/2)</f>
        <v>7.0710678118654755</v>
      </c>
      <c r="T21" s="165">
        <f>-2*LOG(($AE$9/3.7)+2.51/($Y$9*(Q21)^(1/2)))</f>
        <v>7.3363816379186026</v>
      </c>
      <c r="U21" s="165"/>
      <c r="V21" s="19"/>
      <c r="AJ21" s="79"/>
      <c r="AK21" s="63"/>
      <c r="AL21" s="63"/>
      <c r="AM21" s="63"/>
      <c r="AN21" s="81" t="s">
        <v>69</v>
      </c>
      <c r="AO21" s="57">
        <f>SUM(AO18:AO20)+AQ18</f>
        <v>23.9</v>
      </c>
      <c r="AP21" s="62"/>
      <c r="AQ21" s="62"/>
      <c r="AR21" s="62"/>
      <c r="AS21" s="64"/>
      <c r="AY21" s="196" t="s">
        <v>167</v>
      </c>
      <c r="AZ21" s="196"/>
    </row>
    <row r="22" spans="2:56" x14ac:dyDescent="0.25">
      <c r="D22" s="180" t="s">
        <v>86</v>
      </c>
      <c r="E22" s="181"/>
      <c r="F22" s="181"/>
      <c r="G22" s="181"/>
      <c r="H22" s="181"/>
      <c r="I22" s="181"/>
      <c r="J22" s="181"/>
      <c r="K22" s="181"/>
      <c r="L22" s="181"/>
      <c r="M22" s="76"/>
      <c r="Q22" s="164">
        <v>1.2999999999999999E-2</v>
      </c>
      <c r="R22" s="164"/>
      <c r="S22" s="33">
        <f>1/(Q22)^(1/2)</f>
        <v>8.7705801930702929</v>
      </c>
      <c r="T22" s="165">
        <f>-2*LOG(($AE$9/3.7)+2.51/($Y$9*(Q22)^(1/2)))</f>
        <v>7.1559417555637133</v>
      </c>
      <c r="U22" s="165"/>
      <c r="AJ22" s="180" t="s">
        <v>86</v>
      </c>
      <c r="AK22" s="181"/>
      <c r="AL22" s="181"/>
      <c r="AM22" s="181"/>
      <c r="AN22" s="181"/>
      <c r="AO22" s="181"/>
      <c r="AP22" s="181"/>
      <c r="AQ22" s="181"/>
      <c r="AR22" s="181"/>
      <c r="AS22" s="76"/>
      <c r="AY22" s="196"/>
      <c r="AZ22" s="196"/>
    </row>
    <row r="23" spans="2:56" ht="15.75" customHeight="1" thickBot="1" x14ac:dyDescent="0.3">
      <c r="D23" s="56" t="s">
        <v>65</v>
      </c>
      <c r="E23" s="57" t="s">
        <v>34</v>
      </c>
      <c r="F23" s="57">
        <f>SUM(F13+F17)</f>
        <v>0.70592660550458719</v>
      </c>
      <c r="G23" s="62"/>
      <c r="H23" s="62"/>
      <c r="I23" s="62"/>
      <c r="J23" s="62"/>
      <c r="K23" s="62"/>
      <c r="L23" s="62"/>
      <c r="M23" s="53"/>
      <c r="Q23" s="176">
        <v>1.7399999999999999E-2</v>
      </c>
      <c r="R23" s="176"/>
      <c r="S23" s="65">
        <f>1/(Q23)^(1/2)</f>
        <v>7.5809804357890336</v>
      </c>
      <c r="T23" s="177">
        <f>-2*LOG(($AE$9/3.7)+2.51/($Y$9*(Q23)^(1/2)))</f>
        <v>7.2782023272873104</v>
      </c>
      <c r="U23" s="177"/>
      <c r="AJ23" s="56" t="s">
        <v>65</v>
      </c>
      <c r="AK23" s="57" t="s">
        <v>34</v>
      </c>
      <c r="AL23" s="57">
        <f>SUM(AL13+AL17)</f>
        <v>8.3427748123436203</v>
      </c>
      <c r="AM23" s="62"/>
      <c r="AN23" s="62" t="s">
        <v>101</v>
      </c>
      <c r="AO23" s="62">
        <f>AL23+F23</f>
        <v>9.048701417848207</v>
      </c>
      <c r="AP23" s="62"/>
      <c r="AQ23" s="62"/>
      <c r="AR23" s="62"/>
      <c r="AS23" s="53"/>
      <c r="AY23" s="196"/>
      <c r="AZ23" s="196"/>
    </row>
    <row r="24" spans="2:56" x14ac:dyDescent="0.25">
      <c r="D24" s="180" t="s">
        <v>87</v>
      </c>
      <c r="E24" s="181"/>
      <c r="F24" s="181"/>
      <c r="G24" s="181"/>
      <c r="H24" s="181"/>
      <c r="I24" s="181"/>
      <c r="J24" s="181"/>
      <c r="K24" s="181"/>
      <c r="L24" s="181"/>
      <c r="M24" s="76"/>
      <c r="Q24" s="178">
        <v>3.5999999999999997E-2</v>
      </c>
      <c r="R24" s="178"/>
      <c r="S24" s="66">
        <f>1/(Q24)^(1/2)</f>
        <v>5.2704627669472996</v>
      </c>
      <c r="T24" s="175">
        <f>-2*LOG(($AE$9/3.7)+2.51/($Y$9*(Q24)^(1/2)))</f>
        <v>7.5800578060480692</v>
      </c>
      <c r="U24" s="175"/>
      <c r="AJ24" s="180" t="s">
        <v>87</v>
      </c>
      <c r="AK24" s="181"/>
      <c r="AL24" s="181"/>
      <c r="AM24" s="181"/>
      <c r="AN24" s="181"/>
      <c r="AO24" s="181"/>
      <c r="AP24" s="181"/>
      <c r="AQ24" s="181"/>
      <c r="AR24" s="181"/>
      <c r="AS24" s="76"/>
      <c r="AY24" s="196"/>
      <c r="AZ24" s="196"/>
    </row>
    <row r="25" spans="2:56" x14ac:dyDescent="0.25">
      <c r="D25" s="80" t="s">
        <v>76</v>
      </c>
      <c r="E25" s="17" t="s">
        <v>34</v>
      </c>
      <c r="F25" s="17">
        <v>9810</v>
      </c>
      <c r="G25" s="166" t="s">
        <v>57</v>
      </c>
      <c r="H25" s="166"/>
      <c r="I25" s="166" t="s">
        <v>58</v>
      </c>
      <c r="J25" s="166"/>
      <c r="K25" s="166"/>
      <c r="L25" s="166"/>
      <c r="M25" s="38"/>
      <c r="AJ25" s="80" t="s">
        <v>76</v>
      </c>
      <c r="AK25" s="17" t="s">
        <v>34</v>
      </c>
      <c r="AL25" s="17">
        <v>9810</v>
      </c>
      <c r="AM25" s="166" t="s">
        <v>57</v>
      </c>
      <c r="AN25" s="166"/>
      <c r="AO25" s="166" t="s">
        <v>58</v>
      </c>
      <c r="AP25" s="166"/>
      <c r="AQ25" s="166"/>
      <c r="AR25" s="166"/>
      <c r="AS25" s="38"/>
      <c r="AT25" s="72" t="s">
        <v>63</v>
      </c>
      <c r="AU25" s="17" t="s">
        <v>34</v>
      </c>
      <c r="AV25" s="71">
        <f>ROUND(AY9^2/(2*8.91),3)</f>
        <v>0.35099999999999998</v>
      </c>
      <c r="AY25" s="30" t="s">
        <v>159</v>
      </c>
      <c r="AZ25" s="30" t="s">
        <v>160</v>
      </c>
    </row>
    <row r="26" spans="2:56" x14ac:dyDescent="0.25">
      <c r="D26" s="80" t="s">
        <v>59</v>
      </c>
      <c r="E26" s="17" t="s">
        <v>34</v>
      </c>
      <c r="F26" s="17">
        <f>H6</f>
        <v>1.1000000000000001E-3</v>
      </c>
      <c r="G26" s="166" t="s">
        <v>46</v>
      </c>
      <c r="H26" s="166"/>
      <c r="I26" s="166" t="s">
        <v>60</v>
      </c>
      <c r="J26" s="166"/>
      <c r="K26" s="166"/>
      <c r="L26" s="166"/>
      <c r="M26" s="38"/>
      <c r="AJ26" s="80" t="s">
        <v>59</v>
      </c>
      <c r="AK26" s="17" t="s">
        <v>34</v>
      </c>
      <c r="AL26" s="17">
        <f>AN6</f>
        <v>1.1000000000000001E-3</v>
      </c>
      <c r="AM26" s="166" t="s">
        <v>46</v>
      </c>
      <c r="AN26" s="166"/>
      <c r="AO26" s="166" t="s">
        <v>60</v>
      </c>
      <c r="AP26" s="166"/>
      <c r="AQ26" s="166"/>
      <c r="AR26" s="166"/>
      <c r="AS26" s="38"/>
      <c r="AT26" s="68" t="s">
        <v>78</v>
      </c>
      <c r="AU26" s="17" t="s">
        <v>34</v>
      </c>
      <c r="AV26" s="17">
        <f>AL13</f>
        <v>0.72977481234361952</v>
      </c>
      <c r="AY26" s="30">
        <v>2.5</v>
      </c>
      <c r="AZ26" s="30">
        <v>13.75</v>
      </c>
    </row>
    <row r="27" spans="2:56" x14ac:dyDescent="0.25">
      <c r="D27" s="82" t="s">
        <v>83</v>
      </c>
      <c r="E27" s="17" t="s">
        <v>34</v>
      </c>
      <c r="F27" s="17">
        <f>H9-H8</f>
        <v>0</v>
      </c>
      <c r="G27" s="166" t="s">
        <v>45</v>
      </c>
      <c r="H27" s="166"/>
      <c r="M27" s="38"/>
      <c r="AJ27" s="82" t="s">
        <v>83</v>
      </c>
      <c r="AK27" s="17" t="s">
        <v>34</v>
      </c>
      <c r="AL27" s="17">
        <v>3.13</v>
      </c>
      <c r="AM27" s="166" t="s">
        <v>45</v>
      </c>
      <c r="AN27" s="166"/>
      <c r="AS27" s="38"/>
      <c r="AY27" s="30">
        <v>5</v>
      </c>
      <c r="AZ27" s="30">
        <v>13</v>
      </c>
    </row>
    <row r="28" spans="2:56" ht="15.75" thickBot="1" x14ac:dyDescent="0.3">
      <c r="B28" s="67"/>
      <c r="C28" s="67"/>
      <c r="D28" s="56" t="s">
        <v>77</v>
      </c>
      <c r="E28" s="57" t="s">
        <v>34</v>
      </c>
      <c r="F28" s="57">
        <f>F27+S30+F23</f>
        <v>0.88792660550458713</v>
      </c>
      <c r="G28" s="182" t="s">
        <v>45</v>
      </c>
      <c r="H28" s="182"/>
      <c r="I28" s="182" t="s">
        <v>61</v>
      </c>
      <c r="J28" s="182"/>
      <c r="K28" s="182"/>
      <c r="L28" s="182"/>
      <c r="M28" s="53"/>
      <c r="S28" s="67"/>
      <c r="T28" s="67"/>
      <c r="AJ28" s="56" t="s">
        <v>77</v>
      </c>
      <c r="AK28" s="57" t="s">
        <v>34</v>
      </c>
      <c r="AL28" s="57">
        <f>AL27+AO23</f>
        <v>12.178701417848206</v>
      </c>
      <c r="AM28" s="182" t="s">
        <v>45</v>
      </c>
      <c r="AN28" s="182"/>
      <c r="AO28" s="182" t="s">
        <v>61</v>
      </c>
      <c r="AP28" s="182"/>
      <c r="AQ28" s="182"/>
      <c r="AR28" s="182"/>
      <c r="AS28" s="53"/>
      <c r="AY28" s="30">
        <v>7.5</v>
      </c>
      <c r="AZ28" s="30">
        <v>10.5</v>
      </c>
    </row>
    <row r="29" spans="2:56" x14ac:dyDescent="0.25">
      <c r="B29" s="67"/>
      <c r="C29" s="67"/>
      <c r="D29" s="180" t="s">
        <v>87</v>
      </c>
      <c r="E29" s="181"/>
      <c r="F29" s="181"/>
      <c r="G29" s="181"/>
      <c r="H29" s="181"/>
      <c r="I29" s="181"/>
      <c r="J29" s="181"/>
      <c r="K29" s="181"/>
      <c r="L29" s="181"/>
      <c r="M29" s="76"/>
      <c r="S29" s="67"/>
      <c r="T29" s="67"/>
      <c r="AJ29" s="180" t="s">
        <v>87</v>
      </c>
      <c r="AK29" s="181"/>
      <c r="AL29" s="181"/>
      <c r="AM29" s="181"/>
      <c r="AN29" s="181"/>
      <c r="AO29" s="181"/>
      <c r="AP29" s="181"/>
      <c r="AQ29" s="181"/>
      <c r="AR29" s="181"/>
      <c r="AS29" s="76"/>
    </row>
    <row r="30" spans="2:56" x14ac:dyDescent="0.25">
      <c r="B30" s="67"/>
      <c r="C30" s="67"/>
      <c r="D30" s="80" t="s">
        <v>84</v>
      </c>
      <c r="E30" s="17" t="s">
        <v>34</v>
      </c>
      <c r="F30" s="69">
        <v>0.75</v>
      </c>
      <c r="G30" s="17"/>
      <c r="M30" s="38"/>
      <c r="Q30" s="72" t="s">
        <v>63</v>
      </c>
      <c r="R30" s="17" t="s">
        <v>34</v>
      </c>
      <c r="S30" s="71">
        <f>ROUND(S9^2/(2*8.91),3)</f>
        <v>0.182</v>
      </c>
      <c r="T30" s="67"/>
      <c r="AJ30" s="80" t="s">
        <v>84</v>
      </c>
      <c r="AK30" s="17" t="s">
        <v>34</v>
      </c>
      <c r="AL30" s="69">
        <v>0.75</v>
      </c>
      <c r="AM30" s="17"/>
      <c r="AS30" s="38"/>
    </row>
    <row r="31" spans="2:56" ht="15.75" thickBot="1" x14ac:dyDescent="0.3">
      <c r="B31" s="67"/>
      <c r="C31" s="67"/>
      <c r="D31" s="56" t="s">
        <v>85</v>
      </c>
      <c r="E31" s="57" t="s">
        <v>34</v>
      </c>
      <c r="F31" s="57">
        <f>F25*F26*F28/F30</f>
        <v>12.775488000000001</v>
      </c>
      <c r="G31" s="182" t="s">
        <v>62</v>
      </c>
      <c r="H31" s="182"/>
      <c r="I31" s="182"/>
      <c r="J31" s="182"/>
      <c r="K31" s="182"/>
      <c r="L31" s="182"/>
      <c r="M31" s="53"/>
      <c r="Q31" s="68" t="s">
        <v>78</v>
      </c>
      <c r="R31" s="17" t="s">
        <v>34</v>
      </c>
      <c r="S31" s="17">
        <f>F13</f>
        <v>6.1926605504587152E-2</v>
      </c>
      <c r="T31" s="67"/>
      <c r="AJ31" s="56" t="s">
        <v>85</v>
      </c>
      <c r="AK31" s="57" t="s">
        <v>34</v>
      </c>
      <c r="AL31" s="57">
        <f>AL25*AL26*AL28/AL30</f>
        <v>175.22715600000001</v>
      </c>
      <c r="AM31" s="182" t="s">
        <v>62</v>
      </c>
      <c r="AN31" s="182"/>
      <c r="AO31" s="182"/>
      <c r="AP31" s="182"/>
      <c r="AQ31" s="182"/>
      <c r="AR31" s="182"/>
      <c r="AS31" s="53"/>
    </row>
    <row r="32" spans="2:56" x14ac:dyDescent="0.25">
      <c r="B32" s="67"/>
      <c r="C32" s="67"/>
      <c r="I32" s="166"/>
      <c r="J32" s="166"/>
      <c r="K32" s="166"/>
      <c r="L32" s="166"/>
      <c r="S32" s="67"/>
      <c r="T32" s="67"/>
      <c r="AJ32" s="14"/>
      <c r="AK32" s="14"/>
      <c r="AY32" s="33">
        <f>AY26^2</f>
        <v>6.25</v>
      </c>
      <c r="AZ32" s="33">
        <f>AY26</f>
        <v>2.5</v>
      </c>
      <c r="BA32" s="33">
        <v>1</v>
      </c>
      <c r="BC32" s="14" t="s">
        <v>162</v>
      </c>
      <c r="BD32" s="14">
        <f>AZ26</f>
        <v>13.75</v>
      </c>
    </row>
    <row r="33" spans="2:56" x14ac:dyDescent="0.25">
      <c r="B33" s="67"/>
      <c r="C33" s="67"/>
      <c r="S33" s="67"/>
      <c r="T33" s="67"/>
      <c r="AJ33" s="14"/>
      <c r="AK33" s="14"/>
      <c r="AY33" s="33">
        <f t="shared" ref="AY33:AY34" si="0">AY27^2</f>
        <v>25</v>
      </c>
      <c r="AZ33" s="33">
        <f t="shared" ref="AZ33:AZ34" si="1">AY27</f>
        <v>5</v>
      </c>
      <c r="BA33" s="33">
        <v>1</v>
      </c>
      <c r="BB33" s="14" t="s">
        <v>161</v>
      </c>
      <c r="BC33" s="14" t="s">
        <v>163</v>
      </c>
      <c r="BD33" s="14">
        <f t="shared" ref="BD33:BD34" si="2">AZ27</f>
        <v>13</v>
      </c>
    </row>
    <row r="34" spans="2:56" x14ac:dyDescent="0.25">
      <c r="B34" s="67"/>
      <c r="C34" s="67"/>
      <c r="S34" s="67"/>
      <c r="T34" s="67"/>
      <c r="AJ34" s="14"/>
      <c r="AK34" s="14"/>
      <c r="AY34" s="33">
        <f t="shared" si="0"/>
        <v>56.25</v>
      </c>
      <c r="AZ34" s="33">
        <f t="shared" si="1"/>
        <v>7.5</v>
      </c>
      <c r="BA34" s="33">
        <v>1</v>
      </c>
      <c r="BC34" s="14" t="s">
        <v>164</v>
      </c>
      <c r="BD34" s="14">
        <f t="shared" si="2"/>
        <v>10.5</v>
      </c>
    </row>
    <row r="35" spans="2:56" x14ac:dyDescent="0.25">
      <c r="B35" s="67"/>
      <c r="C35" s="67"/>
      <c r="R35" s="14" t="s">
        <v>104</v>
      </c>
      <c r="S35" s="67">
        <v>4.75</v>
      </c>
      <c r="T35" s="67"/>
      <c r="AJ35" s="14"/>
      <c r="AK35" s="14"/>
      <c r="AY35" s="203"/>
      <c r="AZ35" s="203"/>
      <c r="BA35" s="203"/>
    </row>
    <row r="36" spans="2:56" x14ac:dyDescent="0.25">
      <c r="B36" s="67"/>
      <c r="C36" s="67"/>
      <c r="S36" s="67"/>
      <c r="T36" s="67"/>
      <c r="AJ36" s="14"/>
      <c r="AK36" s="14"/>
      <c r="AY36" s="203"/>
      <c r="AZ36" s="203"/>
      <c r="BA36" s="203"/>
    </row>
    <row r="37" spans="2:56" ht="31.5" customHeight="1" x14ac:dyDescent="0.25">
      <c r="B37" s="67"/>
      <c r="C37" s="14"/>
      <c r="S37" s="67"/>
      <c r="T37" s="67"/>
      <c r="AJ37" s="198" t="s">
        <v>148</v>
      </c>
      <c r="AK37" s="200" t="s">
        <v>154</v>
      </c>
      <c r="AL37" s="200" t="s">
        <v>155</v>
      </c>
      <c r="AM37" s="200" t="s">
        <v>156</v>
      </c>
      <c r="AN37" s="200" t="s">
        <v>157</v>
      </c>
      <c r="AO37" s="200" t="s">
        <v>158</v>
      </c>
      <c r="AP37" s="196" t="s">
        <v>166</v>
      </c>
      <c r="AY37" s="204" t="s">
        <v>165</v>
      </c>
      <c r="AZ37" s="203"/>
      <c r="BA37" s="203"/>
    </row>
    <row r="38" spans="2:56" x14ac:dyDescent="0.25">
      <c r="B38" s="14"/>
      <c r="C38" s="14"/>
      <c r="AJ38" s="199"/>
      <c r="AK38" s="200"/>
      <c r="AL38" s="200"/>
      <c r="AM38" s="200"/>
      <c r="AN38" s="200"/>
      <c r="AO38" s="200"/>
      <c r="AP38" s="196"/>
      <c r="AY38" s="14">
        <f t="array" ref="AY38:BA40">MINVERSE(AY32:BA34)</f>
        <v>7.9999999999999974E-2</v>
      </c>
      <c r="AZ38" s="14">
        <v>-0.15999999999999995</v>
      </c>
      <c r="BA38" s="14">
        <v>7.9999999999999974E-2</v>
      </c>
      <c r="BC38" s="205" t="s">
        <v>162</v>
      </c>
      <c r="BD38" s="205">
        <f t="array" ref="BD38:BD40">MMULT(AY38:BA40,BD32:BD34)</f>
        <v>-0.13999999999999979</v>
      </c>
    </row>
    <row r="39" spans="2:56" x14ac:dyDescent="0.25">
      <c r="B39" s="14"/>
      <c r="C39" s="14"/>
      <c r="D39" s="14">
        <f>3.7+0.352+3.855</f>
        <v>7.907</v>
      </c>
      <c r="AJ39" s="33">
        <v>0</v>
      </c>
      <c r="AK39" s="197">
        <f>$F$14*($E$7/$E$11)*(AJ39^2/254275200)*(1/$M$9^2)</f>
        <v>0</v>
      </c>
      <c r="AL39" s="197">
        <f>($I$21*(AJ39^2/254275200)*(1/$M$9^2))</f>
        <v>0</v>
      </c>
      <c r="AM39" s="137">
        <f>$AL$14*($AK$7/$AK$11)*(AJ39^2/254275200)*(1/$AS$9^2)</f>
        <v>0</v>
      </c>
      <c r="AN39" s="30">
        <f>($AO$21*(AJ39^2/254275200)*(1/$AS$9^2))</f>
        <v>0</v>
      </c>
      <c r="AO39" s="137">
        <f>$AL$27+AK39+AL39+AM39+AN39</f>
        <v>3.13</v>
      </c>
      <c r="AP39" s="137">
        <f>((AJ39^2)*$BD$38)+($BD$39*AJ39)+$BD$40</f>
        <v>12.750000000000004</v>
      </c>
      <c r="AY39" s="14">
        <v>-0.99999999999999978</v>
      </c>
      <c r="AZ39" s="14">
        <v>1.5999999999999994</v>
      </c>
      <c r="BA39" s="14">
        <v>-0.59999999999999976</v>
      </c>
      <c r="BC39" s="205" t="s">
        <v>163</v>
      </c>
      <c r="BD39" s="205">
        <v>0.75</v>
      </c>
    </row>
    <row r="40" spans="2:56" x14ac:dyDescent="0.25">
      <c r="B40" s="14"/>
      <c r="C40" s="14"/>
      <c r="J40" s="17"/>
      <c r="K40" s="17"/>
      <c r="P40" s="17"/>
      <c r="Q40" s="168"/>
      <c r="R40" s="168"/>
      <c r="AJ40" s="33">
        <v>0.5</v>
      </c>
      <c r="AK40" s="197">
        <f t="shared" ref="AK40:AK59" si="3">$F$14*($E$7/$E$11)*(AJ40^2/254275200)*(1/$M$9^2)</f>
        <v>9.9084928835954829E-4</v>
      </c>
      <c r="AL40" s="197">
        <f t="shared" ref="AL40:AL59" si="4">($I$21*(AJ40^2/254275200)*(1/$M$9^2))</f>
        <v>1.0304832598939304E-2</v>
      </c>
      <c r="AM40" s="137">
        <f t="shared" ref="AM40:AM59" si="5">$AL$14*($AK$7/$AK$11)*(AJ40^2/254275200)*(1/$AS$9^2)</f>
        <v>1.1634253079144022E-2</v>
      </c>
      <c r="AN40" s="137">
        <f t="shared" ref="AN40:AN59" si="6">($AO$21*(AJ40^2/254275200)*(1/$AS$9^2))</f>
        <v>0.12137480692487948</v>
      </c>
      <c r="AO40" s="137">
        <f t="shared" ref="AO40:AO59" si="7">$AL$27+AK40+AL40+AM40+AN40</f>
        <v>3.2743047418913225</v>
      </c>
      <c r="AP40" s="137">
        <f t="shared" ref="AP40:AP59" si="8">((AJ40^2)*$BD$38)+($BD$39*AJ40)+$BD$40</f>
        <v>13.090000000000003</v>
      </c>
      <c r="AY40" s="14">
        <v>2.9999999999999996</v>
      </c>
      <c r="AZ40" s="14">
        <v>-2.9999999999999991</v>
      </c>
      <c r="BA40" s="14">
        <v>0.99999999999999967</v>
      </c>
      <c r="BC40" s="205" t="s">
        <v>164</v>
      </c>
      <c r="BD40" s="205">
        <v>12.750000000000004</v>
      </c>
    </row>
    <row r="41" spans="2:56" x14ac:dyDescent="0.25">
      <c r="B41" s="14"/>
      <c r="C41" s="14"/>
      <c r="J41" s="17"/>
      <c r="K41" s="17"/>
      <c r="P41" s="17"/>
      <c r="Q41" s="44"/>
      <c r="R41" s="44"/>
      <c r="AJ41" s="33">
        <v>1</v>
      </c>
      <c r="AK41" s="197">
        <f t="shared" si="3"/>
        <v>3.9633971534381932E-3</v>
      </c>
      <c r="AL41" s="197">
        <f t="shared" si="4"/>
        <v>4.1219330395757217E-2</v>
      </c>
      <c r="AM41" s="137">
        <f t="shared" si="5"/>
        <v>4.6537012316576087E-2</v>
      </c>
      <c r="AN41" s="137">
        <f t="shared" si="6"/>
        <v>0.48549922769951792</v>
      </c>
      <c r="AO41" s="137">
        <f t="shared" si="7"/>
        <v>3.7072189675652893</v>
      </c>
      <c r="AP41" s="137">
        <f t="shared" si="8"/>
        <v>13.360000000000003</v>
      </c>
    </row>
    <row r="42" spans="2:56" x14ac:dyDescent="0.25">
      <c r="B42" s="14"/>
      <c r="C42" s="14"/>
      <c r="J42" s="17"/>
      <c r="K42" s="17"/>
      <c r="P42" s="17"/>
      <c r="Q42" s="44"/>
      <c r="R42" s="44"/>
      <c r="AJ42" s="33">
        <v>1.5</v>
      </c>
      <c r="AK42" s="197">
        <f t="shared" si="3"/>
        <v>8.9176435952359363E-3</v>
      </c>
      <c r="AL42" s="197">
        <f t="shared" si="4"/>
        <v>9.2743493390453749E-2</v>
      </c>
      <c r="AM42" s="137">
        <f t="shared" si="5"/>
        <v>0.10470827771229618</v>
      </c>
      <c r="AN42" s="137">
        <f t="shared" si="6"/>
        <v>1.0923732623239155</v>
      </c>
      <c r="AO42" s="137">
        <f t="shared" si="7"/>
        <v>4.4287426770219014</v>
      </c>
      <c r="AP42" s="137">
        <f t="shared" si="8"/>
        <v>13.560000000000004</v>
      </c>
    </row>
    <row r="43" spans="2:56" x14ac:dyDescent="0.25">
      <c r="B43" s="14"/>
      <c r="C43" s="14"/>
      <c r="P43" s="17"/>
      <c r="Q43" s="166"/>
      <c r="R43" s="166"/>
      <c r="AJ43" s="33">
        <v>2</v>
      </c>
      <c r="AK43" s="197">
        <f t="shared" si="3"/>
        <v>1.5853588613752773E-2</v>
      </c>
      <c r="AL43" s="197">
        <f t="shared" si="4"/>
        <v>0.16487732158302887</v>
      </c>
      <c r="AM43" s="137">
        <f t="shared" si="5"/>
        <v>0.18614804926630435</v>
      </c>
      <c r="AN43" s="137">
        <f t="shared" si="6"/>
        <v>1.9419969107980717</v>
      </c>
      <c r="AO43" s="137">
        <f t="shared" si="7"/>
        <v>5.4388758702611568</v>
      </c>
      <c r="AP43" s="137">
        <f t="shared" si="8"/>
        <v>13.690000000000005</v>
      </c>
    </row>
    <row r="44" spans="2:56" hidden="1" x14ac:dyDescent="0.25">
      <c r="B44" s="14"/>
      <c r="C44" s="14"/>
      <c r="R44" s="14">
        <f>F31/1000</f>
        <v>1.2775488000000002E-2</v>
      </c>
      <c r="T44" s="14">
        <f>F31*0.75</f>
        <v>9.5816160000000004</v>
      </c>
      <c r="X44" s="14">
        <f>F25*F26*F28</f>
        <v>9.5816160000000004</v>
      </c>
      <c r="AJ44" s="33">
        <v>2.5</v>
      </c>
      <c r="AK44" s="197">
        <f t="shared" si="3"/>
        <v>2.4771232208988709E-2</v>
      </c>
      <c r="AL44" s="197">
        <f t="shared" si="4"/>
        <v>0.25762081497348266</v>
      </c>
      <c r="AM44" s="137">
        <f t="shared" si="5"/>
        <v>0.29085632697860053</v>
      </c>
      <c r="AN44" s="137">
        <f t="shared" si="6"/>
        <v>3.0343701731219874</v>
      </c>
      <c r="AO44" s="137">
        <f t="shared" si="7"/>
        <v>6.7376185472830592</v>
      </c>
      <c r="AP44" s="137">
        <f t="shared" si="8"/>
        <v>13.750000000000005</v>
      </c>
    </row>
    <row r="45" spans="2:56" x14ac:dyDescent="0.25">
      <c r="B45" s="14"/>
      <c r="C45" s="14"/>
      <c r="AJ45" s="33">
        <v>3</v>
      </c>
      <c r="AK45" s="197">
        <f t="shared" si="3"/>
        <v>3.5670574380943745E-2</v>
      </c>
      <c r="AL45" s="197">
        <f t="shared" si="4"/>
        <v>0.370973973561815</v>
      </c>
      <c r="AM45" s="137">
        <f t="shared" si="5"/>
        <v>0.41883311084918473</v>
      </c>
      <c r="AN45" s="137">
        <f t="shared" si="6"/>
        <v>4.3694930492956621</v>
      </c>
      <c r="AO45" s="137">
        <f t="shared" si="7"/>
        <v>8.324970708087605</v>
      </c>
      <c r="AP45" s="137">
        <f t="shared" si="8"/>
        <v>13.740000000000006</v>
      </c>
    </row>
    <row r="46" spans="2:56" x14ac:dyDescent="0.25">
      <c r="B46" s="14"/>
      <c r="C46" s="14"/>
      <c r="AJ46" s="33">
        <v>3.5</v>
      </c>
      <c r="AK46" s="197">
        <f t="shared" si="3"/>
        <v>4.8551615129617864E-2</v>
      </c>
      <c r="AL46" s="197">
        <f t="shared" si="4"/>
        <v>0.50493679734802599</v>
      </c>
      <c r="AM46" s="137">
        <f t="shared" si="5"/>
        <v>0.57007840087805695</v>
      </c>
      <c r="AN46" s="137">
        <f t="shared" si="6"/>
        <v>5.9473655393190947</v>
      </c>
      <c r="AO46" s="137">
        <f t="shared" si="7"/>
        <v>10.200932352674794</v>
      </c>
      <c r="AP46" s="137">
        <f t="shared" si="8"/>
        <v>13.660000000000005</v>
      </c>
    </row>
    <row r="47" spans="2:56" x14ac:dyDescent="0.25">
      <c r="B47" s="14"/>
      <c r="C47" s="14"/>
      <c r="AJ47" s="33">
        <v>4</v>
      </c>
      <c r="AK47" s="197">
        <f t="shared" si="3"/>
        <v>6.341435445501109E-2</v>
      </c>
      <c r="AL47" s="197">
        <f t="shared" si="4"/>
        <v>0.65950928633211547</v>
      </c>
      <c r="AM47" s="137">
        <f t="shared" si="5"/>
        <v>0.7445921970652174</v>
      </c>
      <c r="AN47" s="137">
        <f t="shared" si="6"/>
        <v>7.7679876431922867</v>
      </c>
      <c r="AO47" s="137">
        <f t="shared" si="7"/>
        <v>12.36550348104463</v>
      </c>
      <c r="AP47" s="137">
        <f t="shared" si="8"/>
        <v>13.510000000000007</v>
      </c>
    </row>
    <row r="48" spans="2:56" x14ac:dyDescent="0.25">
      <c r="B48" s="14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AJ48" s="33">
        <v>4.5</v>
      </c>
      <c r="AK48" s="197">
        <f t="shared" si="3"/>
        <v>8.0258792357123424E-2</v>
      </c>
      <c r="AL48" s="197">
        <f t="shared" si="4"/>
        <v>0.83469144051408362</v>
      </c>
      <c r="AM48" s="137">
        <f t="shared" si="5"/>
        <v>0.94237449941066564</v>
      </c>
      <c r="AN48" s="137">
        <f t="shared" si="6"/>
        <v>9.8313593609152381</v>
      </c>
      <c r="AO48" s="137">
        <f t="shared" si="7"/>
        <v>14.81868409319711</v>
      </c>
      <c r="AP48" s="137">
        <f t="shared" si="8"/>
        <v>13.290000000000008</v>
      </c>
    </row>
    <row r="49" spans="2:42" x14ac:dyDescent="0.25">
      <c r="B49" s="14"/>
      <c r="C49" s="166"/>
      <c r="D49" s="166"/>
      <c r="E49" s="166"/>
      <c r="F49" s="166"/>
      <c r="G49" s="17"/>
      <c r="H49" s="17"/>
      <c r="I49" s="17"/>
      <c r="O49" s="17"/>
      <c r="P49" s="17"/>
      <c r="Q49" s="17"/>
      <c r="AJ49" s="33">
        <v>5</v>
      </c>
      <c r="AK49" s="197">
        <f t="shared" si="3"/>
        <v>9.9084928835954836E-2</v>
      </c>
      <c r="AL49" s="197">
        <f t="shared" si="4"/>
        <v>1.0304832598939306</v>
      </c>
      <c r="AM49" s="137">
        <f t="shared" si="5"/>
        <v>1.1634253079144021</v>
      </c>
      <c r="AN49" s="137">
        <f t="shared" si="6"/>
        <v>12.13748069248795</v>
      </c>
      <c r="AO49" s="137">
        <f t="shared" si="7"/>
        <v>17.560474189132236</v>
      </c>
      <c r="AP49" s="137">
        <f t="shared" si="8"/>
        <v>13.000000000000009</v>
      </c>
    </row>
    <row r="50" spans="2:42" x14ac:dyDescent="0.25">
      <c r="B50" s="14"/>
      <c r="C50" s="14"/>
      <c r="N50" s="17"/>
      <c r="O50" s="17"/>
      <c r="P50" s="17"/>
      <c r="Q50" s="17"/>
      <c r="AJ50" s="33">
        <v>5.5</v>
      </c>
      <c r="AK50" s="197">
        <f t="shared" si="3"/>
        <v>0.11989276389150536</v>
      </c>
      <c r="AL50" s="197">
        <f t="shared" si="4"/>
        <v>1.246884744471656</v>
      </c>
      <c r="AM50" s="137">
        <f t="shared" si="5"/>
        <v>1.4077446225764267</v>
      </c>
      <c r="AN50" s="137">
        <f t="shared" si="6"/>
        <v>14.68635163791042</v>
      </c>
      <c r="AO50" s="137">
        <f t="shared" si="7"/>
        <v>20.59087376885001</v>
      </c>
      <c r="AP50" s="137">
        <f t="shared" si="8"/>
        <v>12.640000000000009</v>
      </c>
    </row>
    <row r="51" spans="2:42" x14ac:dyDescent="0.25">
      <c r="B51" s="14"/>
      <c r="C51" s="14"/>
      <c r="O51" s="17"/>
      <c r="P51" s="17"/>
      <c r="Q51" s="17"/>
      <c r="AJ51" s="33">
        <v>6</v>
      </c>
      <c r="AK51" s="197">
        <f t="shared" si="3"/>
        <v>0.14268229752377498</v>
      </c>
      <c r="AL51" s="197">
        <f t="shared" si="4"/>
        <v>1.48389589424726</v>
      </c>
      <c r="AM51" s="137">
        <f t="shared" si="5"/>
        <v>1.6753324433967389</v>
      </c>
      <c r="AN51" s="137">
        <f t="shared" si="6"/>
        <v>17.477972197182648</v>
      </c>
      <c r="AO51" s="137">
        <f t="shared" si="7"/>
        <v>23.909882832350423</v>
      </c>
      <c r="AP51" s="137">
        <f t="shared" si="8"/>
        <v>12.210000000000012</v>
      </c>
    </row>
    <row r="52" spans="2:42" x14ac:dyDescent="0.25">
      <c r="B52" s="14"/>
      <c r="C52" s="14"/>
      <c r="O52" s="17"/>
      <c r="P52" s="17"/>
      <c r="Q52" s="17"/>
      <c r="AJ52" s="33">
        <v>6.5</v>
      </c>
      <c r="AK52" s="197">
        <f t="shared" si="3"/>
        <v>0.16745352973276367</v>
      </c>
      <c r="AL52" s="197">
        <f t="shared" si="4"/>
        <v>1.7415167092207424</v>
      </c>
      <c r="AM52" s="137">
        <f t="shared" si="5"/>
        <v>1.9661887703753393</v>
      </c>
      <c r="AN52" s="137">
        <f t="shared" si="6"/>
        <v>20.512342370304637</v>
      </c>
      <c r="AO52" s="137">
        <f t="shared" si="7"/>
        <v>27.517501379633483</v>
      </c>
      <c r="AP52" s="137">
        <f t="shared" si="8"/>
        <v>11.710000000000012</v>
      </c>
    </row>
    <row r="53" spans="2:42" x14ac:dyDescent="0.25">
      <c r="B53" s="14"/>
      <c r="C53" s="14"/>
      <c r="O53" s="17"/>
      <c r="P53" s="17"/>
      <c r="Q53" s="17"/>
      <c r="AJ53" s="33">
        <v>7</v>
      </c>
      <c r="AK53" s="197">
        <f t="shared" si="3"/>
        <v>0.19420646051847146</v>
      </c>
      <c r="AL53" s="197">
        <f t="shared" si="4"/>
        <v>2.019747189392104</v>
      </c>
      <c r="AM53" s="137">
        <f t="shared" si="5"/>
        <v>2.2803136035122278</v>
      </c>
      <c r="AN53" s="137">
        <f t="shared" si="6"/>
        <v>23.789462157276379</v>
      </c>
      <c r="AO53" s="137">
        <f t="shared" si="7"/>
        <v>31.413729410699183</v>
      </c>
      <c r="AP53" s="137">
        <f t="shared" si="8"/>
        <v>11.140000000000015</v>
      </c>
    </row>
    <row r="54" spans="2:42" x14ac:dyDescent="0.25">
      <c r="B54" s="14"/>
      <c r="C54" s="14"/>
      <c r="O54" s="17"/>
      <c r="P54" s="17"/>
      <c r="Q54" s="17"/>
      <c r="AJ54" s="33">
        <v>7.5</v>
      </c>
      <c r="AK54" s="197">
        <f t="shared" si="3"/>
        <v>0.22294108988089842</v>
      </c>
      <c r="AL54" s="197">
        <f t="shared" si="4"/>
        <v>2.3185873347613435</v>
      </c>
      <c r="AM54" s="137">
        <f t="shared" si="5"/>
        <v>2.6177069428074047</v>
      </c>
      <c r="AN54" s="137">
        <f t="shared" si="6"/>
        <v>27.309331558097888</v>
      </c>
      <c r="AO54" s="137">
        <f t="shared" si="7"/>
        <v>35.59856692554753</v>
      </c>
      <c r="AP54" s="137">
        <f t="shared" si="8"/>
        <v>10.500000000000014</v>
      </c>
    </row>
    <row r="55" spans="2:42" x14ac:dyDescent="0.25">
      <c r="B55" s="14"/>
      <c r="D55" s="17"/>
      <c r="E55" s="17"/>
      <c r="F55" s="166"/>
      <c r="G55" s="166"/>
      <c r="H55" s="166"/>
      <c r="I55" s="166"/>
      <c r="J55" s="166"/>
      <c r="K55" s="166"/>
      <c r="O55" s="17"/>
      <c r="P55" s="17"/>
      <c r="Q55" s="17"/>
      <c r="AJ55" s="33">
        <v>8</v>
      </c>
      <c r="AK55" s="197">
        <f t="shared" si="3"/>
        <v>0.25365741782004436</v>
      </c>
      <c r="AL55" s="197">
        <f t="shared" si="4"/>
        <v>2.6380371453284619</v>
      </c>
      <c r="AM55" s="137">
        <f t="shared" si="5"/>
        <v>2.9783687882608696</v>
      </c>
      <c r="AN55" s="137">
        <f t="shared" si="6"/>
        <v>31.071950572769147</v>
      </c>
      <c r="AO55" s="137">
        <f t="shared" si="7"/>
        <v>40.07201392417852</v>
      </c>
      <c r="AP55" s="137">
        <f t="shared" si="8"/>
        <v>9.7900000000000169</v>
      </c>
    </row>
    <row r="56" spans="2:42" x14ac:dyDescent="0.25">
      <c r="B56" s="14"/>
      <c r="C56" s="14"/>
      <c r="F56" s="17"/>
      <c r="K56" s="17"/>
      <c r="L56" s="17"/>
      <c r="M56" s="17"/>
      <c r="O56" s="17"/>
      <c r="P56" s="17"/>
      <c r="Q56" s="17"/>
      <c r="AJ56" s="33">
        <v>8.5</v>
      </c>
      <c r="AK56" s="197">
        <f t="shared" si="3"/>
        <v>0.28635544433590948</v>
      </c>
      <c r="AL56" s="197">
        <f t="shared" si="4"/>
        <v>2.9780966210934592</v>
      </c>
      <c r="AM56" s="137">
        <f t="shared" si="5"/>
        <v>3.3622991398726221</v>
      </c>
      <c r="AN56" s="137">
        <f t="shared" si="6"/>
        <v>35.077319201290173</v>
      </c>
      <c r="AO56" s="137">
        <f t="shared" si="7"/>
        <v>44.834070406592161</v>
      </c>
      <c r="AP56" s="137">
        <f t="shared" si="8"/>
        <v>9.0100000000000193</v>
      </c>
    </row>
    <row r="57" spans="2:42" x14ac:dyDescent="0.25">
      <c r="B57" s="14"/>
      <c r="D57" s="17"/>
      <c r="E57" s="17"/>
      <c r="F57" s="17"/>
      <c r="K57" s="17"/>
      <c r="L57" s="17"/>
      <c r="M57" s="17"/>
      <c r="O57" s="17"/>
      <c r="P57" s="17"/>
      <c r="Q57" s="17"/>
      <c r="AJ57" s="33">
        <v>9</v>
      </c>
      <c r="AK57" s="197">
        <f t="shared" si="3"/>
        <v>0.32103516942849369</v>
      </c>
      <c r="AL57" s="197">
        <f t="shared" si="4"/>
        <v>3.3387657620563345</v>
      </c>
      <c r="AM57" s="137">
        <f t="shared" si="5"/>
        <v>3.7694979976426626</v>
      </c>
      <c r="AN57" s="137">
        <f t="shared" si="6"/>
        <v>39.325437443660952</v>
      </c>
      <c r="AO57" s="137">
        <f t="shared" si="7"/>
        <v>49.884736372788446</v>
      </c>
      <c r="AP57" s="137">
        <f t="shared" si="8"/>
        <v>8.1600000000000197</v>
      </c>
    </row>
    <row r="58" spans="2:42" x14ac:dyDescent="0.25">
      <c r="B58" s="14"/>
      <c r="D58" s="17"/>
      <c r="E58" s="17"/>
      <c r="F58" s="17"/>
      <c r="K58" s="17"/>
      <c r="L58" s="17"/>
      <c r="M58" s="17"/>
      <c r="O58" s="17"/>
      <c r="P58" s="17"/>
      <c r="Q58" s="17"/>
      <c r="AJ58" s="33">
        <v>9.5</v>
      </c>
      <c r="AK58" s="197">
        <f t="shared" si="3"/>
        <v>0.357696593097797</v>
      </c>
      <c r="AL58" s="197">
        <f t="shared" si="4"/>
        <v>3.7200445682170891</v>
      </c>
      <c r="AM58" s="137">
        <f t="shared" si="5"/>
        <v>4.1999653615709915</v>
      </c>
      <c r="AN58" s="137">
        <f t="shared" si="6"/>
        <v>43.816305299881499</v>
      </c>
      <c r="AO58" s="137">
        <f t="shared" si="7"/>
        <v>55.22401182276738</v>
      </c>
      <c r="AP58" s="137">
        <f t="shared" si="8"/>
        <v>7.2400000000000215</v>
      </c>
    </row>
    <row r="59" spans="2:42" x14ac:dyDescent="0.25">
      <c r="I59" s="17"/>
      <c r="K59" s="166"/>
      <c r="L59" s="166"/>
      <c r="M59" s="166"/>
      <c r="O59" s="17"/>
      <c r="P59" s="17"/>
      <c r="Q59" s="17"/>
      <c r="AJ59" s="33">
        <v>10</v>
      </c>
      <c r="AK59" s="197">
        <f t="shared" si="3"/>
        <v>0.39633971534381934</v>
      </c>
      <c r="AL59" s="197">
        <f t="shared" si="4"/>
        <v>4.1219330395757225</v>
      </c>
      <c r="AM59" s="137">
        <f t="shared" si="5"/>
        <v>4.6537012316576085</v>
      </c>
      <c r="AN59" s="137">
        <f t="shared" si="6"/>
        <v>48.549922769951799</v>
      </c>
      <c r="AO59" s="137">
        <f t="shared" si="7"/>
        <v>60.851896756528951</v>
      </c>
      <c r="AP59" s="137">
        <f t="shared" si="8"/>
        <v>6.2500000000000249</v>
      </c>
    </row>
    <row r="60" spans="2:42" x14ac:dyDescent="0.25">
      <c r="I60" s="17"/>
      <c r="K60" s="166"/>
      <c r="L60" s="166"/>
      <c r="M60" s="166"/>
      <c r="O60" s="17"/>
      <c r="P60" s="83"/>
      <c r="Q60" s="84"/>
      <c r="AJ60" s="201"/>
      <c r="AK60" s="202"/>
    </row>
    <row r="61" spans="2:42" x14ac:dyDescent="0.25">
      <c r="I61" s="17"/>
      <c r="K61" s="166"/>
      <c r="L61" s="166"/>
      <c r="M61" s="166"/>
      <c r="O61" s="17"/>
      <c r="AJ61" s="201"/>
      <c r="AK61" s="202"/>
    </row>
    <row r="62" spans="2:42" x14ac:dyDescent="0.25">
      <c r="C62" s="14"/>
      <c r="I62" s="17"/>
      <c r="K62" s="166"/>
      <c r="L62" s="166"/>
      <c r="M62" s="166"/>
      <c r="O62" s="17"/>
      <c r="AJ62" s="201"/>
      <c r="AK62" s="202"/>
    </row>
    <row r="63" spans="2:42" x14ac:dyDescent="0.25">
      <c r="I63" s="17"/>
      <c r="K63" s="17"/>
      <c r="L63" s="17"/>
      <c r="M63" s="17"/>
      <c r="O63" s="17"/>
      <c r="AJ63" s="201"/>
      <c r="AK63" s="202"/>
    </row>
    <row r="64" spans="2:42" x14ac:dyDescent="0.25">
      <c r="C64" s="14"/>
      <c r="O64" s="17"/>
      <c r="P64" s="166"/>
      <c r="Q64" s="166"/>
      <c r="AJ64" s="201"/>
      <c r="AK64" s="202"/>
    </row>
    <row r="65" spans="36:37" x14ac:dyDescent="0.25">
      <c r="AJ65" s="201"/>
      <c r="AK65" s="202"/>
    </row>
    <row r="66" spans="36:37" x14ac:dyDescent="0.25">
      <c r="AJ66" s="201"/>
      <c r="AK66" s="202"/>
    </row>
    <row r="67" spans="36:37" x14ac:dyDescent="0.25">
      <c r="AJ67" s="201"/>
      <c r="AK67" s="202"/>
    </row>
    <row r="68" spans="36:37" x14ac:dyDescent="0.25">
      <c r="AJ68" s="201"/>
      <c r="AK68" s="202"/>
    </row>
    <row r="69" spans="36:37" x14ac:dyDescent="0.25">
      <c r="AJ69" s="201"/>
      <c r="AK69" s="202"/>
    </row>
    <row r="70" spans="36:37" x14ac:dyDescent="0.25">
      <c r="AJ70" s="201"/>
      <c r="AK70" s="202"/>
    </row>
    <row r="71" spans="36:37" x14ac:dyDescent="0.25">
      <c r="AJ71" s="201"/>
      <c r="AK71" s="202"/>
    </row>
    <row r="72" spans="36:37" x14ac:dyDescent="0.25">
      <c r="AJ72" s="201"/>
      <c r="AK72" s="202"/>
    </row>
    <row r="73" spans="36:37" x14ac:dyDescent="0.25">
      <c r="AJ73" s="201"/>
      <c r="AK73" s="202"/>
    </row>
    <row r="74" spans="36:37" x14ac:dyDescent="0.25">
      <c r="AJ74" s="201"/>
      <c r="AK74" s="202"/>
    </row>
    <row r="75" spans="36:37" x14ac:dyDescent="0.25">
      <c r="AJ75" s="201"/>
      <c r="AK75" s="202"/>
    </row>
    <row r="76" spans="36:37" x14ac:dyDescent="0.25">
      <c r="AJ76" s="201"/>
      <c r="AK76" s="202"/>
    </row>
    <row r="77" spans="36:37" x14ac:dyDescent="0.25">
      <c r="AJ77" s="201"/>
      <c r="AK77" s="202"/>
    </row>
    <row r="78" spans="36:37" x14ac:dyDescent="0.25">
      <c r="AJ78" s="201"/>
      <c r="AK78" s="202"/>
    </row>
    <row r="79" spans="36:37" x14ac:dyDescent="0.25">
      <c r="AJ79" s="201"/>
      <c r="AK79" s="202"/>
    </row>
    <row r="80" spans="36:37" x14ac:dyDescent="0.25">
      <c r="AJ80" s="201"/>
      <c r="AK80" s="202"/>
    </row>
    <row r="81" spans="36:37" x14ac:dyDescent="0.25">
      <c r="AJ81" s="201"/>
      <c r="AK81" s="202"/>
    </row>
    <row r="82" spans="36:37" x14ac:dyDescent="0.25">
      <c r="AJ82" s="201"/>
      <c r="AK82" s="202"/>
    </row>
    <row r="83" spans="36:37" x14ac:dyDescent="0.25">
      <c r="AJ83" s="201"/>
      <c r="AK83" s="202"/>
    </row>
    <row r="84" spans="36:37" x14ac:dyDescent="0.25">
      <c r="AJ84" s="201"/>
      <c r="AK84" s="202"/>
    </row>
    <row r="85" spans="36:37" x14ac:dyDescent="0.25">
      <c r="AJ85" s="201"/>
      <c r="AK85" s="202"/>
    </row>
    <row r="86" spans="36:37" x14ac:dyDescent="0.25">
      <c r="AJ86" s="201"/>
      <c r="AK86" s="202"/>
    </row>
    <row r="87" spans="36:37" x14ac:dyDescent="0.25">
      <c r="AJ87" s="201"/>
      <c r="AK87" s="202"/>
    </row>
    <row r="88" spans="36:37" x14ac:dyDescent="0.25">
      <c r="AJ88" s="201"/>
      <c r="AK88" s="202"/>
    </row>
    <row r="89" spans="36:37" x14ac:dyDescent="0.25">
      <c r="AJ89" s="201"/>
      <c r="AK89" s="202"/>
    </row>
    <row r="90" spans="36:37" x14ac:dyDescent="0.25">
      <c r="AJ90" s="201"/>
      <c r="AK90" s="202"/>
    </row>
    <row r="91" spans="36:37" x14ac:dyDescent="0.25">
      <c r="AJ91" s="201"/>
      <c r="AK91" s="202"/>
    </row>
    <row r="92" spans="36:37" x14ac:dyDescent="0.25">
      <c r="AJ92" s="201"/>
      <c r="AK92" s="202"/>
    </row>
    <row r="93" spans="36:37" x14ac:dyDescent="0.25">
      <c r="AJ93" s="201"/>
      <c r="AK93" s="202"/>
    </row>
    <row r="94" spans="36:37" x14ac:dyDescent="0.25">
      <c r="AJ94" s="201"/>
      <c r="AK94" s="202"/>
    </row>
  </sheetData>
  <mergeCells count="116">
    <mergeCell ref="AY21:AZ24"/>
    <mergeCell ref="D3:F3"/>
    <mergeCell ref="AJ3:AL3"/>
    <mergeCell ref="G4:I4"/>
    <mergeCell ref="K4:K5"/>
    <mergeCell ref="L4:L5"/>
    <mergeCell ref="Q4:Q5"/>
    <mergeCell ref="R4:R5"/>
    <mergeCell ref="W4:W5"/>
    <mergeCell ref="X4:X5"/>
    <mergeCell ref="AC4:AC5"/>
    <mergeCell ref="BC4:BC5"/>
    <mergeCell ref="BD4:BD5"/>
    <mergeCell ref="BI4:BI5"/>
    <mergeCell ref="BJ4:BJ5"/>
    <mergeCell ref="M5:O5"/>
    <mergeCell ref="Y5:AA5"/>
    <mergeCell ref="AS5:AU5"/>
    <mergeCell ref="BE5:BG5"/>
    <mergeCell ref="AD4:AD5"/>
    <mergeCell ref="AM4:AO4"/>
    <mergeCell ref="AQ4:AQ5"/>
    <mergeCell ref="AR4:AR5"/>
    <mergeCell ref="AW4:AW5"/>
    <mergeCell ref="AX4:AX5"/>
    <mergeCell ref="AD7:AD8"/>
    <mergeCell ref="AF7:AG7"/>
    <mergeCell ref="AQ7:AQ8"/>
    <mergeCell ref="AR7:AR8"/>
    <mergeCell ref="AW7:AW8"/>
    <mergeCell ref="K7:K8"/>
    <mergeCell ref="L7:L8"/>
    <mergeCell ref="Q7:Q8"/>
    <mergeCell ref="R7:R8"/>
    <mergeCell ref="W7:W8"/>
    <mergeCell ref="X7:X8"/>
    <mergeCell ref="M8:O8"/>
    <mergeCell ref="AZ9:BA9"/>
    <mergeCell ref="BE9:BG9"/>
    <mergeCell ref="BL9:BM9"/>
    <mergeCell ref="D12:L12"/>
    <mergeCell ref="AJ12:AR12"/>
    <mergeCell ref="D16:L16"/>
    <mergeCell ref="AJ16:AR16"/>
    <mergeCell ref="Y8:AA8"/>
    <mergeCell ref="AF8:AG8"/>
    <mergeCell ref="AS8:AU8"/>
    <mergeCell ref="BE8:BG8"/>
    <mergeCell ref="BL8:BM8"/>
    <mergeCell ref="M9:N9"/>
    <mergeCell ref="T9:U9"/>
    <mergeCell ref="Y9:AA9"/>
    <mergeCell ref="AF9:AG9"/>
    <mergeCell ref="AS9:AT9"/>
    <mergeCell ref="AX7:AX8"/>
    <mergeCell ref="BC7:BC8"/>
    <mergeCell ref="BD7:BD8"/>
    <mergeCell ref="BI7:BI8"/>
    <mergeCell ref="BJ7:BJ8"/>
    <mergeCell ref="BL7:BM7"/>
    <mergeCell ref="AC7:AC8"/>
    <mergeCell ref="D22:L22"/>
    <mergeCell ref="Q22:R22"/>
    <mergeCell ref="T22:U22"/>
    <mergeCell ref="AJ22:AR22"/>
    <mergeCell ref="Q23:R23"/>
    <mergeCell ref="T23:U23"/>
    <mergeCell ref="H17:L17"/>
    <mergeCell ref="AN17:AR17"/>
    <mergeCell ref="Q20:R20"/>
    <mergeCell ref="T20:U20"/>
    <mergeCell ref="Q21:R21"/>
    <mergeCell ref="T21:U21"/>
    <mergeCell ref="G26:H26"/>
    <mergeCell ref="I26:L26"/>
    <mergeCell ref="AM26:AN26"/>
    <mergeCell ref="AO26:AR26"/>
    <mergeCell ref="G27:H27"/>
    <mergeCell ref="AM27:AN27"/>
    <mergeCell ref="D24:L24"/>
    <mergeCell ref="Q24:R24"/>
    <mergeCell ref="T24:U24"/>
    <mergeCell ref="AJ24:AR24"/>
    <mergeCell ref="G25:H25"/>
    <mergeCell ref="I25:L25"/>
    <mergeCell ref="AM25:AN25"/>
    <mergeCell ref="AO25:AR25"/>
    <mergeCell ref="G31:H31"/>
    <mergeCell ref="I31:L31"/>
    <mergeCell ref="AM31:AN31"/>
    <mergeCell ref="AO31:AR31"/>
    <mergeCell ref="I32:L32"/>
    <mergeCell ref="Q40:R40"/>
    <mergeCell ref="G28:H28"/>
    <mergeCell ref="I28:L28"/>
    <mergeCell ref="AM28:AN28"/>
    <mergeCell ref="AO28:AR28"/>
    <mergeCell ref="D29:L29"/>
    <mergeCell ref="AJ29:AR29"/>
    <mergeCell ref="AK37:AK38"/>
    <mergeCell ref="AL37:AL38"/>
    <mergeCell ref="AM37:AM38"/>
    <mergeCell ref="AN37:AN38"/>
    <mergeCell ref="AO37:AO38"/>
    <mergeCell ref="AJ37:AJ38"/>
    <mergeCell ref="AP37:AP38"/>
    <mergeCell ref="K60:M60"/>
    <mergeCell ref="K61:M61"/>
    <mergeCell ref="K62:M62"/>
    <mergeCell ref="P64:Q64"/>
    <mergeCell ref="Q43:R43"/>
    <mergeCell ref="C48:Q48"/>
    <mergeCell ref="C49:F49"/>
    <mergeCell ref="F55:G55"/>
    <mergeCell ref="H55:K55"/>
    <mergeCell ref="K59:M59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PRECIPITACIÓN</vt:lpstr>
      <vt:lpstr>BAJANTES Y CANALES</vt:lpstr>
      <vt:lpstr>SISTEMA HIDRAULICO</vt:lpstr>
      <vt:lpstr>SISTEMA HIDRAULICO (2)</vt:lpstr>
      <vt:lpstr>SISTEMA HIDRAULICO (3)</vt:lpstr>
      <vt:lpstr>Hoja1</vt:lpstr>
      <vt:lpstr>dimatros de la bomba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ALVARADO</dc:creator>
  <cp:lastModifiedBy>SANTIAGO ALVARADO</cp:lastModifiedBy>
  <dcterms:created xsi:type="dcterms:W3CDTF">2023-12-07T18:55:18Z</dcterms:created>
  <dcterms:modified xsi:type="dcterms:W3CDTF">2024-04-09T03:32:10Z</dcterms:modified>
</cp:coreProperties>
</file>